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namedSheetViews/namedSheetView1.xml" ContentType="application/vnd.ms-excel.namedsheetview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https://d.docs.live.net/6f69711755cde1a6/Documents/"/>
    </mc:Choice>
  </mc:AlternateContent>
  <xr:revisionPtr revIDLastSave="3" documentId="8_{77D01011-571D-42D6-A2AD-A48EFA402939}" xr6:coauthVersionLast="47" xr6:coauthVersionMax="47" xr10:uidLastSave="{683C94B0-D788-45F0-9499-CD90D4FCC6DF}"/>
  <bookViews>
    <workbookView xWindow="-120" yWindow="-120" windowWidth="28320" windowHeight="16440" tabRatio="854" firstSheet="17" activeTab="22" xr2:uid="{9116C421-74ED-4DD9-88C6-CD59F75D7973}"/>
  </bookViews>
  <sheets>
    <sheet name="marksheet" sheetId="1" r:id="rId1"/>
    <sheet name="item list" sheetId="16" r:id="rId2"/>
    <sheet name="flash fill" sheetId="4" r:id="rId3"/>
    <sheet name="pmt,ipmt,ppmt" sheetId="5" r:id="rId4"/>
    <sheet name="discount sheet" sheetId="3" r:id="rId5"/>
    <sheet name="LOAN SHEET" sheetId="6" r:id="rId6"/>
    <sheet name="product sheet" sheetId="9" r:id="rId7"/>
    <sheet name="sales sheet" sheetId="10" r:id="rId8"/>
    <sheet name="text formula" sheetId="11" r:id="rId9"/>
    <sheet name="age sheet" sheetId="13" r:id="rId10"/>
    <sheet name="gender list" sheetId="15" r:id="rId11"/>
    <sheet name="data consolidate" sheetId="17" r:id="rId12"/>
    <sheet name="salary slip" sheetId="19" r:id="rId13"/>
    <sheet name="data velidation" sheetId="18" r:id="rId14"/>
    <sheet name="practice" sheetId="21" r:id="rId15"/>
    <sheet name="V,H&amp;Xlookup" sheetId="22" r:id="rId16"/>
    <sheet name="vlookup differ fotmula" sheetId="23" r:id="rId17"/>
    <sheet name="online data import" sheetId="27" r:id="rId18"/>
    <sheet name="P,U&amp;L and trim" sheetId="28" r:id="rId19"/>
    <sheet name="offset function" sheetId="29" r:id="rId20"/>
    <sheet name="attendance sheet" sheetId="30" r:id="rId21"/>
    <sheet name="Payslip Grid" sheetId="32" r:id="rId22"/>
    <sheet name="product list" sheetId="2" r:id="rId23"/>
    <sheet name="Dashboard" sheetId="33" r:id="rId24"/>
    <sheet name="Report Generator" sheetId="34" r:id="rId25"/>
    <sheet name="Validation Dashboard" sheetId="35" r:id="rId26"/>
    <sheet name="Game" sheetId="36" r:id="rId27"/>
    <sheet name="CLEANED_DATA" sheetId="38" r:id="rId28"/>
    <sheet name="Sheet1" sheetId="37" r:id="rId29"/>
    <sheet name="NameGender" sheetId="39" r:id="rId30"/>
  </sheets>
  <functionGroups builtInGroupCount="19"/>
  <definedNames>
    <definedName name="_xlnm._FilterDatabase" localSheetId="27" hidden="1">CLEANED_DATA!$A$1:$Q$1</definedName>
    <definedName name="_xlchart.v1.0" hidden="1">marksheet!$P$35:$P$61</definedName>
    <definedName name="_xlchart.v1.1" hidden="1">marksheet!$Q$34</definedName>
    <definedName name="_xlchart.v1.2" hidden="1">marksheet!$Q$35:$Q$61</definedName>
    <definedName name="_xlchart.v1.3" hidden="1">'product sheet'!$Q$4:$Q$14</definedName>
    <definedName name="_xlchart.v1.4" hidden="1">'product sheet'!$R$3</definedName>
    <definedName name="_xlchart.v1.5" hidden="1">'product sheet'!$R$4:$R$14</definedName>
    <definedName name="_xlcn.WorksheetConnection_dataconsolidateA1M511" hidden="1">'data consolidate'!$A$1:$M$51</definedName>
    <definedName name="DepartmentList">'Report Generator'!$K$2:$K$13</definedName>
    <definedName name="EmployeeList">'Report Generator'!$K$28:$K$125</definedName>
    <definedName name="ExternalData_1" localSheetId="17" hidden="1">'online data import'!$A$1:$E$22</definedName>
    <definedName name="ExternalData_2" localSheetId="17" hidden="1">'online data import'!$A$26:$B$32</definedName>
    <definedName name="ExternalData_3" localSheetId="17" hidden="1">'online data import'!$A$36:$C$40</definedName>
    <definedName name="MonthList">'Report Generator'!$K$14:$K$25</definedName>
    <definedName name="_xlnm.Print_Area" localSheetId="24">'Report Generator'!$A$1:$H$46</definedName>
    <definedName name="ReportArea">'Report Generator'!$A$1:$H$46</definedName>
    <definedName name="SelectedDepartment">'Report Generator'!$B$5</definedName>
    <definedName name="SelectedEmployee">'Report Generator'!$B$4</definedName>
    <definedName name="SelectedMonth">'Report Generator'!$B$6</definedName>
  </definedNames>
  <calcPr calcId="191029"/>
  <pivotCaches>
    <pivotCache cacheId="0" r:id="rId31"/>
    <pivotCache cacheId="1" r:id="rId32"/>
    <pivotCache cacheId="2" r:id="rId33"/>
    <pivotCache cacheId="3" r:id="rId34"/>
    <pivotCache cacheId="4" r:id="rId3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 1  2_d28d632d-7afe-44d3-a3dd-d8fb78d3d92a" name="Table 1  2" connection="Query - Table 1 (2)"/>
          <x15:modelTable id="Table 2_da0ae082-22da-4762-ad93-7737b83f8896" name="Table 2" connection="Query - Table 2"/>
          <x15:modelTable id="Table 3_922b6a01-cdea-4564-8c0b-4ad536144444" name="Table 3" connection="Query - Table 3"/>
          <x15:modelTable id="Table 4_8826f3a8-5c08-4d6d-aa58-f334309b3fb3" name="Table 4" connection="Query - Table 4"/>
          <x15:modelTable id="Table 5_53effcc3-b154-4d84-9822-881f16d0e2d6" name="Table 5" connection="Query - Table 5"/>
          <x15:modelTable id="Range" name="Range" connection="WorksheetConnection_data consolidate!$A$1:$M$5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0" i="2" l="1"/>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F6" i="10"/>
  <c r="E5" i="10"/>
  <c r="D4" i="10"/>
  <c r="X61" i="1"/>
  <c r="W61" i="1"/>
  <c r="V61" i="1"/>
  <c r="U61" i="1"/>
  <c r="T61" i="1"/>
  <c r="S61" i="1"/>
  <c r="X60" i="1"/>
  <c r="W60" i="1"/>
  <c r="V60" i="1"/>
  <c r="U60" i="1"/>
  <c r="T60" i="1"/>
  <c r="S60" i="1"/>
  <c r="R60" i="1"/>
  <c r="Q60" i="1"/>
  <c r="P60" i="1"/>
  <c r="X59" i="1"/>
  <c r="W59" i="1"/>
  <c r="V59" i="1"/>
  <c r="U59" i="1"/>
  <c r="T59" i="1"/>
  <c r="S59" i="1"/>
  <c r="R59" i="1"/>
  <c r="Q59" i="1"/>
  <c r="P59" i="1"/>
  <c r="X58" i="1"/>
  <c r="W58" i="1"/>
  <c r="V58" i="1"/>
  <c r="U58" i="1"/>
  <c r="T58" i="1"/>
  <c r="S58" i="1"/>
  <c r="R58" i="1"/>
  <c r="Q58" i="1"/>
  <c r="P58" i="1"/>
  <c r="X57" i="1"/>
  <c r="W57" i="1"/>
  <c r="V57" i="1"/>
  <c r="U57" i="1"/>
  <c r="T57" i="1"/>
  <c r="S57" i="1"/>
  <c r="R57" i="1"/>
  <c r="Q57" i="1"/>
  <c r="P57" i="1"/>
  <c r="X56" i="1"/>
  <c r="W56" i="1"/>
  <c r="V56" i="1"/>
  <c r="U56" i="1"/>
  <c r="T56" i="1"/>
  <c r="S56" i="1"/>
  <c r="R56" i="1"/>
  <c r="Q56" i="1"/>
  <c r="P56" i="1"/>
  <c r="X55" i="1"/>
  <c r="W55" i="1"/>
  <c r="V55" i="1"/>
  <c r="U55" i="1"/>
  <c r="T55" i="1"/>
  <c r="S55" i="1"/>
  <c r="R55" i="1"/>
  <c r="Q55" i="1"/>
  <c r="P55" i="1"/>
  <c r="X54" i="1"/>
  <c r="W54" i="1"/>
  <c r="V54" i="1"/>
  <c r="U54" i="1"/>
  <c r="T54" i="1"/>
  <c r="S54" i="1"/>
  <c r="R54" i="1"/>
  <c r="Q54" i="1"/>
  <c r="P54" i="1"/>
  <c r="X53" i="1"/>
  <c r="W53" i="1"/>
  <c r="V53" i="1"/>
  <c r="U53" i="1"/>
  <c r="T53" i="1"/>
  <c r="S53" i="1"/>
  <c r="R53" i="1"/>
  <c r="Q53" i="1"/>
  <c r="P53" i="1"/>
  <c r="X52" i="1"/>
  <c r="W52" i="1"/>
  <c r="V52" i="1"/>
  <c r="U52" i="1"/>
  <c r="T52" i="1"/>
  <c r="S52" i="1"/>
  <c r="R52" i="1"/>
  <c r="Q52" i="1"/>
  <c r="P52" i="1"/>
  <c r="X51" i="1"/>
  <c r="W51" i="1"/>
  <c r="V51" i="1"/>
  <c r="U51" i="1"/>
  <c r="T51" i="1"/>
  <c r="S51" i="1"/>
  <c r="R51" i="1"/>
  <c r="Q51" i="1"/>
  <c r="P51" i="1"/>
  <c r="X50" i="1"/>
  <c r="W50" i="1"/>
  <c r="V50" i="1"/>
  <c r="U50" i="1"/>
  <c r="T50" i="1"/>
  <c r="S50" i="1"/>
  <c r="R50" i="1"/>
  <c r="Q50" i="1"/>
  <c r="P50" i="1"/>
  <c r="X49" i="1"/>
  <c r="W49" i="1"/>
  <c r="V49" i="1"/>
  <c r="U49" i="1"/>
  <c r="T49" i="1"/>
  <c r="S49" i="1"/>
  <c r="R49" i="1"/>
  <c r="Q49" i="1"/>
  <c r="P49" i="1"/>
  <c r="X48" i="1"/>
  <c r="W48" i="1"/>
  <c r="V48" i="1"/>
  <c r="U48" i="1"/>
  <c r="T48" i="1"/>
  <c r="S48" i="1"/>
  <c r="R48" i="1"/>
  <c r="Q48" i="1"/>
  <c r="P48" i="1"/>
  <c r="X47" i="1"/>
  <c r="W47" i="1"/>
  <c r="V47" i="1"/>
  <c r="U47" i="1"/>
  <c r="T47" i="1"/>
  <c r="S47" i="1"/>
  <c r="R47" i="1"/>
  <c r="Q47" i="1"/>
  <c r="P47" i="1"/>
  <c r="X46" i="1"/>
  <c r="W46" i="1"/>
  <c r="V46" i="1"/>
  <c r="U46" i="1"/>
  <c r="T46" i="1"/>
  <c r="S46" i="1"/>
  <c r="R46" i="1"/>
  <c r="Q46" i="1"/>
  <c r="P46" i="1"/>
  <c r="X45" i="1"/>
  <c r="W45" i="1"/>
  <c r="V45" i="1"/>
  <c r="U45" i="1"/>
  <c r="T45" i="1"/>
  <c r="S45" i="1"/>
  <c r="R45" i="1"/>
  <c r="Q45" i="1"/>
  <c r="P45" i="1"/>
  <c r="X44" i="1"/>
  <c r="W44" i="1"/>
  <c r="V44" i="1"/>
  <c r="U44" i="1"/>
  <c r="T44" i="1"/>
  <c r="S44" i="1"/>
  <c r="R44" i="1"/>
  <c r="Q44" i="1"/>
  <c r="P44" i="1"/>
  <c r="X43" i="1"/>
  <c r="W43" i="1"/>
  <c r="V43" i="1"/>
  <c r="U43" i="1"/>
  <c r="T43" i="1"/>
  <c r="S43" i="1"/>
  <c r="R43" i="1"/>
  <c r="Q43" i="1"/>
  <c r="P43" i="1"/>
  <c r="X42" i="1"/>
  <c r="W42" i="1"/>
  <c r="V42" i="1"/>
  <c r="U42" i="1"/>
  <c r="T42" i="1"/>
  <c r="S42" i="1"/>
  <c r="R42" i="1"/>
  <c r="Q42" i="1"/>
  <c r="P42" i="1"/>
  <c r="X41" i="1"/>
  <c r="W41" i="1"/>
  <c r="V41" i="1"/>
  <c r="U41" i="1"/>
  <c r="T41" i="1"/>
  <c r="S41" i="1"/>
  <c r="R41" i="1"/>
  <c r="Q41" i="1"/>
  <c r="P41" i="1"/>
  <c r="X40" i="1"/>
  <c r="W40" i="1"/>
  <c r="V40" i="1"/>
  <c r="U40" i="1"/>
  <c r="T40" i="1"/>
  <c r="S40" i="1"/>
  <c r="R40" i="1"/>
  <c r="Q40" i="1"/>
  <c r="P40" i="1"/>
  <c r="X39" i="1"/>
  <c r="W39" i="1"/>
  <c r="V39" i="1"/>
  <c r="U39" i="1"/>
  <c r="T39" i="1"/>
  <c r="S39" i="1"/>
  <c r="R39" i="1"/>
  <c r="Q39" i="1"/>
  <c r="P39" i="1"/>
  <c r="X38" i="1"/>
  <c r="W38" i="1"/>
  <c r="V38" i="1"/>
  <c r="U38" i="1"/>
  <c r="T38" i="1"/>
  <c r="S38" i="1"/>
  <c r="R38" i="1"/>
  <c r="Q38" i="1"/>
  <c r="P38" i="1"/>
  <c r="X37" i="1"/>
  <c r="W37" i="1"/>
  <c r="V37" i="1"/>
  <c r="U37" i="1"/>
  <c r="T37" i="1"/>
  <c r="S37" i="1"/>
  <c r="R37" i="1"/>
  <c r="Q37" i="1"/>
  <c r="P37" i="1"/>
  <c r="X36" i="1"/>
  <c r="W36" i="1"/>
  <c r="V36" i="1"/>
  <c r="U36" i="1"/>
  <c r="T36" i="1"/>
  <c r="S36" i="1"/>
  <c r="R36" i="1"/>
  <c r="P36" i="1"/>
  <c r="X35" i="1"/>
  <c r="W35" i="1"/>
  <c r="V35" i="1"/>
  <c r="U35" i="1"/>
  <c r="T35" i="1"/>
  <c r="S35" i="1"/>
  <c r="R35" i="1"/>
  <c r="P35" i="1"/>
  <c r="R14" i="9"/>
  <c r="H40" i="1"/>
  <c r="H39" i="1"/>
  <c r="H38" i="1"/>
  <c r="H37" i="1"/>
  <c r="H36" i="1"/>
  <c r="H35" i="1"/>
  <c r="B34" i="1"/>
  <c r="Z28" i="1"/>
  <c r="Y28" i="1"/>
  <c r="X28" i="1"/>
  <c r="Z27" i="1"/>
  <c r="Y27" i="1"/>
  <c r="X27" i="1"/>
  <c r="Z26" i="1"/>
  <c r="Y26" i="1"/>
  <c r="X26" i="1"/>
  <c r="Z25" i="1"/>
  <c r="Y25" i="1"/>
  <c r="X25" i="1"/>
  <c r="Z24" i="1"/>
  <c r="Y24" i="1"/>
  <c r="X24" i="1"/>
  <c r="Z23" i="1"/>
  <c r="Y23" i="1"/>
  <c r="X23" i="1"/>
  <c r="Z22" i="1"/>
  <c r="Y22" i="1"/>
  <c r="X22" i="1"/>
  <c r="Z21" i="1"/>
  <c r="Y21" i="1"/>
  <c r="X21" i="1"/>
  <c r="Z20" i="1"/>
  <c r="Y20" i="1"/>
  <c r="X20" i="1"/>
  <c r="Z19" i="1"/>
  <c r="Y19" i="1"/>
  <c r="X19" i="1"/>
  <c r="Z18" i="1"/>
  <c r="Y18" i="1"/>
  <c r="X18" i="1"/>
  <c r="Z17" i="1"/>
  <c r="Y17" i="1"/>
  <c r="X17" i="1"/>
  <c r="Z16" i="1"/>
  <c r="Y16" i="1"/>
  <c r="X16" i="1"/>
  <c r="Z15" i="1"/>
  <c r="Y15" i="1"/>
  <c r="X15" i="1"/>
  <c r="Z14" i="1"/>
  <c r="Y14" i="1"/>
  <c r="X14" i="1"/>
  <c r="Z13" i="1"/>
  <c r="Y13" i="1"/>
  <c r="X13" i="1"/>
  <c r="Z12" i="1"/>
  <c r="Y12" i="1"/>
  <c r="X12" i="1"/>
  <c r="Z11" i="1"/>
  <c r="Y11" i="1"/>
  <c r="X11" i="1"/>
  <c r="Z10" i="1"/>
  <c r="Y10" i="1"/>
  <c r="X10" i="1"/>
  <c r="Z9" i="1"/>
  <c r="Y9" i="1"/>
  <c r="X9" i="1"/>
  <c r="Z8" i="1"/>
  <c r="Y8" i="1"/>
  <c r="X8" i="1"/>
  <c r="Z7" i="1"/>
  <c r="Y7" i="1"/>
  <c r="X7" i="1"/>
  <c r="Z6" i="1"/>
  <c r="Y6" i="1"/>
  <c r="X6" i="1"/>
  <c r="Z5" i="1"/>
  <c r="Y5" i="1"/>
  <c r="X5" i="1"/>
  <c r="Z4" i="1"/>
  <c r="Y4" i="1"/>
  <c r="X4" i="1"/>
  <c r="Z3" i="1"/>
  <c r="Z29" i="1" s="1"/>
  <c r="B42" i="1" s="1"/>
  <c r="Y3" i="1"/>
  <c r="Y29" i="1" s="1"/>
  <c r="X3" i="1"/>
  <c r="X29" i="1" s="1"/>
  <c r="J29" i="1"/>
  <c r="I29" i="1"/>
  <c r="H29" i="1"/>
  <c r="G29" i="1"/>
  <c r="F29" i="1"/>
  <c r="E29" i="1"/>
  <c r="D29" i="1"/>
  <c r="W28" i="1"/>
  <c r="V28" i="1"/>
  <c r="U28" i="1"/>
  <c r="T28" i="1"/>
  <c r="S28" i="1"/>
  <c r="Q28" i="1"/>
  <c r="P28" i="1"/>
  <c r="O28" i="1"/>
  <c r="N28" i="1"/>
  <c r="M28" i="1"/>
  <c r="L28" i="1"/>
  <c r="K28" i="1"/>
  <c r="W27" i="1"/>
  <c r="V27" i="1"/>
  <c r="U27" i="1"/>
  <c r="T27" i="1"/>
  <c r="S27" i="1"/>
  <c r="Q27" i="1"/>
  <c r="P27" i="1"/>
  <c r="O27" i="1"/>
  <c r="N27" i="1"/>
  <c r="M27" i="1"/>
  <c r="L27" i="1"/>
  <c r="K27" i="1"/>
  <c r="W26" i="1"/>
  <c r="V26" i="1"/>
  <c r="U26" i="1"/>
  <c r="T26" i="1"/>
  <c r="S26" i="1"/>
  <c r="Q26" i="1"/>
  <c r="P26" i="1"/>
  <c r="O26" i="1"/>
  <c r="N26" i="1"/>
  <c r="M26" i="1"/>
  <c r="L26" i="1"/>
  <c r="K26" i="1"/>
  <c r="W25" i="1"/>
  <c r="V25" i="1"/>
  <c r="U25" i="1"/>
  <c r="T25" i="1"/>
  <c r="S25" i="1"/>
  <c r="Q25" i="1"/>
  <c r="P25" i="1"/>
  <c r="O25" i="1"/>
  <c r="N25" i="1"/>
  <c r="M25" i="1"/>
  <c r="L25" i="1"/>
  <c r="K25" i="1"/>
  <c r="W24" i="1"/>
  <c r="V24" i="1"/>
  <c r="U24" i="1"/>
  <c r="T24" i="1"/>
  <c r="S24" i="1"/>
  <c r="Q24" i="1"/>
  <c r="P24" i="1"/>
  <c r="O24" i="1"/>
  <c r="N24" i="1"/>
  <c r="M24" i="1"/>
  <c r="L24" i="1"/>
  <c r="K24" i="1"/>
  <c r="W23" i="1"/>
  <c r="V23" i="1"/>
  <c r="U23" i="1"/>
  <c r="T23" i="1"/>
  <c r="S23" i="1"/>
  <c r="Q23" i="1"/>
  <c r="P23" i="1"/>
  <c r="O23" i="1"/>
  <c r="N23" i="1"/>
  <c r="M23" i="1"/>
  <c r="L23" i="1"/>
  <c r="K23" i="1"/>
  <c r="W22" i="1"/>
  <c r="V22" i="1"/>
  <c r="U22" i="1"/>
  <c r="T22" i="1"/>
  <c r="S22" i="1"/>
  <c r="Q22" i="1"/>
  <c r="P22" i="1"/>
  <c r="O22" i="1"/>
  <c r="N22" i="1"/>
  <c r="M22" i="1"/>
  <c r="L22" i="1"/>
  <c r="K22" i="1"/>
  <c r="W21" i="1"/>
  <c r="V21" i="1"/>
  <c r="U21" i="1"/>
  <c r="T21" i="1"/>
  <c r="S21" i="1"/>
  <c r="Q21" i="1"/>
  <c r="P21" i="1"/>
  <c r="O21" i="1"/>
  <c r="N21" i="1"/>
  <c r="M21" i="1"/>
  <c r="L21" i="1"/>
  <c r="K21" i="1"/>
  <c r="W20" i="1"/>
  <c r="V20" i="1"/>
  <c r="U20" i="1"/>
  <c r="T20" i="1"/>
  <c r="S20" i="1"/>
  <c r="Q20" i="1"/>
  <c r="P20" i="1"/>
  <c r="O20" i="1"/>
  <c r="N20" i="1"/>
  <c r="M20" i="1"/>
  <c r="L20" i="1"/>
  <c r="K20" i="1"/>
  <c r="W19" i="1"/>
  <c r="V19" i="1"/>
  <c r="U19" i="1"/>
  <c r="T19" i="1"/>
  <c r="S19" i="1"/>
  <c r="Q19" i="1"/>
  <c r="P19" i="1"/>
  <c r="O19" i="1"/>
  <c r="N19" i="1"/>
  <c r="M19" i="1"/>
  <c r="L19" i="1"/>
  <c r="K19" i="1"/>
  <c r="W18" i="1"/>
  <c r="V18" i="1"/>
  <c r="U18" i="1"/>
  <c r="T18" i="1"/>
  <c r="S18" i="1"/>
  <c r="Q18" i="1"/>
  <c r="P18" i="1"/>
  <c r="O18" i="1"/>
  <c r="N18" i="1"/>
  <c r="M18" i="1"/>
  <c r="L18" i="1"/>
  <c r="K18" i="1"/>
  <c r="W17" i="1"/>
  <c r="V17" i="1"/>
  <c r="U17" i="1"/>
  <c r="T17" i="1"/>
  <c r="S17" i="1"/>
  <c r="Q17" i="1"/>
  <c r="P17" i="1"/>
  <c r="O17" i="1"/>
  <c r="N17" i="1"/>
  <c r="M17" i="1"/>
  <c r="L17" i="1"/>
  <c r="K17" i="1"/>
  <c r="W16" i="1"/>
  <c r="V16" i="1"/>
  <c r="U16" i="1"/>
  <c r="T16" i="1"/>
  <c r="S16" i="1"/>
  <c r="Q16" i="1"/>
  <c r="P16" i="1"/>
  <c r="O16" i="1"/>
  <c r="N16" i="1"/>
  <c r="M16" i="1"/>
  <c r="L16" i="1"/>
  <c r="K16" i="1"/>
  <c r="W15" i="1"/>
  <c r="V15" i="1"/>
  <c r="U15" i="1"/>
  <c r="T15" i="1"/>
  <c r="S15" i="1"/>
  <c r="Q15" i="1"/>
  <c r="P15" i="1"/>
  <c r="O15" i="1"/>
  <c r="N15" i="1"/>
  <c r="M15" i="1"/>
  <c r="L15" i="1"/>
  <c r="K15" i="1"/>
  <c r="W14" i="1"/>
  <c r="V14" i="1"/>
  <c r="U14" i="1"/>
  <c r="T14" i="1"/>
  <c r="S14" i="1"/>
  <c r="Q14" i="1"/>
  <c r="P14" i="1"/>
  <c r="O14" i="1"/>
  <c r="N14" i="1"/>
  <c r="M14" i="1"/>
  <c r="L14" i="1"/>
  <c r="K14" i="1"/>
  <c r="O13" i="1"/>
  <c r="S13" i="1" s="1"/>
  <c r="O12" i="1"/>
  <c r="S12" i="1" s="1"/>
  <c r="O11" i="1"/>
  <c r="S11" i="1" s="1"/>
  <c r="O10" i="1"/>
  <c r="S10" i="1" s="1"/>
  <c r="O9" i="1"/>
  <c r="S9" i="1" s="1"/>
  <c r="O8" i="1"/>
  <c r="S8" i="1" s="1"/>
  <c r="O7" i="1"/>
  <c r="S7" i="1" s="1"/>
  <c r="O6" i="1"/>
  <c r="S6" i="1" s="1"/>
  <c r="O5" i="1"/>
  <c r="S5" i="1" s="1"/>
  <c r="O4" i="1"/>
  <c r="S4" i="1" s="1"/>
  <c r="O3" i="1"/>
  <c r="K117" i="17"/>
  <c r="J117" i="17"/>
  <c r="K116" i="17"/>
  <c r="J116" i="17"/>
  <c r="K115" i="17"/>
  <c r="J115" i="17"/>
  <c r="K114" i="17"/>
  <c r="J114" i="17"/>
  <c r="K113" i="17"/>
  <c r="J113" i="17"/>
  <c r="K112" i="17"/>
  <c r="J112" i="17"/>
  <c r="K111" i="17"/>
  <c r="J111" i="17"/>
  <c r="K110" i="17"/>
  <c r="J110" i="17"/>
  <c r="K109" i="17"/>
  <c r="J109" i="17"/>
  <c r="K108" i="17"/>
  <c r="J108" i="17"/>
  <c r="K107" i="17"/>
  <c r="J107" i="17"/>
  <c r="K106" i="17"/>
  <c r="J106" i="17"/>
  <c r="M101" i="17"/>
  <c r="M100" i="17"/>
  <c r="L101" i="17"/>
  <c r="L100" i="17"/>
  <c r="K101" i="17"/>
  <c r="K100" i="17"/>
  <c r="J101" i="17"/>
  <c r="J100" i="17"/>
  <c r="I101" i="17"/>
  <c r="I100" i="17"/>
  <c r="H101" i="17"/>
  <c r="H100" i="17"/>
  <c r="G101" i="17"/>
  <c r="G100" i="17"/>
  <c r="F101" i="17"/>
  <c r="F100" i="17"/>
  <c r="E101" i="17"/>
  <c r="E100" i="17"/>
  <c r="D101" i="17"/>
  <c r="D100" i="17"/>
  <c r="C101" i="17"/>
  <c r="C100" i="17"/>
  <c r="B101" i="17"/>
  <c r="B100" i="17"/>
  <c r="AA4" i="17" a="1"/>
  <c r="Z4" i="17" a="1"/>
  <c r="Y4" i="17" a="1"/>
  <c r="X4" i="17" a="1"/>
  <c r="W4" i="17" a="1"/>
  <c r="V4" i="17" a="1"/>
  <c r="U4" i="17" a="1"/>
  <c r="T4" i="17" a="1"/>
  <c r="S4" i="17" a="1"/>
  <c r="R4" i="17" a="1"/>
  <c r="Q4" i="17" a="1"/>
  <c r="P4" i="17" a="1"/>
  <c r="M52" i="17"/>
  <c r="L52" i="17"/>
  <c r="K52" i="17"/>
  <c r="J52" i="17"/>
  <c r="I52" i="17"/>
  <c r="H52" i="17"/>
  <c r="G52" i="17"/>
  <c r="F52" i="17"/>
  <c r="E52" i="17"/>
  <c r="D52" i="17"/>
  <c r="C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N3" i="17"/>
  <c r="A57" i="17"/>
  <c r="B52" i="17"/>
  <c r="N2" i="17"/>
  <c r="B14" i="35"/>
  <c r="G15" i="35"/>
  <c r="F15" i="35"/>
  <c r="E15" i="35"/>
  <c r="G14" i="35"/>
  <c r="F14" i="35"/>
  <c r="E14" i="35"/>
  <c r="G13" i="35"/>
  <c r="F13" i="35"/>
  <c r="E13" i="35"/>
  <c r="G12" i="35"/>
  <c r="F12" i="35"/>
  <c r="E12" i="35"/>
  <c r="G11" i="35"/>
  <c r="F11" i="35"/>
  <c r="E11" i="35"/>
  <c r="G10" i="35"/>
  <c r="F10" i="35"/>
  <c r="E10" i="35"/>
  <c r="G9" i="35"/>
  <c r="F9" i="35"/>
  <c r="E9" i="35"/>
  <c r="G8" i="35"/>
  <c r="F8" i="35"/>
  <c r="E8" i="35"/>
  <c r="G7" i="35"/>
  <c r="F7" i="35"/>
  <c r="E7" i="35"/>
  <c r="G6" i="35"/>
  <c r="F6" i="35"/>
  <c r="E6" i="35"/>
  <c r="B17" i="35"/>
  <c r="B16" i="35"/>
  <c r="B15" i="35"/>
  <c r="B13" i="35"/>
  <c r="B12" i="35"/>
  <c r="B11" i="35"/>
  <c r="B10" i="35"/>
  <c r="B9" i="35"/>
  <c r="B8" i="35"/>
  <c r="B7" i="35"/>
  <c r="B6" i="35"/>
  <c r="B5" i="35"/>
  <c r="O125" i="34"/>
  <c r="N125" i="34"/>
  <c r="M125" i="34"/>
  <c r="L125" i="34"/>
  <c r="K125" i="34"/>
  <c r="O124" i="34"/>
  <c r="N124" i="34"/>
  <c r="M124" i="34"/>
  <c r="L124" i="34"/>
  <c r="K124" i="34"/>
  <c r="O123" i="34"/>
  <c r="N123" i="34"/>
  <c r="M123" i="34"/>
  <c r="L123" i="34"/>
  <c r="K123" i="34"/>
  <c r="O122" i="34"/>
  <c r="N122" i="34"/>
  <c r="M122" i="34"/>
  <c r="L122" i="34"/>
  <c r="K122" i="34"/>
  <c r="O121" i="34"/>
  <c r="N121" i="34"/>
  <c r="M121" i="34"/>
  <c r="L121" i="34"/>
  <c r="K121" i="34"/>
  <c r="O120" i="34"/>
  <c r="N120" i="34"/>
  <c r="M120" i="34"/>
  <c r="L120" i="34"/>
  <c r="K120" i="34"/>
  <c r="O119" i="34"/>
  <c r="N119" i="34"/>
  <c r="M119" i="34"/>
  <c r="L119" i="34"/>
  <c r="K119" i="34"/>
  <c r="O118" i="34"/>
  <c r="N118" i="34"/>
  <c r="M118" i="34"/>
  <c r="L118" i="34"/>
  <c r="K118" i="34"/>
  <c r="O117" i="34"/>
  <c r="N117" i="34"/>
  <c r="M117" i="34"/>
  <c r="L117" i="34"/>
  <c r="K117" i="34"/>
  <c r="O116" i="34"/>
  <c r="N116" i="34"/>
  <c r="M116" i="34"/>
  <c r="L116" i="34"/>
  <c r="K116" i="34"/>
  <c r="O115" i="34"/>
  <c r="N115" i="34"/>
  <c r="M115" i="34"/>
  <c r="L115" i="34"/>
  <c r="K115" i="34"/>
  <c r="O114" i="34"/>
  <c r="N114" i="34"/>
  <c r="M114" i="34"/>
  <c r="L114" i="34"/>
  <c r="K114" i="34"/>
  <c r="O113" i="34"/>
  <c r="N113" i="34"/>
  <c r="M113" i="34"/>
  <c r="L113" i="34"/>
  <c r="K113" i="34"/>
  <c r="O112" i="34"/>
  <c r="N112" i="34"/>
  <c r="M112" i="34"/>
  <c r="L112" i="34"/>
  <c r="K112" i="34"/>
  <c r="O111" i="34"/>
  <c r="N111" i="34"/>
  <c r="M111" i="34"/>
  <c r="L111" i="34"/>
  <c r="K111" i="34"/>
  <c r="O110" i="34"/>
  <c r="N110" i="34"/>
  <c r="M110" i="34"/>
  <c r="L110" i="34"/>
  <c r="K110" i="34"/>
  <c r="O109" i="34"/>
  <c r="N109" i="34"/>
  <c r="M109" i="34"/>
  <c r="L109" i="34"/>
  <c r="K109" i="34"/>
  <c r="O108" i="34"/>
  <c r="N108" i="34"/>
  <c r="M108" i="34"/>
  <c r="L108" i="34"/>
  <c r="K108" i="34"/>
  <c r="O107" i="34"/>
  <c r="N107" i="34"/>
  <c r="M107" i="34"/>
  <c r="L107" i="34"/>
  <c r="K107" i="34"/>
  <c r="O106" i="34"/>
  <c r="N106" i="34"/>
  <c r="M106" i="34"/>
  <c r="L106" i="34"/>
  <c r="K106" i="34"/>
  <c r="O105" i="34"/>
  <c r="N105" i="34"/>
  <c r="M105" i="34"/>
  <c r="L105" i="34"/>
  <c r="K105" i="34"/>
  <c r="O104" i="34"/>
  <c r="N104" i="34"/>
  <c r="M104" i="34"/>
  <c r="L104" i="34"/>
  <c r="K104" i="34"/>
  <c r="O103" i="34"/>
  <c r="N103" i="34"/>
  <c r="M103" i="34"/>
  <c r="L103" i="34"/>
  <c r="K103" i="34"/>
  <c r="O102" i="34"/>
  <c r="N102" i="34"/>
  <c r="M102" i="34"/>
  <c r="L102" i="34"/>
  <c r="K102" i="34"/>
  <c r="O101" i="34"/>
  <c r="N101" i="34"/>
  <c r="M101" i="34"/>
  <c r="L101" i="34"/>
  <c r="K101" i="34"/>
  <c r="O100" i="34"/>
  <c r="N100" i="34"/>
  <c r="M100" i="34"/>
  <c r="L100" i="34"/>
  <c r="K100" i="34"/>
  <c r="O99" i="34"/>
  <c r="N99" i="34"/>
  <c r="M99" i="34"/>
  <c r="L99" i="34"/>
  <c r="K99" i="34"/>
  <c r="O98" i="34"/>
  <c r="N98" i="34"/>
  <c r="M98" i="34"/>
  <c r="L98" i="34"/>
  <c r="K98" i="34"/>
  <c r="O97" i="34"/>
  <c r="N97" i="34"/>
  <c r="M97" i="34"/>
  <c r="L97" i="34"/>
  <c r="K97" i="34"/>
  <c r="O96" i="34"/>
  <c r="N96" i="34"/>
  <c r="M96" i="34"/>
  <c r="L96" i="34"/>
  <c r="K96" i="34"/>
  <c r="O95" i="34"/>
  <c r="N95" i="34"/>
  <c r="M95" i="34"/>
  <c r="L95" i="34"/>
  <c r="K95" i="34"/>
  <c r="O94" i="34"/>
  <c r="N94" i="34"/>
  <c r="M94" i="34"/>
  <c r="L94" i="34"/>
  <c r="K94" i="34"/>
  <c r="O93" i="34"/>
  <c r="N93" i="34"/>
  <c r="M93" i="34"/>
  <c r="L93" i="34"/>
  <c r="K93" i="34"/>
  <c r="O92" i="34"/>
  <c r="N92" i="34"/>
  <c r="M92" i="34"/>
  <c r="L92" i="34"/>
  <c r="K92" i="34"/>
  <c r="O91" i="34"/>
  <c r="N91" i="34"/>
  <c r="M91" i="34"/>
  <c r="L91" i="34"/>
  <c r="K91" i="34"/>
  <c r="O90" i="34"/>
  <c r="N90" i="34"/>
  <c r="M90" i="34"/>
  <c r="L90" i="34"/>
  <c r="K90" i="34"/>
  <c r="O89" i="34"/>
  <c r="N89" i="34"/>
  <c r="M89" i="34"/>
  <c r="L89" i="34"/>
  <c r="K89" i="34"/>
  <c r="O88" i="34"/>
  <c r="N88" i="34"/>
  <c r="M88" i="34"/>
  <c r="L88" i="34"/>
  <c r="K88" i="34"/>
  <c r="O87" i="34"/>
  <c r="N87" i="34"/>
  <c r="M87" i="34"/>
  <c r="L87" i="34"/>
  <c r="K87" i="34"/>
  <c r="O86" i="34"/>
  <c r="N86" i="34"/>
  <c r="M86" i="34"/>
  <c r="L86" i="34"/>
  <c r="K86" i="34"/>
  <c r="O85" i="34"/>
  <c r="N85" i="34"/>
  <c r="M85" i="34"/>
  <c r="L85" i="34"/>
  <c r="K85" i="34"/>
  <c r="O84" i="34"/>
  <c r="N84" i="34"/>
  <c r="M84" i="34"/>
  <c r="L84" i="34"/>
  <c r="K84" i="34"/>
  <c r="O83" i="34"/>
  <c r="N83" i="34"/>
  <c r="M83" i="34"/>
  <c r="L83" i="34"/>
  <c r="K83" i="34"/>
  <c r="O82" i="34"/>
  <c r="N82" i="34"/>
  <c r="M82" i="34"/>
  <c r="L82" i="34"/>
  <c r="K82" i="34"/>
  <c r="O81" i="34"/>
  <c r="N81" i="34"/>
  <c r="M81" i="34"/>
  <c r="L81" i="34"/>
  <c r="K81" i="34"/>
  <c r="O80" i="34"/>
  <c r="N80" i="34"/>
  <c r="M80" i="34"/>
  <c r="L80" i="34"/>
  <c r="K80" i="34"/>
  <c r="O79" i="34"/>
  <c r="N79" i="34"/>
  <c r="M79" i="34"/>
  <c r="L79" i="34"/>
  <c r="K79" i="34"/>
  <c r="O78" i="34"/>
  <c r="N78" i="34"/>
  <c r="M78" i="34"/>
  <c r="L78" i="34"/>
  <c r="K78" i="34"/>
  <c r="O77" i="34"/>
  <c r="N77" i="34"/>
  <c r="M77" i="34"/>
  <c r="L77" i="34"/>
  <c r="K77" i="34"/>
  <c r="O76" i="34"/>
  <c r="N76" i="34"/>
  <c r="M76" i="34"/>
  <c r="L76" i="34"/>
  <c r="K76" i="34"/>
  <c r="O75" i="34"/>
  <c r="N75" i="34"/>
  <c r="M75" i="34"/>
  <c r="L75" i="34"/>
  <c r="K75" i="34"/>
  <c r="O74" i="34"/>
  <c r="N74" i="34"/>
  <c r="M74" i="34"/>
  <c r="L74" i="34"/>
  <c r="K74" i="34"/>
  <c r="O73" i="34"/>
  <c r="N73" i="34"/>
  <c r="M73" i="34"/>
  <c r="L73" i="34"/>
  <c r="K73" i="34"/>
  <c r="O72" i="34"/>
  <c r="N72" i="34"/>
  <c r="M72" i="34"/>
  <c r="L72" i="34"/>
  <c r="K72" i="34"/>
  <c r="O71" i="34"/>
  <c r="N71" i="34"/>
  <c r="M71" i="34"/>
  <c r="L71" i="34"/>
  <c r="K71" i="34"/>
  <c r="O70" i="34"/>
  <c r="N70" i="34"/>
  <c r="M70" i="34"/>
  <c r="L70" i="34"/>
  <c r="K70" i="34"/>
  <c r="O69" i="34"/>
  <c r="N69" i="34"/>
  <c r="M69" i="34"/>
  <c r="L69" i="34"/>
  <c r="K69" i="34"/>
  <c r="O68" i="34"/>
  <c r="N68" i="34"/>
  <c r="M68" i="34"/>
  <c r="L68" i="34"/>
  <c r="K68" i="34"/>
  <c r="O67" i="34"/>
  <c r="N67" i="34"/>
  <c r="M67" i="34"/>
  <c r="L67" i="34"/>
  <c r="K67" i="34"/>
  <c r="O66" i="34"/>
  <c r="N66" i="34"/>
  <c r="M66" i="34"/>
  <c r="L66" i="34"/>
  <c r="K66" i="34"/>
  <c r="O65" i="34"/>
  <c r="N65" i="34"/>
  <c r="M65" i="34"/>
  <c r="L65" i="34"/>
  <c r="K65" i="34"/>
  <c r="O64" i="34"/>
  <c r="N64" i="34"/>
  <c r="M64" i="34"/>
  <c r="L64" i="34"/>
  <c r="K64" i="34"/>
  <c r="O63" i="34"/>
  <c r="N63" i="34"/>
  <c r="M63" i="34"/>
  <c r="L63" i="34"/>
  <c r="K63" i="34"/>
  <c r="O62" i="34"/>
  <c r="N62" i="34"/>
  <c r="M62" i="34"/>
  <c r="L62" i="34"/>
  <c r="K62" i="34"/>
  <c r="O61" i="34"/>
  <c r="N61" i="34"/>
  <c r="M61" i="34"/>
  <c r="L61" i="34"/>
  <c r="K61" i="34"/>
  <c r="O60" i="34"/>
  <c r="N60" i="34"/>
  <c r="M60" i="34"/>
  <c r="L60" i="34"/>
  <c r="K60" i="34"/>
  <c r="O59" i="34"/>
  <c r="N59" i="34"/>
  <c r="M59" i="34"/>
  <c r="L59" i="34"/>
  <c r="K59" i="34"/>
  <c r="O58" i="34"/>
  <c r="N58" i="34"/>
  <c r="M58" i="34"/>
  <c r="L58" i="34"/>
  <c r="K58" i="34"/>
  <c r="O57" i="34"/>
  <c r="N57" i="34"/>
  <c r="M57" i="34"/>
  <c r="L57" i="34"/>
  <c r="K57" i="34"/>
  <c r="O56" i="34"/>
  <c r="N56" i="34"/>
  <c r="M56" i="34"/>
  <c r="L56" i="34"/>
  <c r="K56" i="34"/>
  <c r="O55" i="34"/>
  <c r="N55" i="34"/>
  <c r="M55" i="34"/>
  <c r="L55" i="34"/>
  <c r="K55" i="34"/>
  <c r="O54" i="34"/>
  <c r="N54" i="34"/>
  <c r="M54" i="34"/>
  <c r="L54" i="34"/>
  <c r="K54" i="34"/>
  <c r="O53" i="34"/>
  <c r="N53" i="34"/>
  <c r="M53" i="34"/>
  <c r="L53" i="34"/>
  <c r="K53" i="34"/>
  <c r="O52" i="34"/>
  <c r="N52" i="34"/>
  <c r="M52" i="34"/>
  <c r="L52" i="34"/>
  <c r="K52" i="34"/>
  <c r="O51" i="34"/>
  <c r="N51" i="34"/>
  <c r="M51" i="34"/>
  <c r="L51" i="34"/>
  <c r="K51" i="34"/>
  <c r="O50" i="34"/>
  <c r="N50" i="34"/>
  <c r="M50" i="34"/>
  <c r="L50" i="34"/>
  <c r="K50" i="34"/>
  <c r="O49" i="34"/>
  <c r="N49" i="34"/>
  <c r="M49" i="34"/>
  <c r="L49" i="34"/>
  <c r="K49" i="34"/>
  <c r="O48" i="34"/>
  <c r="N48" i="34"/>
  <c r="M48" i="34"/>
  <c r="L48" i="34"/>
  <c r="K48" i="34"/>
  <c r="O47" i="34"/>
  <c r="N47" i="34"/>
  <c r="M47" i="34"/>
  <c r="L47" i="34"/>
  <c r="K47" i="34"/>
  <c r="O46" i="34"/>
  <c r="N46" i="34"/>
  <c r="M46" i="34"/>
  <c r="L46" i="34"/>
  <c r="K46" i="34"/>
  <c r="O45" i="34"/>
  <c r="N45" i="34"/>
  <c r="M45" i="34"/>
  <c r="L45" i="34"/>
  <c r="K45" i="34"/>
  <c r="O44" i="34"/>
  <c r="N44" i="34"/>
  <c r="M44" i="34"/>
  <c r="L44" i="34"/>
  <c r="K44" i="34"/>
  <c r="O43" i="34"/>
  <c r="N43" i="34"/>
  <c r="M43" i="34"/>
  <c r="L43" i="34"/>
  <c r="K43" i="34"/>
  <c r="O42" i="34"/>
  <c r="N42" i="34"/>
  <c r="M42" i="34"/>
  <c r="L42" i="34"/>
  <c r="K42" i="34"/>
  <c r="O41" i="34"/>
  <c r="N41" i="34"/>
  <c r="M41" i="34"/>
  <c r="L41" i="34"/>
  <c r="K41" i="34"/>
  <c r="O40" i="34"/>
  <c r="N40" i="34"/>
  <c r="M40" i="34"/>
  <c r="L40" i="34"/>
  <c r="K40" i="34"/>
  <c r="O39" i="34"/>
  <c r="N39" i="34"/>
  <c r="M39" i="34"/>
  <c r="L39" i="34"/>
  <c r="K39" i="34"/>
  <c r="O38" i="34"/>
  <c r="N38" i="34"/>
  <c r="M38" i="34"/>
  <c r="L38" i="34"/>
  <c r="K38" i="34"/>
  <c r="O37" i="34"/>
  <c r="N37" i="34"/>
  <c r="M37" i="34"/>
  <c r="L37" i="34"/>
  <c r="K37" i="34"/>
  <c r="O36" i="34"/>
  <c r="N36" i="34"/>
  <c r="M36" i="34"/>
  <c r="L36" i="34"/>
  <c r="K36" i="34"/>
  <c r="O35" i="34"/>
  <c r="N35" i="34"/>
  <c r="M35" i="34"/>
  <c r="L35" i="34"/>
  <c r="K35" i="34"/>
  <c r="O34" i="34"/>
  <c r="N34" i="34"/>
  <c r="M34" i="34"/>
  <c r="L34" i="34"/>
  <c r="K34" i="34"/>
  <c r="O33" i="34"/>
  <c r="N33" i="34"/>
  <c r="M33" i="34"/>
  <c r="L33" i="34"/>
  <c r="K33" i="34"/>
  <c r="O32" i="34"/>
  <c r="N32" i="34"/>
  <c r="M32" i="34"/>
  <c r="L32" i="34"/>
  <c r="K32" i="34"/>
  <c r="O31" i="34"/>
  <c r="N31" i="34"/>
  <c r="M31" i="34"/>
  <c r="L31" i="34"/>
  <c r="K31" i="34"/>
  <c r="O30" i="34"/>
  <c r="N30" i="34"/>
  <c r="M30" i="34"/>
  <c r="L30" i="34"/>
  <c r="K30" i="34"/>
  <c r="O29" i="34"/>
  <c r="N29" i="34"/>
  <c r="M29" i="34"/>
  <c r="L29" i="34"/>
  <c r="K29" i="34"/>
  <c r="K28" i="34"/>
  <c r="L28" i="34"/>
  <c r="M28" i="34"/>
  <c r="N28" i="34"/>
  <c r="O28" i="34"/>
  <c r="H3" i="34"/>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S180" i="33"/>
  <c r="R180" i="33"/>
  <c r="Q180" i="33"/>
  <c r="P180" i="33"/>
  <c r="O180" i="33" s="1"/>
  <c r="N180" i="33"/>
  <c r="S179" i="33"/>
  <c r="R179" i="33"/>
  <c r="Q179" i="33"/>
  <c r="P179" i="33"/>
  <c r="O179" i="33" s="1"/>
  <c r="N179" i="33"/>
  <c r="S178" i="33"/>
  <c r="R178" i="33"/>
  <c r="Q178" i="33"/>
  <c r="P178" i="33"/>
  <c r="O178" i="33" s="1"/>
  <c r="N178" i="33"/>
  <c r="S177" i="33"/>
  <c r="R177" i="33"/>
  <c r="Q177" i="33"/>
  <c r="P177" i="33"/>
  <c r="O177" i="33" s="1"/>
  <c r="N177" i="33"/>
  <c r="S176" i="33"/>
  <c r="R176" i="33"/>
  <c r="Q176" i="33"/>
  <c r="P176" i="33"/>
  <c r="O176" i="33" s="1"/>
  <c r="N176" i="33"/>
  <c r="S175" i="33"/>
  <c r="R175" i="33"/>
  <c r="Q175" i="33"/>
  <c r="P175" i="33"/>
  <c r="O175" i="33" s="1"/>
  <c r="N175" i="33"/>
  <c r="S174" i="33"/>
  <c r="R174" i="33"/>
  <c r="Q174" i="33"/>
  <c r="P174" i="33"/>
  <c r="O174" i="33" s="1"/>
  <c r="N174" i="33"/>
  <c r="S173" i="33"/>
  <c r="R173" i="33"/>
  <c r="Q173" i="33"/>
  <c r="P173" i="33"/>
  <c r="O173" i="33" s="1"/>
  <c r="N173" i="33"/>
  <c r="S172" i="33"/>
  <c r="R172" i="33"/>
  <c r="Q172" i="33"/>
  <c r="P172" i="33"/>
  <c r="O172" i="33" s="1"/>
  <c r="N172" i="33"/>
  <c r="S171" i="33"/>
  <c r="R171" i="33"/>
  <c r="Q171" i="33"/>
  <c r="P171" i="33"/>
  <c r="O171" i="33" s="1"/>
  <c r="N171" i="33"/>
  <c r="S170" i="33"/>
  <c r="R170" i="33"/>
  <c r="Q170" i="33"/>
  <c r="P170" i="33"/>
  <c r="O170" i="33" s="1"/>
  <c r="N170" i="33"/>
  <c r="S169" i="33"/>
  <c r="R169" i="33"/>
  <c r="Q169" i="33"/>
  <c r="P169" i="33"/>
  <c r="O169" i="33" s="1"/>
  <c r="N169" i="33"/>
  <c r="S168" i="33"/>
  <c r="R168" i="33"/>
  <c r="Q168" i="33"/>
  <c r="P168" i="33"/>
  <c r="N168" i="33"/>
  <c r="S167" i="33"/>
  <c r="R167" i="33"/>
  <c r="Q167" i="33"/>
  <c r="P167" i="33"/>
  <c r="O167" i="33" s="1"/>
  <c r="N167" i="33"/>
  <c r="S166" i="33"/>
  <c r="R166" i="33"/>
  <c r="Q166" i="33"/>
  <c r="P166" i="33"/>
  <c r="O166" i="33" s="1"/>
  <c r="N166" i="33"/>
  <c r="S165" i="33"/>
  <c r="R165" i="33"/>
  <c r="Q165" i="33"/>
  <c r="P165" i="33"/>
  <c r="O165" i="33" s="1"/>
  <c r="N165" i="33"/>
  <c r="S164" i="33"/>
  <c r="R164" i="33"/>
  <c r="Q164" i="33"/>
  <c r="P164" i="33"/>
  <c r="O164" i="33" s="1"/>
  <c r="N164" i="33"/>
  <c r="S163" i="33"/>
  <c r="R163" i="33"/>
  <c r="Q163" i="33"/>
  <c r="P163" i="33"/>
  <c r="O163" i="33" s="1"/>
  <c r="N163" i="33"/>
  <c r="S162" i="33"/>
  <c r="R162" i="33"/>
  <c r="Q162" i="33"/>
  <c r="P162" i="33"/>
  <c r="O162" i="33" s="1"/>
  <c r="N162" i="33"/>
  <c r="S161" i="33"/>
  <c r="R161" i="33"/>
  <c r="Q161" i="33"/>
  <c r="P161" i="33"/>
  <c r="O161" i="33" s="1"/>
  <c r="N161" i="33"/>
  <c r="S160" i="33"/>
  <c r="R160" i="33"/>
  <c r="Q160" i="33"/>
  <c r="P160" i="33"/>
  <c r="O160" i="33" s="1"/>
  <c r="N160" i="33"/>
  <c r="S159" i="33"/>
  <c r="R159" i="33"/>
  <c r="Q159" i="33"/>
  <c r="P159" i="33"/>
  <c r="O159" i="33" s="1"/>
  <c r="N159" i="33"/>
  <c r="S158" i="33"/>
  <c r="R158" i="33"/>
  <c r="Q158" i="33"/>
  <c r="P158" i="33"/>
  <c r="O158" i="33" s="1"/>
  <c r="N158" i="33"/>
  <c r="S157" i="33"/>
  <c r="R157" i="33"/>
  <c r="Q157" i="33"/>
  <c r="P157" i="33"/>
  <c r="O157" i="33" s="1"/>
  <c r="N157" i="33"/>
  <c r="S156" i="33"/>
  <c r="R156" i="33"/>
  <c r="Q156" i="33"/>
  <c r="P156" i="33"/>
  <c r="O156" i="33" s="1"/>
  <c r="N156" i="33"/>
  <c r="S155" i="33"/>
  <c r="R155" i="33"/>
  <c r="Q155" i="33"/>
  <c r="P155" i="33"/>
  <c r="O155" i="33" s="1"/>
  <c r="N155" i="33"/>
  <c r="S154" i="33"/>
  <c r="R154" i="33"/>
  <c r="Q154" i="33"/>
  <c r="P154" i="33"/>
  <c r="O154" i="33" s="1"/>
  <c r="N154" i="33"/>
  <c r="S153" i="33"/>
  <c r="R153" i="33"/>
  <c r="Q153" i="33"/>
  <c r="P153" i="33"/>
  <c r="O153" i="33" s="1"/>
  <c r="N153" i="33"/>
  <c r="S152" i="33"/>
  <c r="R152" i="33"/>
  <c r="Q152" i="33"/>
  <c r="P152" i="33"/>
  <c r="O152" i="33" s="1"/>
  <c r="N152" i="33"/>
  <c r="S151" i="33"/>
  <c r="R151" i="33"/>
  <c r="Q151" i="33"/>
  <c r="P151" i="33"/>
  <c r="O151" i="33" s="1"/>
  <c r="N151" i="33"/>
  <c r="S150" i="33"/>
  <c r="R150" i="33"/>
  <c r="Q150" i="33"/>
  <c r="P150" i="33"/>
  <c r="O150" i="33" s="1"/>
  <c r="N150" i="33"/>
  <c r="S149" i="33"/>
  <c r="R149" i="33"/>
  <c r="Q149" i="33"/>
  <c r="P149" i="33"/>
  <c r="O149" i="33" s="1"/>
  <c r="N149" i="33"/>
  <c r="S148" i="33"/>
  <c r="R148" i="33"/>
  <c r="Q148" i="33"/>
  <c r="P148" i="33"/>
  <c r="O148" i="33" s="1"/>
  <c r="N148" i="33"/>
  <c r="S147" i="33"/>
  <c r="R147" i="33"/>
  <c r="Q147" i="33"/>
  <c r="P147" i="33"/>
  <c r="O147" i="33" s="1"/>
  <c r="N147" i="33"/>
  <c r="S146" i="33"/>
  <c r="R146" i="33"/>
  <c r="Q146" i="33"/>
  <c r="P146" i="33"/>
  <c r="O146" i="33" s="1"/>
  <c r="N146" i="33"/>
  <c r="S145" i="33"/>
  <c r="R145" i="33"/>
  <c r="Q145" i="33"/>
  <c r="P145" i="33"/>
  <c r="O145" i="33" s="1"/>
  <c r="N145" i="33"/>
  <c r="S144" i="33"/>
  <c r="R144" i="33"/>
  <c r="Q144" i="33"/>
  <c r="P144" i="33"/>
  <c r="O144" i="33" s="1"/>
  <c r="N144" i="33"/>
  <c r="S143" i="33"/>
  <c r="R143" i="33"/>
  <c r="Q143" i="33"/>
  <c r="P143" i="33"/>
  <c r="O143" i="33" s="1"/>
  <c r="N143" i="33"/>
  <c r="S142" i="33"/>
  <c r="R142" i="33"/>
  <c r="Q142" i="33"/>
  <c r="P142" i="33"/>
  <c r="O142" i="33" s="1"/>
  <c r="N142" i="33"/>
  <c r="S141" i="33"/>
  <c r="R141" i="33"/>
  <c r="Q141" i="33"/>
  <c r="P141" i="33"/>
  <c r="O141" i="33" s="1"/>
  <c r="N141" i="33"/>
  <c r="S140" i="33"/>
  <c r="R140" i="33"/>
  <c r="Q140" i="33"/>
  <c r="P140" i="33"/>
  <c r="O140" i="33" s="1"/>
  <c r="N140" i="33"/>
  <c r="S139" i="33"/>
  <c r="R139" i="33"/>
  <c r="Q139" i="33"/>
  <c r="P139" i="33"/>
  <c r="O139" i="33" s="1"/>
  <c r="N139" i="33"/>
  <c r="S138" i="33"/>
  <c r="R138" i="33"/>
  <c r="Q138" i="33"/>
  <c r="P138" i="33"/>
  <c r="O138" i="33" s="1"/>
  <c r="N138" i="33"/>
  <c r="S137" i="33"/>
  <c r="R137" i="33"/>
  <c r="Q137" i="33"/>
  <c r="P137" i="33"/>
  <c r="O137" i="33" s="1"/>
  <c r="N137" i="33"/>
  <c r="S136" i="33"/>
  <c r="R136" i="33"/>
  <c r="Q136" i="33"/>
  <c r="P136" i="33"/>
  <c r="O136" i="33" s="1"/>
  <c r="N136" i="33"/>
  <c r="S135" i="33"/>
  <c r="R135" i="33"/>
  <c r="Q135" i="33"/>
  <c r="P135" i="33"/>
  <c r="O135" i="33" s="1"/>
  <c r="N135" i="33"/>
  <c r="S134" i="33"/>
  <c r="R134" i="33"/>
  <c r="Q134" i="33"/>
  <c r="P134" i="33"/>
  <c r="O134" i="33" s="1"/>
  <c r="N134" i="33"/>
  <c r="S133" i="33"/>
  <c r="R133" i="33"/>
  <c r="Q133" i="33"/>
  <c r="P133" i="33"/>
  <c r="O133" i="33" s="1"/>
  <c r="N133" i="33"/>
  <c r="S132" i="33"/>
  <c r="R132" i="33"/>
  <c r="Q132" i="33"/>
  <c r="P132" i="33"/>
  <c r="O132" i="33" s="1"/>
  <c r="N132" i="33"/>
  <c r="S131" i="33"/>
  <c r="R131" i="33"/>
  <c r="Q131" i="33"/>
  <c r="P131" i="33"/>
  <c r="O131" i="33" s="1"/>
  <c r="N131" i="33"/>
  <c r="S130" i="33"/>
  <c r="R130" i="33"/>
  <c r="Q130" i="33"/>
  <c r="P130" i="33"/>
  <c r="O130" i="33" s="1"/>
  <c r="N130" i="33"/>
  <c r="S129" i="33"/>
  <c r="R129" i="33"/>
  <c r="Q129" i="33"/>
  <c r="P129" i="33"/>
  <c r="O129" i="33" s="1"/>
  <c r="N129" i="33"/>
  <c r="S128" i="33"/>
  <c r="R128" i="33"/>
  <c r="Q128" i="33"/>
  <c r="P128" i="33"/>
  <c r="O128" i="33" s="1"/>
  <c r="N128" i="33"/>
  <c r="S127" i="33"/>
  <c r="R127" i="33"/>
  <c r="Q127" i="33"/>
  <c r="P127" i="33"/>
  <c r="O127" i="33" s="1"/>
  <c r="N127" i="33"/>
  <c r="S126" i="33"/>
  <c r="R126" i="33"/>
  <c r="Q126" i="33"/>
  <c r="P126" i="33"/>
  <c r="O126" i="33" s="1"/>
  <c r="N126" i="33"/>
  <c r="S125" i="33"/>
  <c r="R125" i="33"/>
  <c r="Q125" i="33"/>
  <c r="P125" i="33"/>
  <c r="O125" i="33" s="1"/>
  <c r="N125" i="33"/>
  <c r="S124" i="33"/>
  <c r="R124" i="33"/>
  <c r="Q124" i="33"/>
  <c r="P124" i="33"/>
  <c r="O124" i="33" s="1"/>
  <c r="N124" i="33"/>
  <c r="S123" i="33"/>
  <c r="R123" i="33"/>
  <c r="Q123" i="33"/>
  <c r="P123" i="33"/>
  <c r="O123" i="33" s="1"/>
  <c r="N123" i="33"/>
  <c r="S122" i="33"/>
  <c r="R122" i="33"/>
  <c r="Q122" i="33"/>
  <c r="P122" i="33"/>
  <c r="O122" i="33" s="1"/>
  <c r="N122" i="33"/>
  <c r="S121" i="33"/>
  <c r="R121" i="33"/>
  <c r="Q121" i="33"/>
  <c r="P121" i="33"/>
  <c r="O121" i="33" s="1"/>
  <c r="N121" i="33"/>
  <c r="S120" i="33"/>
  <c r="R120" i="33"/>
  <c r="Q120" i="33"/>
  <c r="P120" i="33"/>
  <c r="O120" i="33" s="1"/>
  <c r="N120" i="33"/>
  <c r="S119" i="33"/>
  <c r="R119" i="33"/>
  <c r="Q119" i="33"/>
  <c r="P119" i="33"/>
  <c r="O119" i="33" s="1"/>
  <c r="N119" i="33"/>
  <c r="S118" i="33"/>
  <c r="R118" i="33"/>
  <c r="Q118" i="33"/>
  <c r="P118" i="33"/>
  <c r="O118" i="33" s="1"/>
  <c r="N118" i="33"/>
  <c r="S117" i="33"/>
  <c r="R117" i="33"/>
  <c r="Q117" i="33"/>
  <c r="P117" i="33"/>
  <c r="O117" i="33" s="1"/>
  <c r="N117" i="33"/>
  <c r="S116" i="33"/>
  <c r="R116" i="33"/>
  <c r="Q116" i="33"/>
  <c r="P116" i="33"/>
  <c r="O116" i="33" s="1"/>
  <c r="N116" i="33"/>
  <c r="S115" i="33"/>
  <c r="R115" i="33"/>
  <c r="Q115" i="33"/>
  <c r="P115" i="33"/>
  <c r="O115" i="33" s="1"/>
  <c r="N115" i="33"/>
  <c r="S114" i="33"/>
  <c r="R114" i="33"/>
  <c r="Q114" i="33"/>
  <c r="P114" i="33"/>
  <c r="O114" i="33" s="1"/>
  <c r="N114" i="33"/>
  <c r="S113" i="33"/>
  <c r="R113" i="33"/>
  <c r="Q113" i="33"/>
  <c r="P113" i="33"/>
  <c r="O113" i="33" s="1"/>
  <c r="N113" i="33"/>
  <c r="S112" i="33"/>
  <c r="R112" i="33"/>
  <c r="Q112" i="33"/>
  <c r="P112" i="33"/>
  <c r="O112" i="33" s="1"/>
  <c r="N112" i="33"/>
  <c r="S111" i="33"/>
  <c r="R111" i="33"/>
  <c r="Q111" i="33"/>
  <c r="P111" i="33"/>
  <c r="O111" i="33" s="1"/>
  <c r="N111" i="33"/>
  <c r="S110" i="33"/>
  <c r="R110" i="33"/>
  <c r="Q110" i="33"/>
  <c r="P110" i="33"/>
  <c r="O110" i="33" s="1"/>
  <c r="N110" i="33"/>
  <c r="S109" i="33"/>
  <c r="R109" i="33"/>
  <c r="Q109" i="33"/>
  <c r="P109" i="33"/>
  <c r="O109" i="33" s="1"/>
  <c r="N109" i="33"/>
  <c r="S108" i="33"/>
  <c r="R108" i="33"/>
  <c r="Q108" i="33"/>
  <c r="P108" i="33"/>
  <c r="O108" i="33" s="1"/>
  <c r="N108" i="33"/>
  <c r="S107" i="33"/>
  <c r="R107" i="33"/>
  <c r="Q107" i="33"/>
  <c r="P107" i="33"/>
  <c r="O107" i="33" s="1"/>
  <c r="N107" i="33"/>
  <c r="S106" i="33"/>
  <c r="R106" i="33"/>
  <c r="Q106" i="33"/>
  <c r="P106" i="33"/>
  <c r="O106" i="33" s="1"/>
  <c r="N106" i="33"/>
  <c r="S105" i="33"/>
  <c r="R105" i="33"/>
  <c r="Q105" i="33"/>
  <c r="P105" i="33"/>
  <c r="O105" i="33" s="1"/>
  <c r="N105" i="33"/>
  <c r="S104" i="33"/>
  <c r="R104" i="33"/>
  <c r="Q104" i="33"/>
  <c r="P104" i="33"/>
  <c r="O104" i="33"/>
  <c r="N104" i="33"/>
  <c r="S103" i="33"/>
  <c r="R103" i="33"/>
  <c r="Q103" i="33"/>
  <c r="P103" i="33"/>
  <c r="O103" i="33"/>
  <c r="N103" i="33"/>
  <c r="S102" i="33"/>
  <c r="R102" i="33"/>
  <c r="Q102" i="33"/>
  <c r="P102" i="33"/>
  <c r="O102" i="33"/>
  <c r="N102" i="33"/>
  <c r="S101" i="33"/>
  <c r="R101" i="33"/>
  <c r="Q101" i="33"/>
  <c r="P101" i="33"/>
  <c r="O101" i="33"/>
  <c r="N101" i="33"/>
  <c r="S100" i="33"/>
  <c r="R100" i="33"/>
  <c r="Q100" i="33"/>
  <c r="P100" i="33"/>
  <c r="O100" i="33" s="1"/>
  <c r="N100" i="33"/>
  <c r="S99" i="33"/>
  <c r="R99" i="33"/>
  <c r="Q99" i="33"/>
  <c r="P99" i="33"/>
  <c r="O99" i="33" s="1"/>
  <c r="N99" i="33"/>
  <c r="S98" i="33"/>
  <c r="R98" i="33"/>
  <c r="Q98" i="33"/>
  <c r="P98" i="33"/>
  <c r="O98" i="33" s="1"/>
  <c r="N98" i="33"/>
  <c r="S97" i="33"/>
  <c r="R97" i="33"/>
  <c r="Q97" i="33"/>
  <c r="P97" i="33"/>
  <c r="O97" i="33" s="1"/>
  <c r="N97" i="33"/>
  <c r="S96" i="33"/>
  <c r="R96" i="33"/>
  <c r="Q96" i="33"/>
  <c r="P96" i="33"/>
  <c r="O96" i="33" s="1"/>
  <c r="N96" i="33"/>
  <c r="S95" i="33"/>
  <c r="R95" i="33"/>
  <c r="Q95" i="33"/>
  <c r="P95" i="33"/>
  <c r="O95" i="33" s="1"/>
  <c r="N95" i="33"/>
  <c r="S94" i="33"/>
  <c r="R94" i="33"/>
  <c r="Q94" i="33"/>
  <c r="P94" i="33"/>
  <c r="O94" i="33" s="1"/>
  <c r="N94" i="33"/>
  <c r="S93" i="33"/>
  <c r="R93" i="33"/>
  <c r="Q93" i="33"/>
  <c r="P93" i="33"/>
  <c r="O93" i="33" s="1"/>
  <c r="N93" i="33"/>
  <c r="S92" i="33"/>
  <c r="R92" i="33"/>
  <c r="Q92" i="33"/>
  <c r="P92" i="33"/>
  <c r="O92" i="33" s="1"/>
  <c r="N92" i="33"/>
  <c r="S91" i="33"/>
  <c r="R91" i="33"/>
  <c r="Q91" i="33"/>
  <c r="P91" i="33"/>
  <c r="O91" i="33" s="1"/>
  <c r="N91" i="33"/>
  <c r="S90" i="33"/>
  <c r="R90" i="33"/>
  <c r="Q90" i="33"/>
  <c r="P90" i="33"/>
  <c r="O90" i="33" s="1"/>
  <c r="N90" i="33"/>
  <c r="S89" i="33"/>
  <c r="R89" i="33"/>
  <c r="Q89" i="33"/>
  <c r="P89" i="33"/>
  <c r="O89" i="33" s="1"/>
  <c r="N89" i="33"/>
  <c r="S88" i="33"/>
  <c r="R88" i="33"/>
  <c r="Q88" i="33"/>
  <c r="P88" i="33"/>
  <c r="O88" i="33" s="1"/>
  <c r="N88" i="33"/>
  <c r="S87" i="33"/>
  <c r="R87" i="33"/>
  <c r="Q87" i="33"/>
  <c r="P87" i="33"/>
  <c r="O87" i="33" s="1"/>
  <c r="N87" i="33"/>
  <c r="S86" i="33"/>
  <c r="R86" i="33"/>
  <c r="Q86" i="33"/>
  <c r="P86" i="33"/>
  <c r="O86" i="33" s="1"/>
  <c r="N86" i="33"/>
  <c r="S85" i="33"/>
  <c r="R85" i="33"/>
  <c r="Q85" i="33"/>
  <c r="P85" i="33"/>
  <c r="O85" i="33" s="1"/>
  <c r="N85" i="33"/>
  <c r="S84" i="33"/>
  <c r="R84" i="33"/>
  <c r="Q84" i="33"/>
  <c r="P84" i="33"/>
  <c r="O84" i="33" s="1"/>
  <c r="N84" i="33"/>
  <c r="S83" i="33"/>
  <c r="R83" i="33"/>
  <c r="Q83" i="33"/>
  <c r="P83" i="33"/>
  <c r="O83" i="33" s="1"/>
  <c r="N83" i="33"/>
  <c r="S82" i="33"/>
  <c r="R82" i="33"/>
  <c r="Q82" i="33"/>
  <c r="P82" i="33"/>
  <c r="O82" i="33" s="1"/>
  <c r="N82" i="33"/>
  <c r="S81" i="33"/>
  <c r="R81" i="33"/>
  <c r="Q81" i="33"/>
  <c r="P81" i="33"/>
  <c r="O81" i="33" s="1"/>
  <c r="N81" i="33"/>
  <c r="S80" i="33"/>
  <c r="R80" i="33"/>
  <c r="Q80" i="33"/>
  <c r="P80" i="33"/>
  <c r="O80" i="33" s="1"/>
  <c r="N80" i="33"/>
  <c r="S79" i="33"/>
  <c r="R79" i="33"/>
  <c r="Q79" i="33"/>
  <c r="P79" i="33"/>
  <c r="O79" i="33" s="1"/>
  <c r="N79" i="33"/>
  <c r="S78" i="33"/>
  <c r="R78" i="33"/>
  <c r="Q78" i="33"/>
  <c r="P78" i="33"/>
  <c r="O78" i="33" s="1"/>
  <c r="N78" i="33"/>
  <c r="S77" i="33"/>
  <c r="R77" i="33"/>
  <c r="Q77" i="33"/>
  <c r="P77" i="33"/>
  <c r="O77" i="33" s="1"/>
  <c r="N77" i="33"/>
  <c r="S76" i="33"/>
  <c r="R76" i="33"/>
  <c r="Q76" i="33"/>
  <c r="P76" i="33"/>
  <c r="O76" i="33" s="1"/>
  <c r="N76" i="33"/>
  <c r="S75" i="33"/>
  <c r="R75" i="33"/>
  <c r="Q75" i="33"/>
  <c r="P75" i="33"/>
  <c r="O75" i="33" s="1"/>
  <c r="N75" i="33"/>
  <c r="S74" i="33"/>
  <c r="R74" i="33"/>
  <c r="Q74" i="33"/>
  <c r="P74" i="33"/>
  <c r="O74" i="33" s="1"/>
  <c r="N74" i="33"/>
  <c r="S73" i="33"/>
  <c r="R73" i="33"/>
  <c r="Q73" i="33"/>
  <c r="P73" i="33"/>
  <c r="O73" i="33" s="1"/>
  <c r="N73" i="33"/>
  <c r="S72" i="33"/>
  <c r="R72" i="33"/>
  <c r="Q72" i="33"/>
  <c r="P72" i="33"/>
  <c r="O72" i="33" s="1"/>
  <c r="N72" i="33"/>
  <c r="P2" i="33"/>
  <c r="O2" i="33" s="1"/>
  <c r="P3" i="33"/>
  <c r="O3" i="33" s="1"/>
  <c r="P4" i="33"/>
  <c r="O4" i="33" s="1"/>
  <c r="P5" i="33"/>
  <c r="O5" i="33" s="1"/>
  <c r="P6" i="33"/>
  <c r="O6" i="33" s="1"/>
  <c r="P7" i="33"/>
  <c r="O7" i="33" s="1"/>
  <c r="P8" i="33"/>
  <c r="O8" i="33" s="1"/>
  <c r="P9" i="33"/>
  <c r="O9" i="33" s="1"/>
  <c r="P10" i="33"/>
  <c r="O10" i="33" s="1"/>
  <c r="P11" i="33"/>
  <c r="O11" i="33" s="1"/>
  <c r="P12" i="33"/>
  <c r="O12" i="33" s="1"/>
  <c r="P13" i="33"/>
  <c r="O13" i="33" s="1"/>
  <c r="P14" i="33"/>
  <c r="O14" i="33" s="1"/>
  <c r="P15" i="33"/>
  <c r="O15" i="33" s="1"/>
  <c r="P16" i="33"/>
  <c r="O16" i="33" s="1"/>
  <c r="P17" i="33"/>
  <c r="O17" i="33" s="1"/>
  <c r="P18" i="33"/>
  <c r="O18" i="33" s="1"/>
  <c r="P19" i="33"/>
  <c r="O19" i="33" s="1"/>
  <c r="P20" i="33"/>
  <c r="O20" i="33" s="1"/>
  <c r="P21" i="33"/>
  <c r="O21" i="33" s="1"/>
  <c r="P22" i="33"/>
  <c r="O22" i="33" s="1"/>
  <c r="P23" i="33"/>
  <c r="O23" i="33" s="1"/>
  <c r="P24" i="33"/>
  <c r="O24" i="33" s="1"/>
  <c r="P25" i="33"/>
  <c r="O25" i="33" s="1"/>
  <c r="P26" i="33"/>
  <c r="O26" i="33" s="1"/>
  <c r="P27" i="33"/>
  <c r="O27" i="33" s="1"/>
  <c r="P28" i="33"/>
  <c r="O28" i="33" s="1"/>
  <c r="P29" i="33"/>
  <c r="O29" i="33" s="1"/>
  <c r="P30" i="33"/>
  <c r="O30" i="33" s="1"/>
  <c r="P31" i="33"/>
  <c r="O31" i="33" s="1"/>
  <c r="P32" i="33"/>
  <c r="O32" i="33" s="1"/>
  <c r="P33" i="33"/>
  <c r="O33" i="33" s="1"/>
  <c r="P34" i="33"/>
  <c r="O34" i="33" s="1"/>
  <c r="P35" i="33"/>
  <c r="O35" i="33" s="1"/>
  <c r="P36" i="33"/>
  <c r="O36" i="33" s="1"/>
  <c r="P37" i="33"/>
  <c r="O37" i="33" s="1"/>
  <c r="P38" i="33"/>
  <c r="O38" i="33" s="1"/>
  <c r="P39" i="33"/>
  <c r="O39" i="33" s="1"/>
  <c r="P40" i="33"/>
  <c r="O40" i="33" s="1"/>
  <c r="P41" i="33"/>
  <c r="O41" i="33" s="1"/>
  <c r="P42" i="33"/>
  <c r="O42" i="33" s="1"/>
  <c r="P43" i="33"/>
  <c r="O43" i="33" s="1"/>
  <c r="P44" i="33"/>
  <c r="O44" i="33" s="1"/>
  <c r="P45" i="33"/>
  <c r="O45" i="33" s="1"/>
  <c r="P46" i="33"/>
  <c r="O46" i="33" s="1"/>
  <c r="P47" i="33"/>
  <c r="O47" i="33" s="1"/>
  <c r="P48" i="33"/>
  <c r="O48" i="33" s="1"/>
  <c r="P49" i="33"/>
  <c r="O49" i="33" s="1"/>
  <c r="P50" i="33"/>
  <c r="O50" i="33" s="1"/>
  <c r="P51" i="33"/>
  <c r="O51" i="33" s="1"/>
  <c r="P52" i="33"/>
  <c r="O52" i="33" s="1"/>
  <c r="P53" i="33"/>
  <c r="O53" i="33" s="1"/>
  <c r="P54" i="33"/>
  <c r="O54" i="33" s="1"/>
  <c r="P55" i="33"/>
  <c r="O55" i="33" s="1"/>
  <c r="P56" i="33"/>
  <c r="O56" i="33" s="1"/>
  <c r="P57" i="33"/>
  <c r="O57" i="33" s="1"/>
  <c r="P58" i="33"/>
  <c r="O58" i="33" s="1"/>
  <c r="P59" i="33"/>
  <c r="O59" i="33" s="1"/>
  <c r="P60" i="33"/>
  <c r="O60" i="33" s="1"/>
  <c r="P61" i="33"/>
  <c r="O61" i="33" s="1"/>
  <c r="P62" i="33"/>
  <c r="O62" i="33" s="1"/>
  <c r="P63" i="33"/>
  <c r="O63" i="33" s="1"/>
  <c r="P64" i="33"/>
  <c r="O64" i="33" s="1"/>
  <c r="P65" i="33"/>
  <c r="O65" i="33" s="1"/>
  <c r="P66" i="33"/>
  <c r="O66" i="33" s="1"/>
  <c r="P67" i="33"/>
  <c r="O67" i="33" s="1"/>
  <c r="P68" i="33"/>
  <c r="O68" i="33" s="1"/>
  <c r="P69" i="33"/>
  <c r="O69" i="33" s="1"/>
  <c r="P70" i="33"/>
  <c r="O70" i="33" s="1"/>
  <c r="P71" i="33"/>
  <c r="O71" i="33" s="1"/>
  <c r="N2" i="33"/>
  <c r="Q2" i="33"/>
  <c r="R2" i="33"/>
  <c r="S2" i="33"/>
  <c r="N3" i="33"/>
  <c r="Q3" i="33"/>
  <c r="R3" i="33"/>
  <c r="S3" i="33"/>
  <c r="N4" i="33"/>
  <c r="Q4" i="33"/>
  <c r="R4" i="33"/>
  <c r="S4" i="33"/>
  <c r="N5" i="33"/>
  <c r="Q5" i="33"/>
  <c r="R5" i="33"/>
  <c r="S5" i="33"/>
  <c r="N6" i="33"/>
  <c r="Q6" i="33"/>
  <c r="R6" i="33"/>
  <c r="S6" i="33"/>
  <c r="N7" i="33"/>
  <c r="Q7" i="33"/>
  <c r="R7" i="33"/>
  <c r="S7" i="33"/>
  <c r="N8" i="33"/>
  <c r="Q8" i="33"/>
  <c r="R8" i="33"/>
  <c r="S8" i="33"/>
  <c r="N9" i="33"/>
  <c r="Q9" i="33"/>
  <c r="R9" i="33"/>
  <c r="S9" i="33"/>
  <c r="N10" i="33"/>
  <c r="Q10" i="33"/>
  <c r="R10" i="33"/>
  <c r="S10" i="33"/>
  <c r="N11" i="33"/>
  <c r="Q11" i="33"/>
  <c r="R11" i="33"/>
  <c r="S11" i="33"/>
  <c r="N12" i="33"/>
  <c r="Q12" i="33"/>
  <c r="R12" i="33"/>
  <c r="S12" i="33"/>
  <c r="N13" i="33"/>
  <c r="Q13" i="33"/>
  <c r="R13" i="33"/>
  <c r="S13" i="33"/>
  <c r="N14" i="33"/>
  <c r="Q14" i="33"/>
  <c r="R14" i="33"/>
  <c r="S14" i="33"/>
  <c r="N15" i="33"/>
  <c r="Q15" i="33"/>
  <c r="R15" i="33"/>
  <c r="S15" i="33"/>
  <c r="N16" i="33"/>
  <c r="Q16" i="33"/>
  <c r="R16" i="33"/>
  <c r="S16" i="33"/>
  <c r="N17" i="33"/>
  <c r="Q17" i="33"/>
  <c r="R17" i="33"/>
  <c r="S17" i="33"/>
  <c r="N18" i="33"/>
  <c r="Q18" i="33"/>
  <c r="R18" i="33"/>
  <c r="S18" i="33"/>
  <c r="N19" i="33"/>
  <c r="Q19" i="33"/>
  <c r="R19" i="33"/>
  <c r="S19" i="33"/>
  <c r="N20" i="33"/>
  <c r="Q20" i="33"/>
  <c r="R20" i="33"/>
  <c r="S20" i="33"/>
  <c r="N21" i="33"/>
  <c r="Q21" i="33"/>
  <c r="R21" i="33"/>
  <c r="S21" i="33"/>
  <c r="N22" i="33"/>
  <c r="Q22" i="33"/>
  <c r="R22" i="33"/>
  <c r="S22" i="33"/>
  <c r="N23" i="33"/>
  <c r="Q23" i="33"/>
  <c r="R23" i="33"/>
  <c r="S23" i="33"/>
  <c r="N24" i="33"/>
  <c r="Q24" i="33"/>
  <c r="R24" i="33"/>
  <c r="S24" i="33"/>
  <c r="N25" i="33"/>
  <c r="Q25" i="33"/>
  <c r="R25" i="33"/>
  <c r="S25" i="33"/>
  <c r="N26" i="33"/>
  <c r="Q26" i="33"/>
  <c r="R26" i="33"/>
  <c r="S26" i="33"/>
  <c r="N27" i="33"/>
  <c r="Q27" i="33"/>
  <c r="R27" i="33"/>
  <c r="S27" i="33"/>
  <c r="N28" i="33"/>
  <c r="Q28" i="33"/>
  <c r="R28" i="33"/>
  <c r="S28" i="33"/>
  <c r="N29" i="33"/>
  <c r="Q29" i="33"/>
  <c r="R29" i="33"/>
  <c r="S29" i="33"/>
  <c r="N30" i="33"/>
  <c r="Q30" i="33"/>
  <c r="R30" i="33"/>
  <c r="S30" i="33"/>
  <c r="N31" i="33"/>
  <c r="Q31" i="33"/>
  <c r="R31" i="33"/>
  <c r="S31" i="33"/>
  <c r="N32" i="33"/>
  <c r="Q32" i="33"/>
  <c r="R32" i="33"/>
  <c r="S32" i="33"/>
  <c r="N33" i="33"/>
  <c r="Q33" i="33"/>
  <c r="R33" i="33"/>
  <c r="S33" i="33"/>
  <c r="N34" i="33"/>
  <c r="Q34" i="33"/>
  <c r="R34" i="33"/>
  <c r="S34" i="33"/>
  <c r="N35" i="33"/>
  <c r="Q35" i="33"/>
  <c r="R35" i="33"/>
  <c r="S35" i="33"/>
  <c r="N36" i="33"/>
  <c r="Q36" i="33"/>
  <c r="R36" i="33"/>
  <c r="S36" i="33"/>
  <c r="N37" i="33"/>
  <c r="Q37" i="33"/>
  <c r="R37" i="33"/>
  <c r="S37" i="33"/>
  <c r="N38" i="33"/>
  <c r="Q38" i="33"/>
  <c r="R38" i="33"/>
  <c r="S38" i="33"/>
  <c r="N39" i="33"/>
  <c r="Q39" i="33"/>
  <c r="R39" i="33"/>
  <c r="S39" i="33"/>
  <c r="N40" i="33"/>
  <c r="Q40" i="33"/>
  <c r="R40" i="33"/>
  <c r="S40" i="33"/>
  <c r="N41" i="33"/>
  <c r="Q41" i="33"/>
  <c r="R41" i="33"/>
  <c r="S41" i="33"/>
  <c r="N42" i="33"/>
  <c r="Q42" i="33"/>
  <c r="R42" i="33"/>
  <c r="S42" i="33"/>
  <c r="N43" i="33"/>
  <c r="Q43" i="33"/>
  <c r="R43" i="33"/>
  <c r="S43" i="33"/>
  <c r="N44" i="33"/>
  <c r="Q44" i="33"/>
  <c r="R44" i="33"/>
  <c r="S44" i="33"/>
  <c r="N45" i="33"/>
  <c r="Q45" i="33"/>
  <c r="R45" i="33"/>
  <c r="S45" i="33"/>
  <c r="N46" i="33"/>
  <c r="Q46" i="33"/>
  <c r="R46" i="33"/>
  <c r="S46" i="33"/>
  <c r="N47" i="33"/>
  <c r="Q47" i="33"/>
  <c r="R47" i="33"/>
  <c r="S47" i="33"/>
  <c r="N48" i="33"/>
  <c r="Q48" i="33"/>
  <c r="R48" i="33"/>
  <c r="S48" i="33"/>
  <c r="N49" i="33"/>
  <c r="Q49" i="33"/>
  <c r="R49" i="33"/>
  <c r="S49" i="33"/>
  <c r="N50" i="33"/>
  <c r="Q50" i="33"/>
  <c r="R50" i="33"/>
  <c r="S50" i="33"/>
  <c r="N51" i="33"/>
  <c r="Q51" i="33"/>
  <c r="R51" i="33"/>
  <c r="S51" i="33"/>
  <c r="N52" i="33"/>
  <c r="Q52" i="33"/>
  <c r="R52" i="33"/>
  <c r="S52" i="33"/>
  <c r="N53" i="33"/>
  <c r="Q53" i="33"/>
  <c r="R53" i="33"/>
  <c r="S53" i="33"/>
  <c r="N54" i="33"/>
  <c r="Q54" i="33"/>
  <c r="R54" i="33"/>
  <c r="S54" i="33"/>
  <c r="N55" i="33"/>
  <c r="Q55" i="33"/>
  <c r="R55" i="33"/>
  <c r="S55" i="33"/>
  <c r="N56" i="33"/>
  <c r="Q56" i="33"/>
  <c r="R56" i="33"/>
  <c r="S56" i="33"/>
  <c r="N57" i="33"/>
  <c r="Q57" i="33"/>
  <c r="R57" i="33"/>
  <c r="S57" i="33"/>
  <c r="N58" i="33"/>
  <c r="Q58" i="33"/>
  <c r="R58" i="33"/>
  <c r="S58" i="33"/>
  <c r="N59" i="33"/>
  <c r="Q59" i="33"/>
  <c r="R59" i="33"/>
  <c r="S59" i="33"/>
  <c r="N60" i="33"/>
  <c r="Q60" i="33"/>
  <c r="R60" i="33"/>
  <c r="S60" i="33"/>
  <c r="N61" i="33"/>
  <c r="Q61" i="33"/>
  <c r="R61" i="33"/>
  <c r="S61" i="33"/>
  <c r="N62" i="33"/>
  <c r="Q62" i="33"/>
  <c r="R62" i="33"/>
  <c r="S62" i="33"/>
  <c r="N63" i="33"/>
  <c r="Q63" i="33"/>
  <c r="R63" i="33"/>
  <c r="S63" i="33"/>
  <c r="N64" i="33"/>
  <c r="Q64" i="33"/>
  <c r="R64" i="33"/>
  <c r="S64" i="33"/>
  <c r="N65" i="33"/>
  <c r="Q65" i="33"/>
  <c r="R65" i="33"/>
  <c r="S65" i="33"/>
  <c r="N66" i="33"/>
  <c r="Q66" i="33"/>
  <c r="R66" i="33"/>
  <c r="S66" i="33"/>
  <c r="N67" i="33"/>
  <c r="Q67" i="33"/>
  <c r="R67" i="33"/>
  <c r="S67" i="33"/>
  <c r="N68" i="33"/>
  <c r="Q68" i="33"/>
  <c r="R68" i="33"/>
  <c r="S68" i="33"/>
  <c r="N69" i="33"/>
  <c r="Q69" i="33"/>
  <c r="R69" i="33"/>
  <c r="S69" i="33"/>
  <c r="N70" i="33"/>
  <c r="Q70" i="33"/>
  <c r="R70" i="33"/>
  <c r="S70" i="33"/>
  <c r="N71" i="33"/>
  <c r="Q71" i="33"/>
  <c r="R71" i="33"/>
  <c r="S71" i="33"/>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D2" i="15"/>
  <c r="Q13" i="9"/>
  <c r="Q12" i="9"/>
  <c r="Q11" i="9"/>
  <c r="Q10" i="9"/>
  <c r="Q9" i="9"/>
  <c r="Q8" i="9"/>
  <c r="Q7" i="9"/>
  <c r="Q6" i="9"/>
  <c r="Q5" i="9"/>
  <c r="Q4" i="9"/>
  <c r="I24" i="9"/>
  <c r="I23" i="9"/>
  <c r="I20" i="9"/>
  <c r="I19" i="9"/>
  <c r="I18" i="9"/>
  <c r="I23" i="10"/>
  <c r="I22" i="10"/>
  <c r="I21" i="10"/>
  <c r="I20" i="10"/>
  <c r="I19" i="10"/>
  <c r="I18" i="10"/>
  <c r="AA101" i="17"/>
  <c r="Z101" i="17"/>
  <c r="Y101" i="17"/>
  <c r="X101" i="17"/>
  <c r="W101" i="17"/>
  <c r="V101" i="17"/>
  <c r="U101" i="17"/>
  <c r="T101" i="17"/>
  <c r="S101" i="17"/>
  <c r="R101" i="17"/>
  <c r="Q101" i="17"/>
  <c r="P101" i="17"/>
  <c r="AA100" i="17"/>
  <c r="Z100" i="17"/>
  <c r="Y100" i="17"/>
  <c r="X100" i="17"/>
  <c r="W100" i="17"/>
  <c r="V100" i="17"/>
  <c r="U100" i="17"/>
  <c r="T100" i="17"/>
  <c r="S100" i="17"/>
  <c r="R100" i="17"/>
  <c r="Q100" i="17"/>
  <c r="P100" i="17"/>
  <c r="B155" i="17"/>
  <c r="A155" i="17"/>
  <c r="B154" i="17"/>
  <c r="A154" i="17"/>
  <c r="B153" i="17"/>
  <c r="A153" i="17"/>
  <c r="B152" i="17"/>
  <c r="A152" i="17"/>
  <c r="B151" i="17"/>
  <c r="A151" i="17"/>
  <c r="B150" i="17"/>
  <c r="A150" i="17"/>
  <c r="B149" i="17"/>
  <c r="A149" i="17"/>
  <c r="B148" i="17"/>
  <c r="A148" i="17"/>
  <c r="B147" i="17"/>
  <c r="A147" i="17"/>
  <c r="B146" i="17"/>
  <c r="A146" i="17"/>
  <c r="B145" i="17"/>
  <c r="A145" i="17"/>
  <c r="B144" i="17"/>
  <c r="A144" i="17"/>
  <c r="B143" i="17"/>
  <c r="A143" i="17"/>
  <c r="B142" i="17"/>
  <c r="A142" i="17"/>
  <c r="B141" i="17"/>
  <c r="A141" i="17"/>
  <c r="B140" i="17"/>
  <c r="A140" i="17"/>
  <c r="B139" i="17"/>
  <c r="A139" i="17"/>
  <c r="B138" i="17"/>
  <c r="A138" i="17"/>
  <c r="B137" i="17"/>
  <c r="A137" i="17"/>
  <c r="B136" i="17"/>
  <c r="A136" i="17"/>
  <c r="B135" i="17"/>
  <c r="A135" i="17"/>
  <c r="B134" i="17"/>
  <c r="A134" i="17"/>
  <c r="B133" i="17"/>
  <c r="A133" i="17"/>
  <c r="B132" i="17"/>
  <c r="A132" i="17"/>
  <c r="B131" i="17"/>
  <c r="A131" i="17"/>
  <c r="B130" i="17"/>
  <c r="A130" i="17"/>
  <c r="B129" i="17"/>
  <c r="A129" i="17"/>
  <c r="B128" i="17"/>
  <c r="A128" i="17"/>
  <c r="B127" i="17"/>
  <c r="A127" i="17"/>
  <c r="B126" i="17"/>
  <c r="A126" i="17"/>
  <c r="B125" i="17"/>
  <c r="A125" i="17"/>
  <c r="B124" i="17"/>
  <c r="A124" i="17"/>
  <c r="B123" i="17"/>
  <c r="A123" i="17"/>
  <c r="B122" i="17"/>
  <c r="A122" i="17"/>
  <c r="B121" i="17"/>
  <c r="A121" i="17"/>
  <c r="B120" i="17"/>
  <c r="A120" i="17"/>
  <c r="B119" i="17"/>
  <c r="A119" i="17"/>
  <c r="B118" i="17"/>
  <c r="A118" i="17"/>
  <c r="B117" i="17"/>
  <c r="A117" i="17"/>
  <c r="B116" i="17"/>
  <c r="A116" i="17"/>
  <c r="B115" i="17"/>
  <c r="A115" i="17"/>
  <c r="B114" i="17"/>
  <c r="A114" i="17"/>
  <c r="B113" i="17"/>
  <c r="A113" i="17"/>
  <c r="B112" i="17"/>
  <c r="A112" i="17"/>
  <c r="B111" i="17"/>
  <c r="A111" i="17"/>
  <c r="B110" i="17"/>
  <c r="A110" i="17"/>
  <c r="B109" i="17"/>
  <c r="A109" i="17"/>
  <c r="B108" i="17"/>
  <c r="A108" i="17"/>
  <c r="B107" i="17"/>
  <c r="A107" i="17"/>
  <c r="B106" i="17"/>
  <c r="A106" i="17"/>
  <c r="B110" i="19"/>
  <c r="D118" i="18"/>
  <c r="D117" i="18"/>
  <c r="D116" i="18"/>
  <c r="D115" i="18"/>
  <c r="D114" i="18"/>
  <c r="D113" i="18"/>
  <c r="D112" i="18"/>
  <c r="D111" i="18"/>
  <c r="D110" i="18"/>
  <c r="D109" i="18"/>
  <c r="D108" i="18"/>
  <c r="D107" i="18"/>
  <c r="D106" i="18"/>
  <c r="D105" i="18"/>
  <c r="D104" i="18"/>
  <c r="D103" i="18"/>
  <c r="D102" i="18"/>
  <c r="D101" i="18"/>
  <c r="D100" i="18"/>
  <c r="D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I17" i="19"/>
  <c r="I18" i="19"/>
  <c r="I103" i="19" s="1"/>
  <c r="I112" i="19" s="1"/>
  <c r="I19" i="19"/>
  <c r="I20" i="19"/>
  <c r="I21" i="19"/>
  <c r="I22" i="19"/>
  <c r="I23" i="19"/>
  <c r="I24" i="19"/>
  <c r="I25" i="19"/>
  <c r="I26" i="19"/>
  <c r="I27" i="19"/>
  <c r="I28" i="19"/>
  <c r="I29" i="19"/>
  <c r="I30" i="19"/>
  <c r="I31" i="19"/>
  <c r="I32" i="19"/>
  <c r="I33" i="19"/>
  <c r="I34" i="19"/>
  <c r="I35" i="19"/>
  <c r="I36" i="19"/>
  <c r="I37" i="19"/>
  <c r="I38" i="19"/>
  <c r="I39" i="19"/>
  <c r="I40" i="19"/>
  <c r="I41" i="19"/>
  <c r="I42" i="19"/>
  <c r="I43" i="19"/>
  <c r="I44" i="19"/>
  <c r="I45" i="19"/>
  <c r="I46" i="19"/>
  <c r="I47" i="19"/>
  <c r="I48" i="19"/>
  <c r="I49" i="19"/>
  <c r="I50" i="19"/>
  <c r="I51" i="19"/>
  <c r="I52" i="19"/>
  <c r="I53" i="19"/>
  <c r="I54" i="19"/>
  <c r="I55" i="19"/>
  <c r="I56" i="19"/>
  <c r="I57" i="19"/>
  <c r="I58" i="19"/>
  <c r="I59" i="19"/>
  <c r="I60" i="19"/>
  <c r="I61" i="19"/>
  <c r="I62" i="19"/>
  <c r="I63" i="19"/>
  <c r="I64" i="19"/>
  <c r="I65" i="19"/>
  <c r="I66" i="19"/>
  <c r="I67" i="19"/>
  <c r="I68" i="19"/>
  <c r="I69" i="19"/>
  <c r="I70" i="19"/>
  <c r="I71" i="19"/>
  <c r="I72" i="19"/>
  <c r="I73" i="19"/>
  <c r="I74" i="19"/>
  <c r="I75" i="19"/>
  <c r="I76" i="19"/>
  <c r="I77" i="19"/>
  <c r="I78" i="19"/>
  <c r="I79" i="19"/>
  <c r="I80" i="19"/>
  <c r="I81" i="19"/>
  <c r="I82" i="19"/>
  <c r="I83" i="19"/>
  <c r="I84" i="19"/>
  <c r="I85" i="19"/>
  <c r="I86" i="19"/>
  <c r="I87" i="19"/>
  <c r="I88" i="19"/>
  <c r="I89" i="19"/>
  <c r="I90" i="19"/>
  <c r="I91" i="19"/>
  <c r="I92" i="19"/>
  <c r="I93" i="19"/>
  <c r="I94" i="19"/>
  <c r="I95" i="19"/>
  <c r="I96" i="19"/>
  <c r="I97" i="19"/>
  <c r="I98" i="19"/>
  <c r="I99" i="19"/>
  <c r="I100" i="19"/>
  <c r="I101" i="19"/>
  <c r="I102" i="19"/>
  <c r="I13" i="19"/>
  <c r="I14" i="19"/>
  <c r="I15" i="19"/>
  <c r="I16" i="19"/>
  <c r="I12" i="19"/>
  <c r="K12" i="19" s="1"/>
  <c r="I11" i="19"/>
  <c r="K11" i="19" s="1"/>
  <c r="I10" i="19"/>
  <c r="K10" i="19" s="1"/>
  <c r="I9" i="19"/>
  <c r="K9" i="19" s="1"/>
  <c r="I8" i="19"/>
  <c r="K8" i="19" s="1"/>
  <c r="I7" i="19"/>
  <c r="K7" i="19" s="1"/>
  <c r="I6" i="19"/>
  <c r="K6" i="19" s="1"/>
  <c r="I5" i="19"/>
  <c r="K5" i="19" s="1"/>
  <c r="I4" i="19"/>
  <c r="K4" i="19" s="1"/>
  <c r="I3" i="19"/>
  <c r="K3" i="19" s="1"/>
  <c r="K12" i="22"/>
  <c r="B57" i="11"/>
  <c r="L4" i="30"/>
  <c r="X4" i="30" s="1"/>
  <c r="P3" i="29" a="1"/>
  <c r="B25" i="11"/>
  <c r="N15" i="22"/>
  <c r="B44" i="11"/>
  <c r="B56" i="11"/>
  <c r="B55" i="11"/>
  <c r="B54" i="11"/>
  <c r="B53" i="11"/>
  <c r="B52" i="11"/>
  <c r="B51" i="11"/>
  <c r="B50" i="11"/>
  <c r="B49" i="11"/>
  <c r="B48" i="11"/>
  <c r="B47" i="11"/>
  <c r="B46" i="11"/>
  <c r="B45" i="11"/>
  <c r="B43" i="11"/>
  <c r="B42" i="11"/>
  <c r="B41" i="11"/>
  <c r="B40" i="11"/>
  <c r="B39" i="11"/>
  <c r="G18" i="22" a="1"/>
  <c r="O10" i="22" a="1"/>
  <c r="G11" i="22"/>
  <c r="F2" i="28"/>
  <c r="Q22" i="11"/>
  <c r="D3" i="28"/>
  <c r="D4" i="28"/>
  <c r="D5" i="28"/>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2" i="28"/>
  <c r="C3" i="28"/>
  <c r="C4" i="28"/>
  <c r="C5" i="28"/>
  <c r="C6" i="28"/>
  <c r="C7" i="28"/>
  <c r="C8" i="28"/>
  <c r="C9" i="28"/>
  <c r="C10" i="28"/>
  <c r="C11" i="28"/>
  <c r="C12" i="28"/>
  <c r="C13" i="28"/>
  <c r="C14" i="28"/>
  <c r="C15" i="28"/>
  <c r="C16" i="28"/>
  <c r="C17" i="28"/>
  <c r="C18" i="28"/>
  <c r="C19" i="28"/>
  <c r="C20" i="28"/>
  <c r="C21" i="28"/>
  <c r="C22" i="28"/>
  <c r="C23" i="28"/>
  <c r="C24" i="28"/>
  <c r="C25" i="28"/>
  <c r="C26" i="28"/>
  <c r="C27" i="28"/>
  <c r="C28" i="28"/>
  <c r="C29" i="28"/>
  <c r="C30" i="28"/>
  <c r="C31" i="28"/>
  <c r="C32" i="28"/>
  <c r="C33" i="28"/>
  <c r="C34" i="28"/>
  <c r="C35" i="28"/>
  <c r="C36" i="28"/>
  <c r="C37" i="28"/>
  <c r="C38" i="28"/>
  <c r="C39" i="28"/>
  <c r="C40" i="28"/>
  <c r="C41" i="28"/>
  <c r="C42" i="28"/>
  <c r="C43" i="28"/>
  <c r="C44" i="28"/>
  <c r="C45" i="28"/>
  <c r="C46" i="28"/>
  <c r="C47" i="28"/>
  <c r="C48" i="28"/>
  <c r="C49" i="28"/>
  <c r="C50" i="28"/>
  <c r="C51" i="28"/>
  <c r="C52" i="28"/>
  <c r="C53" i="28"/>
  <c r="C2" i="28"/>
  <c r="B7" i="28"/>
  <c r="B8" i="28"/>
  <c r="B9" i="28"/>
  <c r="B10" i="28"/>
  <c r="B11" i="28"/>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6" i="28"/>
  <c r="B5" i="28"/>
  <c r="B4" i="28"/>
  <c r="B3" i="28"/>
  <c r="B2" i="28"/>
  <c r="C20" i="11"/>
  <c r="C34" i="11"/>
  <c r="M22" i="5"/>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 i="18"/>
  <c r="B33" i="11"/>
  <c r="B32" i="11"/>
  <c r="B31" i="11"/>
  <c r="B30" i="11"/>
  <c r="B36" i="11" s="1"/>
  <c r="B29" i="11"/>
  <c r="B28" i="11"/>
  <c r="B35" i="11" s="1"/>
  <c r="C26" i="11"/>
  <c r="C14" i="11"/>
  <c r="B26" i="11"/>
  <c r="C18" i="11"/>
  <c r="C17" i="11"/>
  <c r="D24" i="11"/>
  <c r="C24" i="11"/>
  <c r="C13" i="11"/>
  <c r="L32" i="11"/>
  <c r="L31" i="11"/>
  <c r="I30" i="11"/>
  <c r="G30" i="11"/>
  <c r="G29" i="11"/>
  <c r="G26" i="11"/>
  <c r="G24" i="11"/>
  <c r="H23" i="11"/>
  <c r="G23" i="11"/>
  <c r="B19" i="11"/>
  <c r="B23" i="11"/>
  <c r="B22" i="11"/>
  <c r="B21" i="11"/>
  <c r="B16" i="11"/>
  <c r="C11" i="11"/>
  <c r="I23" i="23"/>
  <c r="J23" i="23"/>
  <c r="I24" i="23"/>
  <c r="I25" i="23" s="1"/>
  <c r="J24" i="23"/>
  <c r="J25" i="23"/>
  <c r="I27" i="23"/>
  <c r="I28" i="23" s="1"/>
  <c r="I29" i="23" s="1"/>
  <c r="J27" i="23"/>
  <c r="J28" i="23" s="1"/>
  <c r="J29" i="23" s="1"/>
  <c r="I31" i="23"/>
  <c r="J31" i="23"/>
  <c r="I32" i="23"/>
  <c r="I33" i="23" s="1"/>
  <c r="J32" i="23"/>
  <c r="J33" i="23" s="1"/>
  <c r="I35" i="23"/>
  <c r="J35" i="23"/>
  <c r="I36" i="23"/>
  <c r="J36" i="23"/>
  <c r="I37" i="23"/>
  <c r="J37" i="23"/>
  <c r="I39" i="23"/>
  <c r="I40" i="23" s="1"/>
  <c r="I41" i="23" s="1"/>
  <c r="J39" i="23"/>
  <c r="J40" i="23"/>
  <c r="J41" i="23"/>
  <c r="I43" i="23"/>
  <c r="I44" i="23" s="1"/>
  <c r="I45" i="23" s="1"/>
  <c r="J43" i="23"/>
  <c r="J44" i="23" s="1"/>
  <c r="J45" i="23" s="1"/>
  <c r="I47" i="23"/>
  <c r="J47" i="23"/>
  <c r="I48" i="23"/>
  <c r="I49" i="23" s="1"/>
  <c r="J48" i="23"/>
  <c r="J49" i="23" s="1"/>
  <c r="I51" i="23"/>
  <c r="J51" i="23"/>
  <c r="I52" i="23"/>
  <c r="J52" i="23"/>
  <c r="I53" i="23"/>
  <c r="J53" i="23"/>
  <c r="I55" i="23"/>
  <c r="J55" i="23"/>
  <c r="I56" i="23"/>
  <c r="J56" i="23"/>
  <c r="I57" i="23"/>
  <c r="J57" i="23"/>
  <c r="I59" i="23"/>
  <c r="I60" i="23" s="1"/>
  <c r="I61" i="23" s="1"/>
  <c r="J59" i="23"/>
  <c r="J60" i="23" s="1"/>
  <c r="J61" i="23" s="1"/>
  <c r="I63" i="23"/>
  <c r="J63" i="23"/>
  <c r="I64" i="23"/>
  <c r="I65" i="23" s="1"/>
  <c r="J64" i="23"/>
  <c r="J65" i="23" s="1"/>
  <c r="I67" i="23"/>
  <c r="J67" i="23"/>
  <c r="I68" i="23"/>
  <c r="J68" i="23"/>
  <c r="I69" i="23"/>
  <c r="J69" i="23"/>
  <c r="I71" i="23"/>
  <c r="J71" i="23"/>
  <c r="I72" i="23"/>
  <c r="J72" i="23"/>
  <c r="I73" i="23"/>
  <c r="J73" i="23"/>
  <c r="I75" i="23"/>
  <c r="I76" i="23" s="1"/>
  <c r="I77" i="23" s="1"/>
  <c r="J75" i="23"/>
  <c r="J76" i="23" s="1"/>
  <c r="J77" i="23" s="1"/>
  <c r="I79" i="23"/>
  <c r="J79" i="23"/>
  <c r="I80" i="23"/>
  <c r="I81" i="23" s="1"/>
  <c r="J80" i="23"/>
  <c r="J81" i="23" s="1"/>
  <c r="I83" i="23"/>
  <c r="J83" i="23"/>
  <c r="I84" i="23"/>
  <c r="J84" i="23"/>
  <c r="I85" i="23"/>
  <c r="J85" i="23"/>
  <c r="I87" i="23"/>
  <c r="J87" i="23"/>
  <c r="I88" i="23"/>
  <c r="J88" i="23"/>
  <c r="I89" i="23"/>
  <c r="J89" i="23"/>
  <c r="I91" i="23"/>
  <c r="I92" i="23" s="1"/>
  <c r="I93" i="23" s="1"/>
  <c r="J91" i="23"/>
  <c r="J92" i="23" s="1"/>
  <c r="J93" i="23" s="1"/>
  <c r="I95" i="23"/>
  <c r="J95" i="23"/>
  <c r="I96" i="23"/>
  <c r="I97" i="23" s="1"/>
  <c r="J96" i="23"/>
  <c r="J97" i="23" s="1"/>
  <c r="I99" i="23"/>
  <c r="J99" i="23"/>
  <c r="I100" i="23"/>
  <c r="J100" i="23"/>
  <c r="I101" i="23"/>
  <c r="J101" i="23"/>
  <c r="I103" i="23"/>
  <c r="J103" i="23"/>
  <c r="I104" i="23"/>
  <c r="J104" i="23"/>
  <c r="I105" i="23"/>
  <c r="J105" i="23"/>
  <c r="I107" i="23"/>
  <c r="I108" i="23" s="1"/>
  <c r="I109" i="23" s="1"/>
  <c r="J107" i="23"/>
  <c r="J108" i="23" s="1"/>
  <c r="J109" i="23" s="1"/>
  <c r="I111" i="23"/>
  <c r="J111" i="23"/>
  <c r="I112" i="23"/>
  <c r="I113" i="23" s="1"/>
  <c r="J112" i="23"/>
  <c r="J113" i="23" s="1"/>
  <c r="I115" i="23"/>
  <c r="J115" i="23"/>
  <c r="I116" i="23"/>
  <c r="J116" i="23"/>
  <c r="I117" i="23"/>
  <c r="J117" i="23"/>
  <c r="I15" i="23"/>
  <c r="I16" i="23" s="1"/>
  <c r="I17" i="23" s="1"/>
  <c r="J15" i="23"/>
  <c r="J16" i="23" s="1"/>
  <c r="J17" i="23" s="1"/>
  <c r="I19" i="23"/>
  <c r="I20" i="23" s="1"/>
  <c r="I21" i="23" s="1"/>
  <c r="J19" i="23"/>
  <c r="J20" i="23" s="1"/>
  <c r="J21" i="23" s="1"/>
  <c r="I7" i="23"/>
  <c r="J7" i="23"/>
  <c r="J8" i="23" s="1"/>
  <c r="J9" i="23" s="1"/>
  <c r="I11" i="23"/>
  <c r="I12" i="23" s="1"/>
  <c r="I13" i="23" s="1"/>
  <c r="J11" i="23"/>
  <c r="J12" i="23" s="1"/>
  <c r="J13" i="23" s="1"/>
  <c r="K7" i="18" a="1"/>
  <c r="B3" i="23" a="1"/>
  <c r="B4" i="23" a="1"/>
  <c r="B5" i="23" a="1"/>
  <c r="B6" i="23" a="1"/>
  <c r="B7" i="23" a="1"/>
  <c r="B8" i="23" a="1"/>
  <c r="B9" i="23" a="1"/>
  <c r="B10" i="23" a="1"/>
  <c r="B11" i="23" a="1"/>
  <c r="B2" i="23" a="1"/>
  <c r="G15" i="22" a="1"/>
  <c r="I11" i="22"/>
  <c r="H11" i="22"/>
  <c r="L5" i="22"/>
  <c r="L7" i="22"/>
  <c r="L6" i="22"/>
  <c r="I3" i="22"/>
  <c r="H3" i="22"/>
  <c r="G3" i="22"/>
  <c r="G14" i="18"/>
  <c r="G54" i="18"/>
  <c r="G55" i="18"/>
  <c r="G56" i="18"/>
  <c r="G57" i="18"/>
  <c r="G58" i="18"/>
  <c r="G59" i="18"/>
  <c r="G60" i="18"/>
  <c r="G35" i="18"/>
  <c r="G36" i="18"/>
  <c r="G37" i="18"/>
  <c r="G38" i="18"/>
  <c r="G39" i="18"/>
  <c r="G40" i="18"/>
  <c r="G41" i="18"/>
  <c r="G42" i="18"/>
  <c r="G43" i="18"/>
  <c r="G44" i="18"/>
  <c r="G45" i="18"/>
  <c r="G46" i="18"/>
  <c r="G47" i="18"/>
  <c r="G48" i="18"/>
  <c r="G49" i="18"/>
  <c r="G50" i="18"/>
  <c r="G51" i="18"/>
  <c r="G52" i="18"/>
  <c r="G53" i="18"/>
  <c r="G13" i="18"/>
  <c r="G15" i="18"/>
  <c r="G8" i="18"/>
  <c r="G9" i="18"/>
  <c r="G11" i="18"/>
  <c r="G12" i="18"/>
  <c r="F13" i="5"/>
  <c r="R61" i="1" l="1"/>
  <c r="H34" i="1"/>
  <c r="B41" i="1"/>
  <c r="O29" i="1"/>
  <c r="B36" i="1"/>
  <c r="B35" i="1"/>
  <c r="B37" i="1" s="1"/>
  <c r="B12" i="34"/>
  <c r="B11" i="34"/>
  <c r="B10" i="34"/>
  <c r="T95" i="33"/>
  <c r="Q95" i="2"/>
  <c r="R95" i="2" s="1"/>
  <c r="T96" i="33"/>
  <c r="Q96" i="2"/>
  <c r="R96" i="2" s="1"/>
  <c r="T97" i="33"/>
  <c r="Q97" i="2"/>
  <c r="R97" i="2" s="1"/>
  <c r="T98" i="33"/>
  <c r="Q98" i="2"/>
  <c r="R98" i="2" s="1"/>
  <c r="T99" i="33"/>
  <c r="Q99" i="2"/>
  <c r="R99" i="2" s="1"/>
  <c r="T100" i="33"/>
  <c r="Q100" i="2"/>
  <c r="R100" i="2" s="1"/>
  <c r="T101" i="33"/>
  <c r="Q101" i="2"/>
  <c r="R101" i="2" s="1"/>
  <c r="T102" i="33"/>
  <c r="Q102" i="2"/>
  <c r="R102" i="2" s="1"/>
  <c r="T103" i="33"/>
  <c r="Q103" i="2"/>
  <c r="R103" i="2" s="1"/>
  <c r="T104" i="33"/>
  <c r="Q104" i="2"/>
  <c r="R104" i="2" s="1"/>
  <c r="T105" i="33"/>
  <c r="Q105" i="2"/>
  <c r="R105" i="2" s="1"/>
  <c r="T106" i="33"/>
  <c r="Q106" i="2"/>
  <c r="R106" i="2" s="1"/>
  <c r="T107" i="33"/>
  <c r="Q107" i="2"/>
  <c r="R107" i="2" s="1"/>
  <c r="T108" i="33"/>
  <c r="Q108" i="2"/>
  <c r="R108" i="2" s="1"/>
  <c r="T109" i="33"/>
  <c r="Q109" i="2"/>
  <c r="R109" i="2" s="1"/>
  <c r="T110" i="33"/>
  <c r="Q110" i="2"/>
  <c r="R110" i="2" s="1"/>
  <c r="T111" i="33"/>
  <c r="Q111" i="2"/>
  <c r="R111" i="2" s="1"/>
  <c r="T112" i="33"/>
  <c r="Q112" i="2"/>
  <c r="R112" i="2" s="1"/>
  <c r="T113" i="33"/>
  <c r="Q113" i="2"/>
  <c r="R113" i="2" s="1"/>
  <c r="T114" i="33"/>
  <c r="Q114" i="2"/>
  <c r="R114" i="2" s="1"/>
  <c r="T115" i="33"/>
  <c r="Q115" i="2"/>
  <c r="R115" i="2" s="1"/>
  <c r="T116" i="33"/>
  <c r="Q116" i="2"/>
  <c r="R116" i="2" s="1"/>
  <c r="T117" i="33"/>
  <c r="Q117" i="2"/>
  <c r="R117" i="2" s="1"/>
  <c r="T118" i="33"/>
  <c r="Q118" i="2"/>
  <c r="R118" i="2" s="1"/>
  <c r="T119" i="33"/>
  <c r="Q119" i="2"/>
  <c r="R119" i="2" s="1"/>
  <c r="T120" i="33"/>
  <c r="Q120" i="2"/>
  <c r="R120" i="2" s="1"/>
  <c r="T121" i="33"/>
  <c r="Q121" i="2"/>
  <c r="R121" i="2" s="1"/>
  <c r="T122" i="33"/>
  <c r="Q122" i="2"/>
  <c r="R122" i="2" s="1"/>
  <c r="T123" i="33"/>
  <c r="Q123" i="2"/>
  <c r="R123" i="2" s="1"/>
  <c r="T124" i="33"/>
  <c r="Q124" i="2"/>
  <c r="R124" i="2" s="1"/>
  <c r="T125" i="33"/>
  <c r="Q125" i="2"/>
  <c r="R125" i="2" s="1"/>
  <c r="T126" i="33"/>
  <c r="Q126" i="2"/>
  <c r="R126" i="2" s="1"/>
  <c r="T127" i="33"/>
  <c r="Q127" i="2"/>
  <c r="R127" i="2" s="1"/>
  <c r="T92" i="33"/>
  <c r="Q92" i="2"/>
  <c r="R92" i="2"/>
  <c r="T93" i="33"/>
  <c r="Q93" i="2"/>
  <c r="R93" i="2"/>
  <c r="T94" i="33"/>
  <c r="Q94" i="2"/>
  <c r="R94" i="2"/>
  <c r="T128" i="33"/>
  <c r="R128" i="2"/>
  <c r="T129" i="33"/>
  <c r="R129" i="2"/>
  <c r="T130" i="33"/>
  <c r="R130" i="2"/>
  <c r="T131" i="33"/>
  <c r="R131" i="2"/>
  <c r="T132" i="33"/>
  <c r="R132" i="2"/>
  <c r="T133" i="33"/>
  <c r="R133" i="2"/>
  <c r="T134" i="33"/>
  <c r="R134" i="2"/>
  <c r="T135" i="33"/>
  <c r="R135" i="2"/>
  <c r="T136" i="33"/>
  <c r="R136" i="2"/>
  <c r="T137" i="33"/>
  <c r="R137" i="2"/>
  <c r="T138" i="33"/>
  <c r="R138" i="2"/>
  <c r="T139" i="33"/>
  <c r="R139" i="2"/>
  <c r="T140" i="33"/>
  <c r="R140" i="2"/>
  <c r="T141" i="33"/>
  <c r="R141" i="2"/>
  <c r="T142" i="33"/>
  <c r="R142" i="2"/>
  <c r="T143" i="33"/>
  <c r="R143" i="2"/>
  <c r="T144" i="33"/>
  <c r="R144" i="2"/>
  <c r="T145" i="33"/>
  <c r="R145" i="2"/>
  <c r="T146" i="33"/>
  <c r="R146" i="2"/>
  <c r="T147" i="33"/>
  <c r="R147" i="2"/>
  <c r="T148" i="33"/>
  <c r="R148" i="2"/>
  <c r="T149" i="33"/>
  <c r="R149" i="2"/>
  <c r="T150" i="33"/>
  <c r="R150" i="2"/>
  <c r="T151" i="33"/>
  <c r="R151" i="2"/>
  <c r="T152" i="33"/>
  <c r="R152" i="2"/>
  <c r="T153" i="33"/>
  <c r="R153" i="2"/>
  <c r="T154" i="33"/>
  <c r="R154" i="2"/>
  <c r="T155" i="33"/>
  <c r="R155" i="2"/>
  <c r="T156" i="33"/>
  <c r="R156" i="2"/>
  <c r="T157" i="33"/>
  <c r="R157" i="2"/>
  <c r="T158" i="33"/>
  <c r="R158" i="2"/>
  <c r="T159" i="33"/>
  <c r="R159" i="2"/>
  <c r="T160" i="33"/>
  <c r="R160" i="2"/>
  <c r="T161" i="33"/>
  <c r="R161" i="2"/>
  <c r="T162" i="33"/>
  <c r="R162" i="2"/>
  <c r="T163" i="33"/>
  <c r="R163" i="2"/>
  <c r="T164" i="33"/>
  <c r="R164" i="2"/>
  <c r="T165" i="33"/>
  <c r="R165" i="2"/>
  <c r="T166" i="33"/>
  <c r="R166" i="2"/>
  <c r="T167" i="33"/>
  <c r="R167" i="2"/>
  <c r="T168" i="33"/>
  <c r="R168" i="2"/>
  <c r="T169" i="33"/>
  <c r="Q169" i="2"/>
  <c r="R169" i="2" s="1"/>
  <c r="T170" i="33"/>
  <c r="Q170" i="2"/>
  <c r="R170" i="2" s="1"/>
  <c r="T171" i="33"/>
  <c r="Q171" i="2"/>
  <c r="R171" i="2"/>
  <c r="T172" i="33"/>
  <c r="Q172" i="2"/>
  <c r="R172" i="2"/>
  <c r="T173" i="33"/>
  <c r="Q173" i="2"/>
  <c r="R173" i="2" s="1"/>
  <c r="T174" i="33"/>
  <c r="Q174" i="2"/>
  <c r="R174" i="2" s="1"/>
  <c r="T175" i="33"/>
  <c r="Q175" i="2"/>
  <c r="R175" i="2" s="1"/>
  <c r="T176" i="33"/>
  <c r="Q176" i="2"/>
  <c r="R176" i="2" s="1"/>
  <c r="T177" i="33"/>
  <c r="Q177" i="2"/>
  <c r="R177" i="2" s="1"/>
  <c r="T178" i="33"/>
  <c r="Q178" i="2"/>
  <c r="R178" i="2"/>
  <c r="T179" i="33"/>
  <c r="Q179" i="2"/>
  <c r="R179" i="2" s="1"/>
  <c r="T180" i="33"/>
  <c r="Q180" i="2"/>
  <c r="R180" i="2"/>
  <c r="T72" i="33"/>
  <c r="Q72" i="2"/>
  <c r="R72" i="2"/>
  <c r="T73" i="33"/>
  <c r="Q73" i="2"/>
  <c r="R73" i="2" s="1"/>
  <c r="T74" i="33"/>
  <c r="Q74" i="2"/>
  <c r="R74" i="2" s="1"/>
  <c r="T75" i="33"/>
  <c r="Q75" i="2"/>
  <c r="R75" i="2" s="1"/>
  <c r="T76" i="33"/>
  <c r="Q76" i="2"/>
  <c r="R76" i="2"/>
  <c r="T77" i="33"/>
  <c r="Q77" i="2"/>
  <c r="R77" i="2" s="1"/>
  <c r="T78" i="33"/>
  <c r="Q78" i="2"/>
  <c r="R78" i="2" s="1"/>
  <c r="T79" i="33"/>
  <c r="Q79" i="2"/>
  <c r="R79" i="2"/>
  <c r="T80" i="33"/>
  <c r="Q80" i="2"/>
  <c r="R80" i="2"/>
  <c r="T81" i="33"/>
  <c r="Q81" i="2"/>
  <c r="R81" i="2" s="1"/>
  <c r="T82" i="33"/>
  <c r="Q82" i="2"/>
  <c r="R82" i="2" s="1"/>
  <c r="T83" i="33"/>
  <c r="Q83" i="2"/>
  <c r="R83" i="2"/>
  <c r="T84" i="33"/>
  <c r="Q84" i="2"/>
  <c r="R84" i="2" s="1"/>
  <c r="T85" i="33"/>
  <c r="Q85" i="2"/>
  <c r="R85" i="2" s="1"/>
  <c r="T86" i="33"/>
  <c r="Q86" i="2"/>
  <c r="R86" i="2"/>
  <c r="T87" i="33"/>
  <c r="Q87" i="2"/>
  <c r="R87" i="2"/>
  <c r="T88" i="33"/>
  <c r="Q88" i="2"/>
  <c r="R88" i="2"/>
  <c r="T89" i="33"/>
  <c r="Q89" i="2"/>
  <c r="R89" i="2" s="1"/>
  <c r="T90" i="33"/>
  <c r="Q90" i="2"/>
  <c r="R90" i="2"/>
  <c r="T91" i="33"/>
  <c r="Q91" i="2"/>
  <c r="R91" i="2" s="1"/>
  <c r="T71" i="33"/>
  <c r="Q71" i="2"/>
  <c r="R71" i="2" s="1"/>
  <c r="T70" i="33"/>
  <c r="Q70" i="2"/>
  <c r="R70" i="2" s="1"/>
  <c r="T69" i="33"/>
  <c r="Q69" i="2"/>
  <c r="R69" i="2" s="1"/>
  <c r="T68" i="33"/>
  <c r="Q68" i="2"/>
  <c r="R68" i="2" s="1"/>
  <c r="T67" i="33"/>
  <c r="Q67" i="2"/>
  <c r="R67" i="2" s="1"/>
  <c r="T66" i="33"/>
  <c r="Q66" i="2"/>
  <c r="R66" i="2" s="1"/>
  <c r="T65" i="33"/>
  <c r="Q65" i="2"/>
  <c r="R65" i="2" s="1"/>
  <c r="T64" i="33"/>
  <c r="Q64" i="2"/>
  <c r="R64" i="2" s="1"/>
  <c r="T63" i="33"/>
  <c r="Q63" i="2"/>
  <c r="R63" i="2" s="1"/>
  <c r="T62" i="33"/>
  <c r="Q62" i="2"/>
  <c r="R62" i="2" s="1"/>
  <c r="T61" i="33"/>
  <c r="Q61" i="2"/>
  <c r="R61" i="2" s="1"/>
  <c r="T60" i="33"/>
  <c r="Q60" i="2"/>
  <c r="R60" i="2" s="1"/>
  <c r="T59" i="33"/>
  <c r="Q59" i="2"/>
  <c r="R59" i="2" s="1"/>
  <c r="T58" i="33"/>
  <c r="Q58" i="2"/>
  <c r="R58" i="2" s="1"/>
  <c r="T57" i="33"/>
  <c r="Q57" i="2"/>
  <c r="R57" i="2" s="1"/>
  <c r="T56" i="33"/>
  <c r="Q56" i="2"/>
  <c r="R56" i="2" s="1"/>
  <c r="T55" i="33"/>
  <c r="Q55" i="2"/>
  <c r="R55" i="2" s="1"/>
  <c r="T54" i="33"/>
  <c r="Q54" i="2"/>
  <c r="R54" i="2" s="1"/>
  <c r="T53" i="33"/>
  <c r="Q53" i="2"/>
  <c r="R53" i="2" s="1"/>
  <c r="T52" i="33"/>
  <c r="Q52" i="2"/>
  <c r="R52" i="2" s="1"/>
  <c r="T51" i="33"/>
  <c r="Q51" i="2"/>
  <c r="R51" i="2" s="1"/>
  <c r="T50" i="33"/>
  <c r="Q50" i="2"/>
  <c r="R50" i="2" s="1"/>
  <c r="T49" i="33"/>
  <c r="Q49" i="2"/>
  <c r="R49" i="2" s="1"/>
  <c r="T48" i="33"/>
  <c r="Q48" i="2"/>
  <c r="R48" i="2" s="1"/>
  <c r="T47" i="33"/>
  <c r="Q47" i="2"/>
  <c r="R47" i="2" s="1"/>
  <c r="T46" i="33"/>
  <c r="Q46" i="2"/>
  <c r="R46" i="2" s="1"/>
  <c r="T45" i="33"/>
  <c r="Q45" i="2"/>
  <c r="R45" i="2" s="1"/>
  <c r="T44" i="33"/>
  <c r="Q44" i="2"/>
  <c r="R44" i="2" s="1"/>
  <c r="T43" i="33"/>
  <c r="Q43" i="2"/>
  <c r="R43" i="2" s="1"/>
  <c r="T42" i="33"/>
  <c r="Q42" i="2"/>
  <c r="R42" i="2" s="1"/>
  <c r="T41" i="33"/>
  <c r="Q41" i="2"/>
  <c r="R41" i="2" s="1"/>
  <c r="T40" i="33"/>
  <c r="Q40" i="2"/>
  <c r="R40" i="2" s="1"/>
  <c r="T39" i="33"/>
  <c r="Q39" i="2"/>
  <c r="R39" i="2" s="1"/>
  <c r="T38" i="33"/>
  <c r="Q38" i="2"/>
  <c r="R38" i="2" s="1"/>
  <c r="T37" i="33"/>
  <c r="Q37" i="2"/>
  <c r="R37" i="2" s="1"/>
  <c r="Q36" i="2"/>
  <c r="R36" i="2" s="1"/>
  <c r="T36" i="33"/>
  <c r="Q35" i="2"/>
  <c r="R35" i="2" s="1"/>
  <c r="T35" i="33"/>
  <c r="Q34" i="2"/>
  <c r="R34" i="2" s="1"/>
  <c r="T34" i="33"/>
  <c r="T33" i="33"/>
  <c r="Q33" i="2"/>
  <c r="R33" i="2" s="1"/>
  <c r="Q32" i="2"/>
  <c r="T32" i="33"/>
  <c r="R32" i="2"/>
  <c r="Q31" i="2"/>
  <c r="R31" i="2" s="1"/>
  <c r="T31" i="33"/>
  <c r="T30" i="33"/>
  <c r="Q30" i="2"/>
  <c r="R30" i="2" s="1"/>
  <c r="T29" i="33"/>
  <c r="Q29" i="2"/>
  <c r="R29" i="2" s="1"/>
  <c r="T28" i="33"/>
  <c r="Q28" i="2"/>
  <c r="R28" i="2" s="1"/>
  <c r="Q27" i="2"/>
  <c r="R27" i="2" s="1"/>
  <c r="T27" i="33"/>
  <c r="T26" i="33"/>
  <c r="Q26" i="2"/>
  <c r="R26" i="2" s="1"/>
  <c r="Q25" i="2"/>
  <c r="T25" i="33"/>
  <c r="R25" i="2"/>
  <c r="T24" i="33"/>
  <c r="Q24" i="2"/>
  <c r="R24" i="2" s="1"/>
  <c r="Q23" i="2"/>
  <c r="R23" i="2" s="1"/>
  <c r="T23" i="33"/>
  <c r="T22" i="33"/>
  <c r="Q22" i="2"/>
  <c r="R22" i="2" s="1"/>
  <c r="Q21" i="2"/>
  <c r="T21" i="33"/>
  <c r="R21" i="2"/>
  <c r="Q20" i="2"/>
  <c r="R20" i="2" s="1"/>
  <c r="T20" i="33"/>
  <c r="Q19" i="2"/>
  <c r="T19" i="33"/>
  <c r="R19" i="2"/>
  <c r="T18" i="33"/>
  <c r="Q18" i="2"/>
  <c r="R18" i="2"/>
  <c r="Q17" i="2"/>
  <c r="R17" i="2" s="1"/>
  <c r="T17" i="33"/>
  <c r="T16" i="33"/>
  <c r="Q16" i="2"/>
  <c r="R16" i="2" s="1"/>
  <c r="Q15" i="2"/>
  <c r="T15" i="33"/>
  <c r="R15" i="2"/>
  <c r="T14" i="33"/>
  <c r="Q14" i="2"/>
  <c r="R14" i="2" s="1"/>
  <c r="Q13" i="2"/>
  <c r="T13" i="33"/>
  <c r="R13" i="2"/>
  <c r="T12" i="33"/>
  <c r="Q12" i="2"/>
  <c r="R12" i="2" s="1"/>
  <c r="T11" i="33"/>
  <c r="Q11" i="2"/>
  <c r="R11" i="2" s="1"/>
  <c r="T10" i="33"/>
  <c r="Q10" i="2"/>
  <c r="R10" i="2" s="1"/>
  <c r="T9" i="33"/>
  <c r="Q9" i="2"/>
  <c r="R9" i="2" s="1"/>
  <c r="T8" i="33"/>
  <c r="Q8" i="2"/>
  <c r="R8" i="2" s="1"/>
  <c r="T7" i="33"/>
  <c r="Q7" i="2"/>
  <c r="R7" i="2" s="1"/>
  <c r="T6" i="33"/>
  <c r="Q6" i="2"/>
  <c r="R6" i="2" s="1"/>
  <c r="T5" i="33"/>
  <c r="Q5" i="2"/>
  <c r="R5" i="2"/>
  <c r="T4" i="33"/>
  <c r="Q4" i="2"/>
  <c r="R4" i="2"/>
  <c r="T3" i="33"/>
  <c r="Q3" i="2"/>
  <c r="R3" i="2"/>
  <c r="T2" i="33"/>
  <c r="Q2" i="2"/>
  <c r="R2" i="2" s="1"/>
  <c r="S3" i="1"/>
  <c r="M57" i="17" a="1"/>
  <c r="C57" i="17"/>
  <c r="K57" i="17"/>
  <c r="G57" i="17"/>
  <c r="N52" i="17"/>
  <c r="I57" i="17"/>
  <c r="E57" i="17"/>
  <c r="O168" i="33"/>
  <c r="G8" i="33" a="1"/>
  <c r="B50" i="33" a="1"/>
  <c r="E56" i="33" a="1"/>
  <c r="H97" i="33" a="1"/>
  <c r="H92" i="33" a="1"/>
  <c r="H86" i="33" a="1"/>
  <c r="B61" i="33" a="1"/>
  <c r="B54" i="33" a="1"/>
  <c r="E59" i="33" a="1"/>
  <c r="E52" i="33" a="1"/>
  <c r="H94" i="33" a="1"/>
  <c r="H84" i="33" a="1"/>
  <c r="B62" i="33" a="1"/>
  <c r="B55" i="33" a="1"/>
  <c r="E60" i="33" a="1"/>
  <c r="E53" i="33" a="1"/>
  <c r="H96" i="33" a="1"/>
  <c r="H89" i="33" a="1"/>
  <c r="H83" i="33" a="1"/>
  <c r="H82" i="33" a="1"/>
  <c r="H81" i="33" a="1"/>
  <c r="H80" i="33" a="1"/>
  <c r="H79" i="33" a="1"/>
  <c r="H78" i="33" a="1"/>
  <c r="H77" i="33" a="1"/>
  <c r="H76" i="33" a="1"/>
  <c r="H75" i="33" a="1"/>
  <c r="H74" i="33" a="1"/>
  <c r="H73" i="33" a="1"/>
  <c r="H72" i="33" a="1"/>
  <c r="H71" i="33" a="1"/>
  <c r="H70" i="33" a="1"/>
  <c r="H69" i="33" a="1"/>
  <c r="H68" i="33" a="1"/>
  <c r="H67" i="33" a="1"/>
  <c r="H66" i="33" a="1"/>
  <c r="H65" i="33" a="1"/>
  <c r="H64" i="33" a="1"/>
  <c r="H62" i="33" a="1"/>
  <c r="H61" i="33" a="1"/>
  <c r="H60" i="33" a="1"/>
  <c r="H59" i="33" a="1"/>
  <c r="H58" i="33" a="1"/>
  <c r="H57" i="33" a="1"/>
  <c r="H56" i="33" a="1"/>
  <c r="H55" i="33" a="1"/>
  <c r="H54" i="33" a="1"/>
  <c r="H53" i="33" a="1"/>
  <c r="H52" i="33" a="1"/>
  <c r="H51" i="33" a="1"/>
  <c r="H50" i="33" a="1"/>
  <c r="H49" i="33" a="1"/>
  <c r="K60" i="33" a="1"/>
  <c r="K59" i="33" a="1"/>
  <c r="K58" i="33" a="1"/>
  <c r="K57" i="33" a="1"/>
  <c r="K56" i="33" a="1"/>
  <c r="K55" i="33" a="1"/>
  <c r="K54" i="33" a="1"/>
  <c r="K53" i="33" a="1"/>
  <c r="K52" i="33" a="1"/>
  <c r="K51" i="33" a="1"/>
  <c r="K50" i="33" a="1"/>
  <c r="K49" i="33" a="1"/>
  <c r="B57" i="33" a="1"/>
  <c r="B51" i="33" a="1"/>
  <c r="E54" i="33" a="1"/>
  <c r="H98" i="33" a="1"/>
  <c r="H93" i="33" a="1"/>
  <c r="H87" i="33" a="1"/>
  <c r="B60" i="33" a="1"/>
  <c r="B53" i="33" a="1"/>
  <c r="E58" i="33" a="1"/>
  <c r="E49" i="33" a="1"/>
  <c r="H90" i="33" a="1"/>
  <c r="B63" i="33" a="1"/>
  <c r="B56" i="33" a="1"/>
  <c r="B49" i="33" a="1"/>
  <c r="E55" i="33" a="1"/>
  <c r="E50" i="33" a="1"/>
  <c r="H95" i="33" a="1"/>
  <c r="H88" i="33" a="1"/>
  <c r="B59" i="33" a="1"/>
  <c r="B52" i="33" a="1"/>
  <c r="E57" i="33" a="1"/>
  <c r="E51" i="33" a="1"/>
  <c r="H91" i="33" a="1"/>
  <c r="H85" i="33" a="1"/>
  <c r="D106" i="17"/>
  <c r="G106" i="17" s="1"/>
  <c r="E106" i="17"/>
  <c r="H106" i="17" s="1"/>
  <c r="L12" i="19"/>
  <c r="M12" i="19"/>
  <c r="M103" i="19" s="1"/>
  <c r="L11" i="19"/>
  <c r="M11" i="19"/>
  <c r="L10" i="19"/>
  <c r="M10" i="19"/>
  <c r="L9" i="19"/>
  <c r="M9" i="19"/>
  <c r="L8" i="19"/>
  <c r="M8" i="19"/>
  <c r="L7" i="19"/>
  <c r="M7" i="19"/>
  <c r="L6" i="19"/>
  <c r="M6" i="19"/>
  <c r="L5" i="19"/>
  <c r="M5" i="19"/>
  <c r="L4" i="19"/>
  <c r="M4" i="19"/>
  <c r="L3" i="19"/>
  <c r="M3" i="19"/>
  <c r="F111" i="19"/>
  <c r="F112" i="19"/>
  <c r="F110" i="19"/>
  <c r="I8" i="23"/>
  <c r="I9" i="23" s="1"/>
  <c r="N6" i="23" a="1"/>
  <c r="B67" i="33" a="1"/>
  <c r="B64" i="33" a="1"/>
  <c r="B68" i="33" a="1"/>
  <c r="B66" i="33" a="1"/>
  <c r="B70" i="33" a="1"/>
  <c r="E61" i="33" a="1"/>
  <c r="B65" i="33" a="1"/>
  <c r="B69" i="33" a="1"/>
  <c r="AI195" i="30"/>
  <c r="AI194" i="30"/>
  <c r="AI193" i="30"/>
  <c r="AI192" i="30"/>
  <c r="AI191" i="30"/>
  <c r="AI190" i="30"/>
  <c r="AI189" i="30"/>
  <c r="AI188" i="30"/>
  <c r="AI187" i="30"/>
  <c r="AI186" i="30"/>
  <c r="AI185" i="30"/>
  <c r="AI184" i="30"/>
  <c r="AI183" i="30"/>
  <c r="AI170" i="30"/>
  <c r="AI169" i="30"/>
  <c r="AI168" i="30"/>
  <c r="AI167" i="30"/>
  <c r="AI166" i="30"/>
  <c r="AI165" i="30"/>
  <c r="AI164" i="30"/>
  <c r="AI163" i="30"/>
  <c r="AI162" i="30"/>
  <c r="AI161" i="30"/>
  <c r="AI160" i="30"/>
  <c r="AI159" i="30"/>
  <c r="AI158" i="30"/>
  <c r="AI157" i="30"/>
  <c r="AI156" i="30"/>
  <c r="AI155" i="30"/>
  <c r="AI154" i="30"/>
  <c r="AI153" i="30"/>
  <c r="AI141" i="30"/>
  <c r="AI140" i="30"/>
  <c r="AI139" i="30"/>
  <c r="AI138" i="30"/>
  <c r="AI137" i="30"/>
  <c r="AI136" i="30"/>
  <c r="AI135" i="30"/>
  <c r="AI134" i="30"/>
  <c r="AI133" i="30"/>
  <c r="AI132" i="30"/>
  <c r="AI131" i="30"/>
  <c r="AI130" i="30"/>
  <c r="AI129" i="30"/>
  <c r="AI128" i="30"/>
  <c r="AI127" i="30"/>
  <c r="AI126" i="30"/>
  <c r="AI125" i="30"/>
  <c r="AI124" i="30"/>
  <c r="AI123" i="30"/>
  <c r="AI107" i="30"/>
  <c r="AI44" i="30"/>
  <c r="AI211" i="30"/>
  <c r="AI210" i="30"/>
  <c r="AI209" i="30"/>
  <c r="AI208" i="30"/>
  <c r="AI207" i="30"/>
  <c r="AI206" i="30"/>
  <c r="AI205" i="30"/>
  <c r="AI204" i="30"/>
  <c r="AI203" i="30"/>
  <c r="AI202" i="30"/>
  <c r="AI201" i="30"/>
  <c r="AI200" i="30"/>
  <c r="AI199" i="30"/>
  <c r="AI198" i="30"/>
  <c r="AI197" i="30"/>
  <c r="AI196" i="30"/>
  <c r="AI182" i="30"/>
  <c r="AI181" i="30"/>
  <c r="AI180" i="30"/>
  <c r="AI179" i="30"/>
  <c r="AI178" i="30"/>
  <c r="AI177" i="30"/>
  <c r="AI176" i="30"/>
  <c r="AI175" i="30"/>
  <c r="AI174" i="30"/>
  <c r="AI173" i="30"/>
  <c r="AI172" i="30"/>
  <c r="AI171" i="30"/>
  <c r="AI152" i="30"/>
  <c r="AI151" i="30"/>
  <c r="AI150" i="30"/>
  <c r="AI149" i="30"/>
  <c r="AI148" i="30"/>
  <c r="AI147" i="30"/>
  <c r="AI146" i="30"/>
  <c r="AI145" i="30"/>
  <c r="AI144" i="30"/>
  <c r="AI143" i="30"/>
  <c r="AI142" i="30"/>
  <c r="AI122" i="30"/>
  <c r="AI121" i="30"/>
  <c r="AI120" i="30"/>
  <c r="AI119" i="30"/>
  <c r="AI118" i="30"/>
  <c r="AI117" i="30"/>
  <c r="AI116" i="30"/>
  <c r="AI115" i="30"/>
  <c r="AI114" i="30"/>
  <c r="AI113" i="30"/>
  <c r="AI112" i="30"/>
  <c r="AI111" i="30"/>
  <c r="AI110" i="30"/>
  <c r="AI109" i="30"/>
  <c r="AI108" i="30"/>
  <c r="D109" i="17"/>
  <c r="G109" i="17" s="1"/>
  <c r="E108" i="17"/>
  <c r="H108" i="17" s="1"/>
  <c r="D108" i="17"/>
  <c r="G108" i="17" s="1"/>
  <c r="D107" i="17"/>
  <c r="G107" i="17" s="1"/>
  <c r="E114" i="17"/>
  <c r="D113" i="17"/>
  <c r="D115" i="17"/>
  <c r="E107" i="17"/>
  <c r="H107" i="17" s="1"/>
  <c r="D111" i="17"/>
  <c r="D114" i="17"/>
  <c r="E112" i="17"/>
  <c r="E113" i="17"/>
  <c r="D112" i="17"/>
  <c r="E109" i="17"/>
  <c r="H109" i="17" s="1"/>
  <c r="E115" i="17"/>
  <c r="E111" i="17"/>
  <c r="E110" i="17"/>
  <c r="H110" i="17" s="1"/>
  <c r="D110" i="17"/>
  <c r="G110" i="17" s="1"/>
  <c r="AI31" i="30"/>
  <c r="AI6" i="30"/>
  <c r="AI30" i="30"/>
  <c r="AI22" i="30"/>
  <c r="AI14" i="30"/>
  <c r="AI106" i="30"/>
  <c r="AI98" i="30"/>
  <c r="AI90" i="30"/>
  <c r="AI82" i="30"/>
  <c r="AI74" i="30"/>
  <c r="AI66" i="30"/>
  <c r="AI58" i="30"/>
  <c r="AI42" i="30"/>
  <c r="AI37" i="30"/>
  <c r="AI21" i="30"/>
  <c r="AI105" i="30"/>
  <c r="AI81" i="30"/>
  <c r="AI49" i="30"/>
  <c r="AI12" i="30"/>
  <c r="AI46" i="30"/>
  <c r="AI33" i="30"/>
  <c r="AI25" i="30"/>
  <c r="AI17" i="30"/>
  <c r="AI9" i="30"/>
  <c r="AI101" i="30"/>
  <c r="AI93" i="30"/>
  <c r="AI85" i="30"/>
  <c r="AI77" i="30"/>
  <c r="AI69" i="30"/>
  <c r="AI61" i="30"/>
  <c r="AI53" i="30"/>
  <c r="AI45" i="30"/>
  <c r="AI23" i="30"/>
  <c r="AI15" i="30"/>
  <c r="AI7" i="30"/>
  <c r="AI99" i="30"/>
  <c r="AI91" i="30"/>
  <c r="AI83" i="30"/>
  <c r="AI75" i="30"/>
  <c r="AI67" i="30"/>
  <c r="AI59" i="30"/>
  <c r="AI51" i="30"/>
  <c r="AI43" i="30"/>
  <c r="AI50" i="30"/>
  <c r="AI29" i="30"/>
  <c r="AI13" i="30"/>
  <c r="AI97" i="30"/>
  <c r="AI89" i="30"/>
  <c r="AI73" i="30"/>
  <c r="AI65" i="30"/>
  <c r="AI57" i="30"/>
  <c r="AI41" i="30"/>
  <c r="AI36" i="30"/>
  <c r="AI28" i="30"/>
  <c r="AI20" i="30"/>
  <c r="AI104" i="30"/>
  <c r="AI96" i="30"/>
  <c r="AI88" i="30"/>
  <c r="AI80" i="30"/>
  <c r="AI72" i="30"/>
  <c r="AI64" i="30"/>
  <c r="AI56" i="30"/>
  <c r="AI48" i="30"/>
  <c r="AI40" i="30"/>
  <c r="AI35" i="30"/>
  <c r="AI27" i="30"/>
  <c r="AI19" i="30"/>
  <c r="AI11" i="30"/>
  <c r="AI103" i="30"/>
  <c r="AI95" i="30"/>
  <c r="AI87" i="30"/>
  <c r="AI79" i="30"/>
  <c r="AI71" i="30"/>
  <c r="AI63" i="30"/>
  <c r="AI55" i="30"/>
  <c r="AI47" i="30"/>
  <c r="AI39" i="30"/>
  <c r="AI34" i="30"/>
  <c r="AI26" i="30"/>
  <c r="AI18" i="30"/>
  <c r="AI10" i="30"/>
  <c r="AI102" i="30"/>
  <c r="AI94" i="30"/>
  <c r="AI86" i="30"/>
  <c r="AI78" i="30"/>
  <c r="AI70" i="30"/>
  <c r="AI62" i="30"/>
  <c r="AI54" i="30"/>
  <c r="AI38" i="30"/>
  <c r="AI32" i="30"/>
  <c r="AI24" i="30"/>
  <c r="AI16" i="30"/>
  <c r="AI8" i="30"/>
  <c r="AI100" i="30"/>
  <c r="AI92" i="30"/>
  <c r="AI84" i="30"/>
  <c r="AI76" i="30"/>
  <c r="AI68" i="30"/>
  <c r="AI60" i="30"/>
  <c r="AI52" i="30"/>
  <c r="D6" i="30"/>
  <c r="G10" i="18"/>
  <c r="G21" i="18"/>
  <c r="G28" i="18"/>
  <c r="G20" i="18"/>
  <c r="G27" i="18"/>
  <c r="G19" i="18"/>
  <c r="G26" i="18"/>
  <c r="G18" i="18"/>
  <c r="G25" i="18"/>
  <c r="G17" i="18"/>
  <c r="G24" i="18"/>
  <c r="G16" i="18"/>
  <c r="G23" i="18"/>
  <c r="G29" i="18"/>
  <c r="G6" i="18"/>
  <c r="G22" i="18"/>
  <c r="G7" i="18"/>
  <c r="G34" i="18"/>
  <c r="G33" i="18"/>
  <c r="G32" i="18"/>
  <c r="G31" i="18"/>
  <c r="G30" i="18"/>
  <c r="K103" i="19"/>
  <c r="B112" i="19" s="1"/>
  <c r="J103" i="19"/>
  <c r="L110" i="19" s="1"/>
  <c r="H103" i="19"/>
  <c r="I111" i="19" s="1"/>
  <c r="G103" i="19"/>
  <c r="F103" i="19"/>
  <c r="Q102" i="19"/>
  <c r="O102" i="19"/>
  <c r="R102" i="19" s="1"/>
  <c r="S102" i="19" s="1"/>
  <c r="T102" i="19" s="1"/>
  <c r="Q101" i="19"/>
  <c r="O101" i="19"/>
  <c r="R101" i="19" s="1"/>
  <c r="S101" i="19" s="1"/>
  <c r="T101" i="19" s="1"/>
  <c r="Q100" i="19"/>
  <c r="O100" i="19"/>
  <c r="R100" i="19" s="1"/>
  <c r="S100" i="19" s="1"/>
  <c r="T100" i="19" s="1"/>
  <c r="Q99" i="19"/>
  <c r="O99" i="19"/>
  <c r="Q98" i="19"/>
  <c r="O98" i="19"/>
  <c r="Q97" i="19"/>
  <c r="O97" i="19"/>
  <c r="R97" i="19" s="1"/>
  <c r="S97" i="19" s="1"/>
  <c r="T97" i="19" s="1"/>
  <c r="Q96" i="19"/>
  <c r="O96" i="19"/>
  <c r="R96" i="19" s="1"/>
  <c r="S96" i="19" s="1"/>
  <c r="T96" i="19" s="1"/>
  <c r="Q95" i="19"/>
  <c r="O95" i="19"/>
  <c r="R95" i="19" s="1"/>
  <c r="S95" i="19" s="1"/>
  <c r="T95" i="19" s="1"/>
  <c r="Q94" i="19"/>
  <c r="O94" i="19"/>
  <c r="R94" i="19" s="1"/>
  <c r="S94" i="19" s="1"/>
  <c r="T94" i="19" s="1"/>
  <c r="Q93" i="19"/>
  <c r="O93" i="19"/>
  <c r="R93" i="19" s="1"/>
  <c r="S93" i="19" s="1"/>
  <c r="T93" i="19" s="1"/>
  <c r="Q92" i="19"/>
  <c r="O92" i="19"/>
  <c r="R92" i="19" s="1"/>
  <c r="S92" i="19" s="1"/>
  <c r="T92" i="19" s="1"/>
  <c r="Q91" i="19"/>
  <c r="O91" i="19"/>
  <c r="Q90" i="19"/>
  <c r="O90" i="19"/>
  <c r="Q89" i="19"/>
  <c r="O89" i="19"/>
  <c r="R89" i="19" s="1"/>
  <c r="S89" i="19" s="1"/>
  <c r="T89" i="19" s="1"/>
  <c r="Q88" i="19"/>
  <c r="O88" i="19"/>
  <c r="R88" i="19" s="1"/>
  <c r="S88" i="19" s="1"/>
  <c r="T88" i="19" s="1"/>
  <c r="Q87" i="19"/>
  <c r="O87" i="19"/>
  <c r="R87" i="19" s="1"/>
  <c r="S87" i="19" s="1"/>
  <c r="T87" i="19" s="1"/>
  <c r="Q86" i="19"/>
  <c r="O86" i="19"/>
  <c r="R86" i="19" s="1"/>
  <c r="S86" i="19" s="1"/>
  <c r="T86" i="19" s="1"/>
  <c r="Q85" i="19"/>
  <c r="O85" i="19"/>
  <c r="R85" i="19" s="1"/>
  <c r="S85" i="19" s="1"/>
  <c r="T85" i="19" s="1"/>
  <c r="Q84" i="19"/>
  <c r="O84" i="19"/>
  <c r="R84" i="19" s="1"/>
  <c r="S84" i="19" s="1"/>
  <c r="T84" i="19" s="1"/>
  <c r="Q83" i="19"/>
  <c r="O83" i="19"/>
  <c r="Q82" i="19"/>
  <c r="O82" i="19"/>
  <c r="Q81" i="19"/>
  <c r="O81" i="19"/>
  <c r="R81" i="19" s="1"/>
  <c r="S81" i="19" s="1"/>
  <c r="T81" i="19" s="1"/>
  <c r="Q80" i="19"/>
  <c r="O80" i="19"/>
  <c r="R80" i="19" s="1"/>
  <c r="S80" i="19" s="1"/>
  <c r="T80" i="19" s="1"/>
  <c r="Q79" i="19"/>
  <c r="O79" i="19"/>
  <c r="R79" i="19" s="1"/>
  <c r="S79" i="19" s="1"/>
  <c r="T79" i="19" s="1"/>
  <c r="Q78" i="19"/>
  <c r="O78" i="19"/>
  <c r="R78" i="19" s="1"/>
  <c r="S78" i="19" s="1"/>
  <c r="T78" i="19" s="1"/>
  <c r="Q77" i="19"/>
  <c r="O77" i="19"/>
  <c r="R77" i="19" s="1"/>
  <c r="S77" i="19" s="1"/>
  <c r="T77" i="19" s="1"/>
  <c r="Q76" i="19"/>
  <c r="O76" i="19"/>
  <c r="R76" i="19" s="1"/>
  <c r="S76" i="19" s="1"/>
  <c r="T76" i="19" s="1"/>
  <c r="Q75" i="19"/>
  <c r="O75" i="19"/>
  <c r="Q74" i="19"/>
  <c r="O74" i="19"/>
  <c r="Q73" i="19"/>
  <c r="O73" i="19"/>
  <c r="R73" i="19" s="1"/>
  <c r="S73" i="19" s="1"/>
  <c r="T73" i="19" s="1"/>
  <c r="Q72" i="19"/>
  <c r="O72" i="19"/>
  <c r="R72" i="19" s="1"/>
  <c r="S72" i="19" s="1"/>
  <c r="T72" i="19" s="1"/>
  <c r="Q71" i="19"/>
  <c r="O71" i="19"/>
  <c r="R71" i="19" s="1"/>
  <c r="S71" i="19" s="1"/>
  <c r="T71" i="19" s="1"/>
  <c r="Q70" i="19"/>
  <c r="O70" i="19"/>
  <c r="R70" i="19" s="1"/>
  <c r="S70" i="19" s="1"/>
  <c r="T70" i="19" s="1"/>
  <c r="Q69" i="19"/>
  <c r="O69" i="19"/>
  <c r="R69" i="19" s="1"/>
  <c r="S69" i="19" s="1"/>
  <c r="T69" i="19" s="1"/>
  <c r="Q68" i="19"/>
  <c r="O68" i="19"/>
  <c r="R68" i="19" s="1"/>
  <c r="S68" i="19" s="1"/>
  <c r="T68" i="19" s="1"/>
  <c r="Q67" i="19"/>
  <c r="O67" i="19"/>
  <c r="Q66" i="19"/>
  <c r="O66" i="19"/>
  <c r="Q65" i="19"/>
  <c r="O65" i="19"/>
  <c r="R65" i="19" s="1"/>
  <c r="S65" i="19" s="1"/>
  <c r="T65" i="19" s="1"/>
  <c r="Q64" i="19"/>
  <c r="O64" i="19"/>
  <c r="R64" i="19" s="1"/>
  <c r="S64" i="19" s="1"/>
  <c r="T64" i="19" s="1"/>
  <c r="Q63" i="19"/>
  <c r="O63" i="19"/>
  <c r="R63" i="19" s="1"/>
  <c r="S63" i="19" s="1"/>
  <c r="T63" i="19" s="1"/>
  <c r="Q62" i="19"/>
  <c r="O62" i="19"/>
  <c r="R62" i="19" s="1"/>
  <c r="S62" i="19" s="1"/>
  <c r="T62" i="19" s="1"/>
  <c r="Q61" i="19"/>
  <c r="O61" i="19"/>
  <c r="R61" i="19" s="1"/>
  <c r="S61" i="19" s="1"/>
  <c r="T61" i="19" s="1"/>
  <c r="Q60" i="19"/>
  <c r="O60" i="19"/>
  <c r="R60" i="19" s="1"/>
  <c r="S60" i="19" s="1"/>
  <c r="T60" i="19" s="1"/>
  <c r="Q59" i="19"/>
  <c r="O59" i="19"/>
  <c r="Q58" i="19"/>
  <c r="O58" i="19"/>
  <c r="Q57" i="19"/>
  <c r="O57" i="19"/>
  <c r="R57" i="19" s="1"/>
  <c r="S57" i="19" s="1"/>
  <c r="T57" i="19" s="1"/>
  <c r="Q56" i="19"/>
  <c r="O56" i="19"/>
  <c r="R56" i="19" s="1"/>
  <c r="S56" i="19" s="1"/>
  <c r="T56" i="19" s="1"/>
  <c r="Q55" i="19"/>
  <c r="O55" i="19"/>
  <c r="Q54" i="19"/>
  <c r="O54" i="19"/>
  <c r="R54" i="19" s="1"/>
  <c r="S54" i="19" s="1"/>
  <c r="T54" i="19" s="1"/>
  <c r="Q53" i="19"/>
  <c r="O53" i="19"/>
  <c r="R53" i="19" s="1"/>
  <c r="S53" i="19" s="1"/>
  <c r="T53" i="19" s="1"/>
  <c r="Q52" i="19"/>
  <c r="O52" i="19"/>
  <c r="R52" i="19" s="1"/>
  <c r="S52" i="19" s="1"/>
  <c r="T52" i="19" s="1"/>
  <c r="Q51" i="19"/>
  <c r="O51" i="19"/>
  <c r="Q50" i="19"/>
  <c r="O50" i="19"/>
  <c r="Q49" i="19"/>
  <c r="O49" i="19"/>
  <c r="R49" i="19" s="1"/>
  <c r="S49" i="19" s="1"/>
  <c r="T49" i="19" s="1"/>
  <c r="Q48" i="19"/>
  <c r="O48" i="19"/>
  <c r="R48" i="19" s="1"/>
  <c r="S48" i="19" s="1"/>
  <c r="T48" i="19" s="1"/>
  <c r="Q47" i="19"/>
  <c r="O47" i="19"/>
  <c r="R47" i="19" s="1"/>
  <c r="S47" i="19" s="1"/>
  <c r="T47" i="19" s="1"/>
  <c r="Q46" i="19"/>
  <c r="O46" i="19"/>
  <c r="R46" i="19" s="1"/>
  <c r="S46" i="19" s="1"/>
  <c r="T46" i="19" s="1"/>
  <c r="Q45" i="19"/>
  <c r="O45" i="19"/>
  <c r="R45" i="19" s="1"/>
  <c r="S45" i="19" s="1"/>
  <c r="T45" i="19" s="1"/>
  <c r="Q44" i="19"/>
  <c r="O44" i="19"/>
  <c r="R44" i="19" s="1"/>
  <c r="S44" i="19" s="1"/>
  <c r="T44" i="19" s="1"/>
  <c r="Q43" i="19"/>
  <c r="O43" i="19"/>
  <c r="Q42" i="19"/>
  <c r="O42" i="19"/>
  <c r="Q41" i="19"/>
  <c r="O41" i="19"/>
  <c r="R41" i="19" s="1"/>
  <c r="S41" i="19" s="1"/>
  <c r="T41" i="19" s="1"/>
  <c r="Q40" i="19"/>
  <c r="O40" i="19"/>
  <c r="R40" i="19" s="1"/>
  <c r="S40" i="19" s="1"/>
  <c r="T40" i="19" s="1"/>
  <c r="Q39" i="19"/>
  <c r="O39" i="19"/>
  <c r="R39" i="19" s="1"/>
  <c r="S39" i="19" s="1"/>
  <c r="T39" i="19" s="1"/>
  <c r="Q38" i="19"/>
  <c r="O38" i="19"/>
  <c r="R38" i="19" s="1"/>
  <c r="S38" i="19" s="1"/>
  <c r="T38" i="19" s="1"/>
  <c r="Q37" i="19"/>
  <c r="O37" i="19"/>
  <c r="R37" i="19" s="1"/>
  <c r="S37" i="19" s="1"/>
  <c r="T37" i="19" s="1"/>
  <c r="Q36" i="19"/>
  <c r="O36" i="19"/>
  <c r="R36" i="19" s="1"/>
  <c r="S36" i="19" s="1"/>
  <c r="T36" i="19" s="1"/>
  <c r="Q35" i="19"/>
  <c r="O35" i="19"/>
  <c r="Q34" i="19"/>
  <c r="O34" i="19"/>
  <c r="Q33" i="19"/>
  <c r="O33" i="19"/>
  <c r="R33" i="19" s="1"/>
  <c r="S33" i="19" s="1"/>
  <c r="T33" i="19" s="1"/>
  <c r="Q32" i="19"/>
  <c r="O32" i="19"/>
  <c r="R32" i="19" s="1"/>
  <c r="S32" i="19" s="1"/>
  <c r="T32" i="19" s="1"/>
  <c r="Q31" i="19"/>
  <c r="O31" i="19"/>
  <c r="R31" i="19" s="1"/>
  <c r="S31" i="19" s="1"/>
  <c r="T31" i="19" s="1"/>
  <c r="Q30" i="19"/>
  <c r="O30" i="19"/>
  <c r="R30" i="19" s="1"/>
  <c r="S30" i="19" s="1"/>
  <c r="T30" i="19" s="1"/>
  <c r="Q29" i="19"/>
  <c r="O29" i="19"/>
  <c r="T28" i="19"/>
  <c r="Q28" i="19"/>
  <c r="O28" i="19"/>
  <c r="R28" i="19" s="1"/>
  <c r="Q27" i="19"/>
  <c r="O27" i="19"/>
  <c r="Q26" i="19"/>
  <c r="O26" i="19"/>
  <c r="T25" i="19"/>
  <c r="Q25" i="19"/>
  <c r="O25" i="19"/>
  <c r="R25" i="19" s="1"/>
  <c r="Q24" i="19"/>
  <c r="O24" i="19"/>
  <c r="Q23" i="19"/>
  <c r="O23" i="19"/>
  <c r="R23" i="19" s="1"/>
  <c r="T23" i="19" s="1"/>
  <c r="Q22" i="19"/>
  <c r="O22" i="19"/>
  <c r="R22" i="19" s="1"/>
  <c r="T22" i="19" s="1"/>
  <c r="Q21" i="19"/>
  <c r="O21" i="19"/>
  <c r="R21" i="19" s="1"/>
  <c r="T21" i="19" s="1"/>
  <c r="T20" i="19"/>
  <c r="Q20" i="19"/>
  <c r="O20" i="19"/>
  <c r="R20" i="19" s="1"/>
  <c r="T19" i="19"/>
  <c r="Q19" i="19"/>
  <c r="O19" i="19"/>
  <c r="Q18" i="19"/>
  <c r="O18" i="19"/>
  <c r="Q17" i="19"/>
  <c r="O17" i="19"/>
  <c r="R17" i="19" s="1"/>
  <c r="T17" i="19" s="1"/>
  <c r="Q16" i="19"/>
  <c r="O16" i="19"/>
  <c r="R16" i="19" s="1"/>
  <c r="T16" i="19" s="1"/>
  <c r="Q15" i="19"/>
  <c r="O15" i="19"/>
  <c r="Q14" i="19"/>
  <c r="O14" i="19"/>
  <c r="R14" i="19" s="1"/>
  <c r="T14" i="19" s="1"/>
  <c r="Q13" i="19"/>
  <c r="O13" i="19"/>
  <c r="R13" i="19" s="1"/>
  <c r="T13" i="19" s="1"/>
  <c r="Q12" i="19"/>
  <c r="O12" i="19"/>
  <c r="Q11" i="19"/>
  <c r="O11" i="19"/>
  <c r="Q10" i="19"/>
  <c r="O10" i="19"/>
  <c r="T9" i="19"/>
  <c r="Q9" i="19"/>
  <c r="O9" i="19"/>
  <c r="R9" i="19" s="1"/>
  <c r="Q8" i="19"/>
  <c r="O8" i="19"/>
  <c r="R8" i="19" s="1"/>
  <c r="T8" i="19" s="1"/>
  <c r="Q7" i="19"/>
  <c r="O7" i="19"/>
  <c r="R7" i="19" s="1"/>
  <c r="T7" i="19" s="1"/>
  <c r="Q6" i="19"/>
  <c r="O6" i="19"/>
  <c r="R6" i="19" s="1"/>
  <c r="T6" i="19" s="1"/>
  <c r="Q5" i="19"/>
  <c r="O5" i="19"/>
  <c r="R5" i="19" s="1"/>
  <c r="T5" i="19" s="1"/>
  <c r="T4" i="19"/>
  <c r="Q4" i="19"/>
  <c r="O4" i="19"/>
  <c r="Q3" i="19"/>
  <c r="O3" i="19"/>
  <c r="B7" i="34" l="1"/>
  <c r="E14" i="34"/>
  <c r="E15" i="34"/>
  <c r="E16" i="34"/>
  <c r="E17" i="34"/>
  <c r="E18" i="34"/>
  <c r="B38" i="34" s="1"/>
  <c r="E19" i="34"/>
  <c r="B13" i="34"/>
  <c r="A8" i="33" a="1"/>
  <c r="J8" i="33" s="1"/>
  <c r="B58" i="33" a="1"/>
  <c r="H63" i="33" a="1"/>
  <c r="D8" i="33" a="1"/>
  <c r="F34" i="34"/>
  <c r="B32" i="34"/>
  <c r="E13" i="34"/>
  <c r="F32" i="34" s="1"/>
  <c r="E12" i="34"/>
  <c r="F31" i="34" s="1"/>
  <c r="E11" i="34"/>
  <c r="E10" i="34"/>
  <c r="B27" i="34" s="1"/>
  <c r="B31" i="34"/>
  <c r="B30" i="34"/>
  <c r="B29" i="34"/>
  <c r="B28" i="34"/>
  <c r="F33" i="34"/>
  <c r="F30" i="34"/>
  <c r="F29" i="34"/>
  <c r="F28" i="34"/>
  <c r="F27" i="34"/>
  <c r="L103" i="19"/>
  <c r="L111" i="19"/>
  <c r="L112" i="19"/>
  <c r="R12" i="19"/>
  <c r="T12" i="19" s="1"/>
  <c r="R55" i="19"/>
  <c r="S55" i="19" s="1"/>
  <c r="T55" i="19" s="1"/>
  <c r="O110" i="19"/>
  <c r="I110" i="19"/>
  <c r="B111" i="19"/>
  <c r="O109" i="19"/>
  <c r="O111" i="19"/>
  <c r="AX2" i="30"/>
  <c r="D211" i="30"/>
  <c r="D210" i="30"/>
  <c r="D209" i="30"/>
  <c r="D208" i="30"/>
  <c r="D207" i="30"/>
  <c r="D206" i="30"/>
  <c r="D205" i="30"/>
  <c r="D204" i="30"/>
  <c r="D203" i="30"/>
  <c r="D202" i="30"/>
  <c r="D201" i="30"/>
  <c r="D200" i="30"/>
  <c r="D199" i="30"/>
  <c r="D198" i="30"/>
  <c r="D197" i="30"/>
  <c r="D196" i="30"/>
  <c r="D195" i="30"/>
  <c r="D194" i="30"/>
  <c r="D193" i="30"/>
  <c r="D192" i="30"/>
  <c r="D191" i="30"/>
  <c r="D190" i="30"/>
  <c r="D189" i="30"/>
  <c r="D188" i="30"/>
  <c r="D187" i="30"/>
  <c r="D186" i="30"/>
  <c r="D185" i="30"/>
  <c r="D184" i="30"/>
  <c r="D183" i="30"/>
  <c r="D182" i="30"/>
  <c r="D181" i="30"/>
  <c r="D180" i="30"/>
  <c r="D179" i="30"/>
  <c r="D178" i="30"/>
  <c r="D177" i="30"/>
  <c r="D176" i="30"/>
  <c r="D175" i="30"/>
  <c r="D174" i="30"/>
  <c r="D173" i="30"/>
  <c r="D172" i="30"/>
  <c r="D171" i="30"/>
  <c r="D170" i="30"/>
  <c r="D169" i="30"/>
  <c r="D168" i="30"/>
  <c r="D167" i="30"/>
  <c r="D166" i="30"/>
  <c r="D165" i="30"/>
  <c r="D164" i="30"/>
  <c r="D163" i="30"/>
  <c r="D162" i="30"/>
  <c r="D161" i="30"/>
  <c r="D160" i="30"/>
  <c r="D159" i="30"/>
  <c r="D158" i="30"/>
  <c r="D157" i="30"/>
  <c r="D156" i="30"/>
  <c r="D155" i="30"/>
  <c r="D154" i="30"/>
  <c r="D153" i="30"/>
  <c r="D152" i="30"/>
  <c r="D151" i="30"/>
  <c r="D150" i="30"/>
  <c r="D149" i="30"/>
  <c r="D148" i="30"/>
  <c r="D147" i="30"/>
  <c r="D146" i="30"/>
  <c r="D145" i="30"/>
  <c r="D144" i="30"/>
  <c r="D143" i="30"/>
  <c r="D142" i="30"/>
  <c r="D141" i="30"/>
  <c r="D140" i="30"/>
  <c r="D139" i="30"/>
  <c r="D138" i="30"/>
  <c r="D137" i="30"/>
  <c r="D136" i="30"/>
  <c r="D135" i="30"/>
  <c r="D134" i="30"/>
  <c r="D133" i="30"/>
  <c r="D132" i="30"/>
  <c r="D131" i="30"/>
  <c r="D130" i="30"/>
  <c r="D129" i="30"/>
  <c r="D128" i="30"/>
  <c r="D127" i="30"/>
  <c r="D126" i="30"/>
  <c r="D125" i="30"/>
  <c r="D124" i="30"/>
  <c r="D67" i="30"/>
  <c r="D32" i="30"/>
  <c r="D123" i="30"/>
  <c r="D122" i="30"/>
  <c r="D121" i="30"/>
  <c r="D120" i="30"/>
  <c r="D119" i="30"/>
  <c r="D118" i="30"/>
  <c r="D117" i="30"/>
  <c r="D116" i="30"/>
  <c r="D115" i="30"/>
  <c r="D114" i="30"/>
  <c r="D113" i="30"/>
  <c r="D112" i="30"/>
  <c r="D111" i="30"/>
  <c r="D110" i="30"/>
  <c r="D109" i="30"/>
  <c r="D108" i="30"/>
  <c r="D107" i="30"/>
  <c r="D106" i="30"/>
  <c r="D105" i="30"/>
  <c r="D104" i="30"/>
  <c r="D103" i="30"/>
  <c r="D102" i="30"/>
  <c r="D101" i="30"/>
  <c r="D100" i="30"/>
  <c r="D99" i="30"/>
  <c r="D98" i="30"/>
  <c r="D97" i="30"/>
  <c r="D96" i="30"/>
  <c r="D95" i="30"/>
  <c r="D94" i="30"/>
  <c r="D71" i="30"/>
  <c r="D70" i="30"/>
  <c r="D69" i="30"/>
  <c r="D65" i="30"/>
  <c r="D93" i="30"/>
  <c r="D92" i="30"/>
  <c r="D91" i="30"/>
  <c r="D90" i="30"/>
  <c r="D89" i="30"/>
  <c r="D88" i="30"/>
  <c r="D87" i="30"/>
  <c r="D86" i="30"/>
  <c r="D85" i="30"/>
  <c r="D84" i="30"/>
  <c r="D83" i="30"/>
  <c r="D82" i="30"/>
  <c r="D81" i="30"/>
  <c r="D80" i="30"/>
  <c r="D79" i="30"/>
  <c r="D78" i="30"/>
  <c r="D77" i="30"/>
  <c r="D76" i="30"/>
  <c r="D75" i="30"/>
  <c r="D74" i="30"/>
  <c r="D73" i="30"/>
  <c r="D72" i="30"/>
  <c r="D68" i="30"/>
  <c r="D66" i="30"/>
  <c r="D64" i="30"/>
  <c r="D63" i="30"/>
  <c r="D62" i="30"/>
  <c r="D61" i="30"/>
  <c r="D60" i="30"/>
  <c r="D59" i="30"/>
  <c r="D58" i="30"/>
  <c r="D57" i="30"/>
  <c r="D56" i="30"/>
  <c r="D55" i="30"/>
  <c r="D54" i="30"/>
  <c r="D53" i="30"/>
  <c r="D52" i="30"/>
  <c r="D51" i="30"/>
  <c r="D50" i="30"/>
  <c r="D49" i="30"/>
  <c r="D48" i="30"/>
  <c r="D47" i="30"/>
  <c r="D46" i="30"/>
  <c r="D45" i="30"/>
  <c r="D44" i="30"/>
  <c r="D43" i="30"/>
  <c r="D42" i="30"/>
  <c r="D41" i="30"/>
  <c r="D40" i="30"/>
  <c r="D39" i="30"/>
  <c r="D38" i="30"/>
  <c r="D37" i="30"/>
  <c r="D36" i="30"/>
  <c r="D35" i="30"/>
  <c r="D34" i="30"/>
  <c r="D33" i="30"/>
  <c r="D31" i="30"/>
  <c r="D30" i="30"/>
  <c r="D29" i="30"/>
  <c r="D28" i="30"/>
  <c r="D27" i="30"/>
  <c r="D26" i="30"/>
  <c r="D25" i="30"/>
  <c r="D24" i="30"/>
  <c r="D23" i="30"/>
  <c r="D22" i="30"/>
  <c r="D21" i="30"/>
  <c r="D20" i="30"/>
  <c r="D19" i="30"/>
  <c r="D18" i="30"/>
  <c r="D17" i="30"/>
  <c r="D16" i="30"/>
  <c r="D15" i="30"/>
  <c r="D14" i="30"/>
  <c r="D13" i="30"/>
  <c r="D12" i="30"/>
  <c r="D11" i="30"/>
  <c r="D10" i="30"/>
  <c r="D9" i="30"/>
  <c r="D8" i="30"/>
  <c r="D7" i="30"/>
  <c r="R24" i="19"/>
  <c r="T24" i="19" s="1"/>
  <c r="R4" i="19"/>
  <c r="R29" i="19"/>
  <c r="S29" i="19" s="1"/>
  <c r="T29" i="19" s="1"/>
  <c r="R83" i="19"/>
  <c r="S83" i="19" s="1"/>
  <c r="T83" i="19" s="1"/>
  <c r="R82" i="19"/>
  <c r="S82" i="19" s="1"/>
  <c r="T82" i="19" s="1"/>
  <c r="R75" i="19"/>
  <c r="S75" i="19" s="1"/>
  <c r="T75" i="19" s="1"/>
  <c r="R74" i="19"/>
  <c r="S74" i="19" s="1"/>
  <c r="T74" i="19" s="1"/>
  <c r="R67" i="19"/>
  <c r="S67" i="19" s="1"/>
  <c r="T67" i="19" s="1"/>
  <c r="R66" i="19"/>
  <c r="S66" i="19" s="1"/>
  <c r="T66" i="19" s="1"/>
  <c r="R59" i="19"/>
  <c r="S59" i="19" s="1"/>
  <c r="T59" i="19" s="1"/>
  <c r="R58" i="19"/>
  <c r="S58" i="19" s="1"/>
  <c r="T58" i="19" s="1"/>
  <c r="R51" i="19"/>
  <c r="S51" i="19" s="1"/>
  <c r="T51" i="19" s="1"/>
  <c r="R50" i="19"/>
  <c r="S50" i="19" s="1"/>
  <c r="T50" i="19" s="1"/>
  <c r="R43" i="19"/>
  <c r="S43" i="19" s="1"/>
  <c r="T43" i="19" s="1"/>
  <c r="R42" i="19"/>
  <c r="S42" i="19" s="1"/>
  <c r="T42" i="19" s="1"/>
  <c r="R35" i="19"/>
  <c r="S35" i="19" s="1"/>
  <c r="T35" i="19" s="1"/>
  <c r="R34" i="19"/>
  <c r="S34" i="19" s="1"/>
  <c r="T34" i="19" s="1"/>
  <c r="R99" i="19"/>
  <c r="S99" i="19" s="1"/>
  <c r="T99" i="19" s="1"/>
  <c r="R98" i="19"/>
  <c r="S98" i="19" s="1"/>
  <c r="T98" i="19" s="1"/>
  <c r="R91" i="19"/>
  <c r="S91" i="19" s="1"/>
  <c r="T91" i="19" s="1"/>
  <c r="R90" i="19"/>
  <c r="S90" i="19" s="1"/>
  <c r="T90" i="19" s="1"/>
  <c r="R27" i="19"/>
  <c r="T27" i="19" s="1"/>
  <c r="R26" i="19"/>
  <c r="T26" i="19" s="1"/>
  <c r="R19" i="19"/>
  <c r="R18" i="19"/>
  <c r="T18" i="19" s="1"/>
  <c r="R11" i="19"/>
  <c r="T11" i="19" s="1"/>
  <c r="R10" i="19"/>
  <c r="T10" i="19" s="1"/>
  <c r="R3" i="19"/>
  <c r="W12" i="19" a="1"/>
  <c r="W7" i="19" a="1"/>
  <c r="W9" i="19" a="1"/>
  <c r="E6" i="30"/>
  <c r="D5" i="30"/>
  <c r="Q103" i="19"/>
  <c r="O103" i="19"/>
  <c r="R15" i="19"/>
  <c r="T15" i="19" s="1"/>
  <c r="U58" i="33" l="1"/>
  <c r="U57" i="33"/>
  <c r="U56" i="33"/>
  <c r="U55" i="33"/>
  <c r="U54" i="33"/>
  <c r="U53" i="33"/>
  <c r="U52" i="33"/>
  <c r="U51" i="33"/>
  <c r="U50" i="33"/>
  <c r="U49" i="33"/>
  <c r="V58" i="33"/>
  <c r="V57" i="33"/>
  <c r="V56" i="33"/>
  <c r="V55" i="33"/>
  <c r="V54" i="33"/>
  <c r="V53" i="33"/>
  <c r="V52" i="33"/>
  <c r="V51" i="33"/>
  <c r="V50" i="33"/>
  <c r="V49" i="33"/>
  <c r="B39" i="34"/>
  <c r="AZ2" i="30"/>
  <c r="AY2" i="30"/>
  <c r="AX3" i="30"/>
  <c r="E211" i="30"/>
  <c r="E210" i="30"/>
  <c r="E209" i="30"/>
  <c r="E208" i="30"/>
  <c r="E207" i="30"/>
  <c r="E206" i="30"/>
  <c r="E205" i="30"/>
  <c r="E204" i="30"/>
  <c r="E203" i="30"/>
  <c r="E202" i="30"/>
  <c r="E201" i="30"/>
  <c r="E200" i="30"/>
  <c r="E199" i="30"/>
  <c r="E198" i="30"/>
  <c r="E197" i="30"/>
  <c r="E196" i="30"/>
  <c r="E195" i="30"/>
  <c r="E194" i="30"/>
  <c r="E193" i="30"/>
  <c r="E192" i="30"/>
  <c r="E191" i="30"/>
  <c r="E190" i="30"/>
  <c r="E189" i="30"/>
  <c r="E188" i="30"/>
  <c r="E187" i="30"/>
  <c r="E186" i="30"/>
  <c r="E185" i="30"/>
  <c r="E184" i="30"/>
  <c r="E183" i="30"/>
  <c r="E182" i="30"/>
  <c r="E181" i="30"/>
  <c r="E180" i="30"/>
  <c r="E179" i="30"/>
  <c r="E178" i="30"/>
  <c r="E177" i="30"/>
  <c r="E176" i="30"/>
  <c r="E175" i="30"/>
  <c r="E174" i="30"/>
  <c r="E173" i="30"/>
  <c r="E172" i="30"/>
  <c r="E171" i="30"/>
  <c r="E170" i="30"/>
  <c r="E169" i="30"/>
  <c r="E168" i="30"/>
  <c r="E167" i="30"/>
  <c r="E166" i="30"/>
  <c r="E165" i="30"/>
  <c r="E164" i="30"/>
  <c r="E163" i="30"/>
  <c r="E162" i="30"/>
  <c r="E161" i="30"/>
  <c r="E160" i="30"/>
  <c r="E159" i="30"/>
  <c r="E158" i="30"/>
  <c r="E157" i="30"/>
  <c r="E156" i="30"/>
  <c r="E155" i="30"/>
  <c r="E154" i="30"/>
  <c r="E65" i="30"/>
  <c r="E64" i="30"/>
  <c r="E32" i="30"/>
  <c r="E153" i="30"/>
  <c r="E152" i="30"/>
  <c r="E151" i="30"/>
  <c r="E150" i="30"/>
  <c r="E149" i="30"/>
  <c r="E148" i="30"/>
  <c r="E147" i="30"/>
  <c r="E146" i="30"/>
  <c r="E145" i="30"/>
  <c r="E144" i="30"/>
  <c r="E143" i="30"/>
  <c r="E142" i="30"/>
  <c r="E141" i="30"/>
  <c r="E140" i="30"/>
  <c r="E139" i="30"/>
  <c r="E138" i="30"/>
  <c r="E137" i="30"/>
  <c r="E136" i="30"/>
  <c r="E135" i="30"/>
  <c r="E134" i="30"/>
  <c r="E133" i="30"/>
  <c r="E132" i="30"/>
  <c r="E131" i="30"/>
  <c r="E130" i="30"/>
  <c r="E129" i="30"/>
  <c r="E128" i="30"/>
  <c r="E127" i="30"/>
  <c r="E126" i="30"/>
  <c r="E125" i="30"/>
  <c r="E124" i="30"/>
  <c r="E67" i="30"/>
  <c r="E66" i="30"/>
  <c r="E63" i="30"/>
  <c r="E123" i="30"/>
  <c r="E122" i="30"/>
  <c r="E121" i="30"/>
  <c r="E120" i="30"/>
  <c r="E119" i="30"/>
  <c r="E118" i="30"/>
  <c r="E117" i="30"/>
  <c r="E116" i="30"/>
  <c r="E115" i="30"/>
  <c r="E114" i="30"/>
  <c r="E113" i="30"/>
  <c r="E112" i="30"/>
  <c r="E111" i="30"/>
  <c r="E110" i="30"/>
  <c r="E109" i="30"/>
  <c r="E108" i="30"/>
  <c r="E107" i="30"/>
  <c r="E106" i="30"/>
  <c r="E105" i="30"/>
  <c r="E104" i="30"/>
  <c r="E103" i="30"/>
  <c r="E102" i="30"/>
  <c r="E101" i="30"/>
  <c r="E100" i="30"/>
  <c r="E99" i="30"/>
  <c r="E98" i="30"/>
  <c r="E97" i="30"/>
  <c r="E96" i="30"/>
  <c r="E95" i="30"/>
  <c r="E94" i="30"/>
  <c r="E71" i="30"/>
  <c r="E70" i="30"/>
  <c r="E69" i="30"/>
  <c r="E68" i="30"/>
  <c r="E93" i="30"/>
  <c r="E92" i="30"/>
  <c r="E91" i="30"/>
  <c r="E90" i="30"/>
  <c r="E89" i="30"/>
  <c r="E88" i="30"/>
  <c r="E87" i="30"/>
  <c r="E86" i="30"/>
  <c r="E85" i="30"/>
  <c r="E84" i="30"/>
  <c r="E83" i="30"/>
  <c r="E82" i="30"/>
  <c r="E81" i="30"/>
  <c r="E80" i="30"/>
  <c r="E79" i="30"/>
  <c r="E78" i="30"/>
  <c r="E77" i="30"/>
  <c r="E76" i="30"/>
  <c r="E75" i="30"/>
  <c r="E74" i="30"/>
  <c r="E73" i="30"/>
  <c r="E72" i="30"/>
  <c r="E62" i="30"/>
  <c r="E61" i="30"/>
  <c r="E60" i="30"/>
  <c r="E59" i="30"/>
  <c r="E58" i="30"/>
  <c r="E57" i="30"/>
  <c r="E56" i="30"/>
  <c r="E55" i="30"/>
  <c r="E54" i="30"/>
  <c r="E53" i="30"/>
  <c r="E52" i="30"/>
  <c r="E51" i="30"/>
  <c r="E50" i="30"/>
  <c r="E49" i="30"/>
  <c r="E48" i="30"/>
  <c r="E47" i="30"/>
  <c r="E46" i="30"/>
  <c r="E45" i="30"/>
  <c r="E44" i="30"/>
  <c r="E43" i="30"/>
  <c r="E42" i="30"/>
  <c r="E41" i="30"/>
  <c r="E40" i="30"/>
  <c r="E39" i="30"/>
  <c r="E38" i="30"/>
  <c r="E37" i="30"/>
  <c r="E36" i="30"/>
  <c r="E35" i="30"/>
  <c r="E34" i="30"/>
  <c r="E33" i="30"/>
  <c r="E31" i="30"/>
  <c r="E30" i="30"/>
  <c r="E29" i="30"/>
  <c r="E28" i="30"/>
  <c r="E27" i="30"/>
  <c r="E26" i="30"/>
  <c r="E25" i="30"/>
  <c r="E24" i="30"/>
  <c r="E23" i="30"/>
  <c r="E22" i="30"/>
  <c r="E21" i="30"/>
  <c r="E20" i="30"/>
  <c r="E19" i="30"/>
  <c r="E18" i="30"/>
  <c r="E17" i="30"/>
  <c r="E16" i="30"/>
  <c r="E15" i="30"/>
  <c r="E14" i="30"/>
  <c r="E13" i="30"/>
  <c r="E12" i="30"/>
  <c r="E11" i="30"/>
  <c r="E10" i="30"/>
  <c r="E9" i="30"/>
  <c r="E8" i="30"/>
  <c r="E7" i="30"/>
  <c r="F6" i="30"/>
  <c r="E5" i="30"/>
  <c r="R103" i="19"/>
  <c r="AY3" i="30" l="1"/>
  <c r="AZ3" i="30"/>
  <c r="AX4" i="30"/>
  <c r="F211" i="30"/>
  <c r="F210" i="30"/>
  <c r="F209" i="30"/>
  <c r="F208" i="30"/>
  <c r="F207" i="30"/>
  <c r="F206" i="30"/>
  <c r="F205" i="30"/>
  <c r="F204" i="30"/>
  <c r="F203" i="30"/>
  <c r="F202" i="30"/>
  <c r="F201" i="30"/>
  <c r="F200" i="30"/>
  <c r="F199" i="30"/>
  <c r="F198" i="30"/>
  <c r="F197" i="30"/>
  <c r="F196" i="30"/>
  <c r="F195" i="30"/>
  <c r="F194" i="30"/>
  <c r="F193" i="30"/>
  <c r="F192" i="30"/>
  <c r="F191" i="30"/>
  <c r="F190" i="30"/>
  <c r="F189" i="30"/>
  <c r="F188" i="30"/>
  <c r="F187" i="30"/>
  <c r="F186" i="30"/>
  <c r="F185" i="30"/>
  <c r="F184" i="30"/>
  <c r="F183" i="30"/>
  <c r="F182" i="30"/>
  <c r="F181" i="30"/>
  <c r="F180" i="30"/>
  <c r="F179" i="30"/>
  <c r="F178" i="30"/>
  <c r="F177" i="30"/>
  <c r="F176" i="30"/>
  <c r="F175" i="30"/>
  <c r="F174" i="30"/>
  <c r="F173" i="30"/>
  <c r="F172" i="30"/>
  <c r="F171" i="30"/>
  <c r="F170" i="30"/>
  <c r="F169" i="30"/>
  <c r="F168" i="30"/>
  <c r="F167" i="30"/>
  <c r="F166" i="30"/>
  <c r="F165" i="30"/>
  <c r="F164" i="30"/>
  <c r="F163" i="30"/>
  <c r="F162" i="30"/>
  <c r="F161" i="30"/>
  <c r="F160" i="30"/>
  <c r="F159" i="30"/>
  <c r="F158" i="30"/>
  <c r="F157" i="30"/>
  <c r="F156" i="30"/>
  <c r="F155" i="30"/>
  <c r="F154" i="30"/>
  <c r="F63" i="30"/>
  <c r="F153" i="30"/>
  <c r="F152" i="30"/>
  <c r="F151" i="30"/>
  <c r="F150" i="30"/>
  <c r="F149" i="30"/>
  <c r="F148" i="30"/>
  <c r="F147" i="30"/>
  <c r="F146" i="30"/>
  <c r="F145" i="30"/>
  <c r="F144" i="30"/>
  <c r="F143" i="30"/>
  <c r="F142" i="30"/>
  <c r="F141" i="30"/>
  <c r="F140" i="30"/>
  <c r="F139" i="30"/>
  <c r="F138" i="30"/>
  <c r="F137" i="30"/>
  <c r="F136" i="30"/>
  <c r="F135" i="30"/>
  <c r="F134" i="30"/>
  <c r="F133" i="30"/>
  <c r="F132" i="30"/>
  <c r="F131" i="30"/>
  <c r="F130" i="30"/>
  <c r="F129" i="30"/>
  <c r="F128" i="30"/>
  <c r="F127" i="30"/>
  <c r="F126" i="30"/>
  <c r="F125" i="30"/>
  <c r="F124" i="30"/>
  <c r="F67" i="30"/>
  <c r="F65" i="30"/>
  <c r="F64" i="30"/>
  <c r="F123" i="30"/>
  <c r="F122" i="30"/>
  <c r="F121" i="30"/>
  <c r="F120" i="30"/>
  <c r="F119" i="30"/>
  <c r="F118" i="30"/>
  <c r="F117" i="30"/>
  <c r="F116" i="30"/>
  <c r="F115" i="30"/>
  <c r="F114" i="30"/>
  <c r="F113" i="30"/>
  <c r="F112" i="30"/>
  <c r="F111" i="30"/>
  <c r="F110" i="30"/>
  <c r="F109" i="30"/>
  <c r="F108" i="30"/>
  <c r="F107" i="30"/>
  <c r="F106" i="30"/>
  <c r="F105" i="30"/>
  <c r="F104" i="30"/>
  <c r="F103" i="30"/>
  <c r="F102" i="30"/>
  <c r="F101" i="30"/>
  <c r="F100" i="30"/>
  <c r="F99" i="30"/>
  <c r="F98" i="30"/>
  <c r="F97" i="30"/>
  <c r="F96" i="30"/>
  <c r="F95" i="30"/>
  <c r="F94" i="30"/>
  <c r="F71" i="30"/>
  <c r="F70" i="30"/>
  <c r="F69" i="30"/>
  <c r="F32" i="30"/>
  <c r="F93" i="30"/>
  <c r="F92" i="30"/>
  <c r="F91" i="30"/>
  <c r="F90" i="30"/>
  <c r="F89" i="30"/>
  <c r="F88" i="30"/>
  <c r="F87" i="30"/>
  <c r="F86" i="30"/>
  <c r="F85" i="30"/>
  <c r="F84" i="30"/>
  <c r="F83" i="30"/>
  <c r="F82" i="30"/>
  <c r="F81" i="30"/>
  <c r="F80" i="30"/>
  <c r="F79" i="30"/>
  <c r="F78" i="30"/>
  <c r="F77" i="30"/>
  <c r="F76" i="30"/>
  <c r="F75" i="30"/>
  <c r="F74" i="30"/>
  <c r="F73" i="30"/>
  <c r="F72" i="30"/>
  <c r="F68" i="30"/>
  <c r="F66" i="30"/>
  <c r="F62" i="30"/>
  <c r="F61" i="30"/>
  <c r="F60" i="30"/>
  <c r="F59" i="30"/>
  <c r="F58" i="30"/>
  <c r="F57" i="30"/>
  <c r="F56" i="30"/>
  <c r="F55" i="30"/>
  <c r="F54" i="30"/>
  <c r="F53" i="30"/>
  <c r="F52" i="30"/>
  <c r="F51" i="30"/>
  <c r="F50" i="30"/>
  <c r="F49" i="30"/>
  <c r="F48" i="30"/>
  <c r="F47" i="30"/>
  <c r="F46" i="30"/>
  <c r="F45" i="30"/>
  <c r="F44" i="30"/>
  <c r="F43" i="30"/>
  <c r="F42" i="30"/>
  <c r="F41" i="30"/>
  <c r="F40" i="30"/>
  <c r="F39" i="30"/>
  <c r="F38" i="30"/>
  <c r="F37" i="30"/>
  <c r="F36" i="30"/>
  <c r="F35" i="30"/>
  <c r="F34" i="30"/>
  <c r="F33" i="30"/>
  <c r="F31" i="30"/>
  <c r="F30" i="30"/>
  <c r="F29" i="30"/>
  <c r="F28" i="30"/>
  <c r="F27" i="30"/>
  <c r="F26" i="30"/>
  <c r="F25" i="30"/>
  <c r="F24" i="30"/>
  <c r="F23" i="30"/>
  <c r="F22" i="30"/>
  <c r="F21" i="30"/>
  <c r="F20" i="30"/>
  <c r="F19" i="30"/>
  <c r="F18" i="30"/>
  <c r="F17" i="30"/>
  <c r="F16" i="30"/>
  <c r="F15" i="30"/>
  <c r="F14" i="30"/>
  <c r="F13" i="30"/>
  <c r="F12" i="30"/>
  <c r="F11" i="30"/>
  <c r="F10" i="30"/>
  <c r="F9" i="30"/>
  <c r="F8" i="30"/>
  <c r="F7" i="30"/>
  <c r="F5" i="30"/>
  <c r="G6" i="30"/>
  <c r="S103" i="19"/>
  <c r="T3" i="19"/>
  <c r="T103" i="19" s="1"/>
  <c r="AY4" i="30" l="1"/>
  <c r="AZ4" i="30"/>
  <c r="AX5" i="30"/>
  <c r="G211" i="30"/>
  <c r="G210" i="30"/>
  <c r="G209" i="30"/>
  <c r="G208" i="30"/>
  <c r="G207" i="30"/>
  <c r="G206" i="30"/>
  <c r="G205" i="30"/>
  <c r="G204" i="30"/>
  <c r="G203" i="30"/>
  <c r="G202" i="30"/>
  <c r="G201" i="30"/>
  <c r="G200" i="30"/>
  <c r="G199" i="30"/>
  <c r="G198" i="30"/>
  <c r="G197" i="30"/>
  <c r="G196" i="30"/>
  <c r="G195" i="30"/>
  <c r="G194" i="30"/>
  <c r="G193" i="30"/>
  <c r="G192" i="30"/>
  <c r="G191" i="30"/>
  <c r="G190" i="30"/>
  <c r="G189" i="30"/>
  <c r="G188" i="30"/>
  <c r="G187" i="30"/>
  <c r="G186" i="30"/>
  <c r="G185" i="30"/>
  <c r="G184" i="30"/>
  <c r="G183" i="30"/>
  <c r="G182" i="30"/>
  <c r="G181" i="30"/>
  <c r="G180" i="30"/>
  <c r="G179" i="30"/>
  <c r="G178" i="30"/>
  <c r="G177" i="30"/>
  <c r="G176" i="30"/>
  <c r="G175" i="30"/>
  <c r="G174" i="30"/>
  <c r="G173" i="30"/>
  <c r="G172" i="30"/>
  <c r="G171" i="30"/>
  <c r="G170" i="30"/>
  <c r="G169" i="30"/>
  <c r="G168" i="30"/>
  <c r="G167" i="30"/>
  <c r="G166" i="30"/>
  <c r="G165" i="30"/>
  <c r="G164" i="30"/>
  <c r="G163" i="30"/>
  <c r="G162" i="30"/>
  <c r="G161" i="30"/>
  <c r="G160" i="30"/>
  <c r="G159" i="30"/>
  <c r="G158" i="30"/>
  <c r="G157" i="30"/>
  <c r="G156" i="30"/>
  <c r="G155" i="30"/>
  <c r="G154" i="30"/>
  <c r="G153" i="30"/>
  <c r="G152" i="30"/>
  <c r="G151" i="30"/>
  <c r="G150" i="30"/>
  <c r="G149" i="30"/>
  <c r="G148" i="30"/>
  <c r="G147" i="30"/>
  <c r="G146" i="30"/>
  <c r="G145" i="30"/>
  <c r="G144" i="30"/>
  <c r="G143" i="30"/>
  <c r="G142" i="30"/>
  <c r="G141" i="30"/>
  <c r="G140" i="30"/>
  <c r="G139" i="30"/>
  <c r="G138" i="30"/>
  <c r="G137" i="30"/>
  <c r="G136" i="30"/>
  <c r="G135" i="30"/>
  <c r="G134" i="30"/>
  <c r="G133" i="30"/>
  <c r="G132" i="30"/>
  <c r="G131" i="30"/>
  <c r="G130" i="30"/>
  <c r="G129" i="30"/>
  <c r="G128" i="30"/>
  <c r="G127" i="30"/>
  <c r="G126" i="30"/>
  <c r="G125" i="30"/>
  <c r="G124" i="30"/>
  <c r="G67" i="30"/>
  <c r="G66" i="30"/>
  <c r="G123" i="30"/>
  <c r="G122" i="30"/>
  <c r="G121" i="30"/>
  <c r="G120" i="30"/>
  <c r="G119" i="30"/>
  <c r="G118" i="30"/>
  <c r="G117" i="30"/>
  <c r="G116" i="30"/>
  <c r="G115" i="30"/>
  <c r="G114" i="30"/>
  <c r="G113" i="30"/>
  <c r="G112" i="30"/>
  <c r="G111" i="30"/>
  <c r="G110" i="30"/>
  <c r="G109" i="30"/>
  <c r="G108" i="30"/>
  <c r="G107" i="30"/>
  <c r="G106" i="30"/>
  <c r="G105" i="30"/>
  <c r="G104" i="30"/>
  <c r="G103" i="30"/>
  <c r="G102" i="30"/>
  <c r="G101" i="30"/>
  <c r="G100" i="30"/>
  <c r="G99" i="30"/>
  <c r="G98" i="30"/>
  <c r="G97" i="30"/>
  <c r="G96" i="30"/>
  <c r="G95" i="30"/>
  <c r="G94" i="30"/>
  <c r="G71" i="30"/>
  <c r="G70" i="30"/>
  <c r="G69" i="30"/>
  <c r="G63" i="30"/>
  <c r="G93" i="30"/>
  <c r="G92" i="30"/>
  <c r="G91" i="30"/>
  <c r="G90" i="30"/>
  <c r="G89" i="30"/>
  <c r="G88" i="30"/>
  <c r="G87" i="30"/>
  <c r="G86" i="30"/>
  <c r="G85" i="30"/>
  <c r="G84" i="30"/>
  <c r="G83" i="30"/>
  <c r="G82" i="30"/>
  <c r="G81" i="30"/>
  <c r="G80" i="30"/>
  <c r="G79" i="30"/>
  <c r="G78" i="30"/>
  <c r="G77" i="30"/>
  <c r="G76" i="30"/>
  <c r="G75" i="30"/>
  <c r="G74" i="30"/>
  <c r="G73" i="30"/>
  <c r="G72" i="30"/>
  <c r="G68" i="30"/>
  <c r="G65" i="30"/>
  <c r="G64" i="30"/>
  <c r="G62" i="30"/>
  <c r="G61" i="30"/>
  <c r="G60" i="30"/>
  <c r="G59" i="30"/>
  <c r="G58" i="30"/>
  <c r="G57" i="30"/>
  <c r="G56" i="30"/>
  <c r="G55" i="30"/>
  <c r="G54" i="30"/>
  <c r="G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G7" i="30"/>
  <c r="H6" i="30"/>
  <c r="G5" i="30"/>
  <c r="L27" i="6"/>
  <c r="I29" i="6"/>
  <c r="I28" i="6"/>
  <c r="I27" i="6"/>
  <c r="G29" i="6"/>
  <c r="G28" i="6"/>
  <c r="J28" i="6"/>
  <c r="J29" i="6" s="1"/>
  <c r="G30" i="6" l="1"/>
  <c r="I30" i="6"/>
  <c r="J30" i="6" s="1"/>
  <c r="AZ5" i="30"/>
  <c r="AY5" i="30"/>
  <c r="AX6" i="30"/>
  <c r="H211" i="30"/>
  <c r="H210" i="30"/>
  <c r="H209" i="30"/>
  <c r="H208" i="30"/>
  <c r="H207" i="30"/>
  <c r="H206" i="30"/>
  <c r="H205" i="30"/>
  <c r="H204" i="30"/>
  <c r="H203" i="30"/>
  <c r="H202" i="30"/>
  <c r="H201" i="30"/>
  <c r="H200" i="30"/>
  <c r="H199" i="30"/>
  <c r="H198" i="30"/>
  <c r="H197" i="30"/>
  <c r="H196" i="30"/>
  <c r="H195" i="30"/>
  <c r="H194" i="30"/>
  <c r="H193" i="30"/>
  <c r="H192" i="30"/>
  <c r="H191" i="30"/>
  <c r="H190" i="30"/>
  <c r="H189" i="30"/>
  <c r="H188" i="30"/>
  <c r="H187" i="30"/>
  <c r="H186" i="30"/>
  <c r="H185" i="30"/>
  <c r="H184" i="30"/>
  <c r="H183" i="30"/>
  <c r="H182" i="30"/>
  <c r="H181" i="30"/>
  <c r="H180" i="30"/>
  <c r="H179" i="30"/>
  <c r="H178" i="30"/>
  <c r="H177" i="30"/>
  <c r="H176" i="30"/>
  <c r="H175" i="30"/>
  <c r="H174" i="30"/>
  <c r="H173" i="30"/>
  <c r="H172" i="30"/>
  <c r="H171" i="30"/>
  <c r="H170" i="30"/>
  <c r="H169" i="30"/>
  <c r="H168" i="30"/>
  <c r="H167" i="30"/>
  <c r="H166" i="30"/>
  <c r="H165" i="30"/>
  <c r="H164" i="30"/>
  <c r="H163" i="30"/>
  <c r="H162" i="30"/>
  <c r="H161" i="30"/>
  <c r="H160" i="30"/>
  <c r="H159" i="30"/>
  <c r="H158" i="30"/>
  <c r="H157" i="30"/>
  <c r="H156" i="30"/>
  <c r="H155" i="30"/>
  <c r="H154" i="30"/>
  <c r="H63" i="30"/>
  <c r="H153" i="30"/>
  <c r="H152" i="30"/>
  <c r="H151" i="30"/>
  <c r="H150" i="30"/>
  <c r="H149" i="30"/>
  <c r="H148" i="30"/>
  <c r="H147" i="30"/>
  <c r="H146" i="30"/>
  <c r="H145" i="30"/>
  <c r="H144" i="30"/>
  <c r="H143" i="30"/>
  <c r="H142" i="30"/>
  <c r="H141" i="30"/>
  <c r="H140" i="30"/>
  <c r="H139" i="30"/>
  <c r="H138" i="30"/>
  <c r="H137" i="30"/>
  <c r="H136" i="30"/>
  <c r="H135" i="30"/>
  <c r="H134" i="30"/>
  <c r="H133" i="30"/>
  <c r="H132" i="30"/>
  <c r="H131" i="30"/>
  <c r="H130" i="30"/>
  <c r="H129" i="30"/>
  <c r="H128" i="30"/>
  <c r="H127" i="30"/>
  <c r="H126" i="30"/>
  <c r="H125" i="30"/>
  <c r="H124" i="30"/>
  <c r="H67" i="30"/>
  <c r="H64" i="30"/>
  <c r="H123" i="30"/>
  <c r="H122" i="30"/>
  <c r="H121" i="30"/>
  <c r="H120" i="30"/>
  <c r="H119" i="30"/>
  <c r="H118" i="30"/>
  <c r="H117" i="30"/>
  <c r="H116" i="30"/>
  <c r="H115" i="30"/>
  <c r="H114" i="30"/>
  <c r="H113" i="30"/>
  <c r="H112" i="30"/>
  <c r="H111" i="30"/>
  <c r="H110" i="30"/>
  <c r="H109" i="30"/>
  <c r="H108" i="30"/>
  <c r="H107" i="30"/>
  <c r="H106" i="30"/>
  <c r="H105" i="30"/>
  <c r="H104" i="30"/>
  <c r="H103" i="30"/>
  <c r="H102" i="30"/>
  <c r="H101" i="30"/>
  <c r="H100" i="30"/>
  <c r="H99" i="30"/>
  <c r="H98" i="30"/>
  <c r="H97" i="30"/>
  <c r="H96" i="30"/>
  <c r="H95" i="30"/>
  <c r="H94" i="30"/>
  <c r="H71" i="30"/>
  <c r="H70" i="30"/>
  <c r="H69" i="30"/>
  <c r="H66" i="30"/>
  <c r="H65" i="30"/>
  <c r="H93" i="30"/>
  <c r="H92" i="30"/>
  <c r="H91" i="30"/>
  <c r="H90" i="30"/>
  <c r="H89" i="30"/>
  <c r="H88" i="30"/>
  <c r="H87" i="30"/>
  <c r="H86" i="30"/>
  <c r="H85" i="30"/>
  <c r="H84" i="30"/>
  <c r="H83" i="30"/>
  <c r="H82" i="30"/>
  <c r="H81" i="30"/>
  <c r="H80" i="30"/>
  <c r="H79" i="30"/>
  <c r="H78" i="30"/>
  <c r="H77" i="30"/>
  <c r="H76" i="30"/>
  <c r="H75" i="30"/>
  <c r="H74" i="30"/>
  <c r="H73" i="30"/>
  <c r="H72" i="30"/>
  <c r="H68" i="30"/>
  <c r="H62" i="30"/>
  <c r="H61" i="30"/>
  <c r="H60" i="30"/>
  <c r="H59" i="30"/>
  <c r="H58" i="30"/>
  <c r="H57" i="30"/>
  <c r="H56" i="30"/>
  <c r="H55" i="30"/>
  <c r="H54" i="30"/>
  <c r="H53" i="30"/>
  <c r="H52" i="30"/>
  <c r="H51" i="30"/>
  <c r="H50" i="30"/>
  <c r="H49" i="30"/>
  <c r="H48" i="30"/>
  <c r="H47" i="30"/>
  <c r="H46" i="30"/>
  <c r="H45" i="30"/>
  <c r="H44" i="30"/>
  <c r="H43" i="30"/>
  <c r="H42" i="30"/>
  <c r="H41" i="30"/>
  <c r="H40" i="30"/>
  <c r="H39" i="30"/>
  <c r="H38" i="30"/>
  <c r="H37" i="30"/>
  <c r="H36" i="30"/>
  <c r="H35" i="30"/>
  <c r="H34" i="30"/>
  <c r="H33" i="30"/>
  <c r="H32" i="30"/>
  <c r="H31" i="30"/>
  <c r="H30" i="30"/>
  <c r="H29" i="30"/>
  <c r="H28" i="30"/>
  <c r="H27" i="30"/>
  <c r="H26" i="30"/>
  <c r="H25" i="30"/>
  <c r="H24" i="30"/>
  <c r="H23" i="30"/>
  <c r="H22" i="30"/>
  <c r="H21" i="30"/>
  <c r="H20" i="30"/>
  <c r="H19" i="30"/>
  <c r="H18" i="30"/>
  <c r="H17" i="30"/>
  <c r="H16" i="30"/>
  <c r="H15" i="30"/>
  <c r="H14" i="30"/>
  <c r="H13" i="30"/>
  <c r="H12" i="30"/>
  <c r="H11" i="30"/>
  <c r="H10" i="30"/>
  <c r="H9" i="30"/>
  <c r="H8" i="30"/>
  <c r="H7" i="30"/>
  <c r="I6" i="30"/>
  <c r="H5" i="30"/>
  <c r="C30" i="16"/>
  <c r="D9" i="16"/>
  <c r="D8" i="16"/>
  <c r="D7" i="16"/>
  <c r="D6" i="16"/>
  <c r="D5" i="16"/>
  <c r="D4" i="16"/>
  <c r="G13" i="16" s="1" a="1"/>
  <c r="D3" i="16"/>
  <c r="D2" i="16"/>
  <c r="D30" i="16" s="1"/>
  <c r="H18" i="11"/>
  <c r="H17" i="11"/>
  <c r="H16" i="11"/>
  <c r="H15" i="11"/>
  <c r="C10" i="11"/>
  <c r="C7" i="11"/>
  <c r="C8" i="11"/>
  <c r="C9" i="11"/>
  <c r="H12" i="11"/>
  <c r="M12" i="11" a="1"/>
  <c r="E20" i="13"/>
  <c r="E19" i="13"/>
  <c r="E18" i="13"/>
  <c r="E17" i="13"/>
  <c r="E16" i="13"/>
  <c r="E15" i="13"/>
  <c r="E14" i="13"/>
  <c r="E13" i="13"/>
  <c r="E3" i="13"/>
  <c r="E4" i="13"/>
  <c r="E5" i="13"/>
  <c r="H3" i="13" s="1" a="1"/>
  <c r="E6" i="13"/>
  <c r="E7" i="13"/>
  <c r="E8" i="13"/>
  <c r="E9" i="13"/>
  <c r="E10" i="13"/>
  <c r="E11" i="13"/>
  <c r="E12" i="13"/>
  <c r="M14" i="11" a="1"/>
  <c r="M13" i="11" a="1"/>
  <c r="M11" i="11" a="1"/>
  <c r="M10" i="11" a="1"/>
  <c r="K9" i="11"/>
  <c r="C2" i="11"/>
  <c r="H14" i="11"/>
  <c r="H13" i="11"/>
  <c r="H11" i="11"/>
  <c r="H10" i="11"/>
  <c r="C6" i="11"/>
  <c r="C5" i="11"/>
  <c r="C4" i="11"/>
  <c r="C3" i="11"/>
  <c r="E11" i="5"/>
  <c r="O11" i="5"/>
  <c r="M13" i="10"/>
  <c r="L12" i="10"/>
  <c r="K11" i="10"/>
  <c r="J10" i="10"/>
  <c r="I9" i="10"/>
  <c r="H8" i="10"/>
  <c r="G7" i="10"/>
  <c r="O13" i="9" a="1"/>
  <c r="R13" i="9" s="1"/>
  <c r="N12" i="9" a="1"/>
  <c r="R12" i="9" s="1"/>
  <c r="M11" i="9" a="1"/>
  <c r="R11" i="9" s="1"/>
  <c r="L10" i="9" a="1"/>
  <c r="R10" i="9" s="1"/>
  <c r="K9" i="9" a="1"/>
  <c r="R9" i="9" s="1"/>
  <c r="J8" i="9" a="1"/>
  <c r="R8" i="9" s="1"/>
  <c r="I7" i="9" a="1"/>
  <c r="R7" i="9" s="1"/>
  <c r="H6" i="9" a="1"/>
  <c r="R6" i="9" s="1"/>
  <c r="G5" i="9" a="1"/>
  <c r="R5" i="9" s="1"/>
  <c r="F4" i="9" a="1"/>
  <c r="R4" i="9" s="1"/>
  <c r="K6" i="6"/>
  <c r="L6" i="6"/>
  <c r="M6" i="6"/>
  <c r="K7" i="6"/>
  <c r="L7" i="6"/>
  <c r="M7" i="6"/>
  <c r="M9" i="6" s="1"/>
  <c r="M10" i="6" s="1"/>
  <c r="M11" i="6" s="1"/>
  <c r="K8" i="6"/>
  <c r="L8" i="6"/>
  <c r="M8" i="6"/>
  <c r="O13" i="5"/>
  <c r="O12" i="5"/>
  <c r="M18" i="5" s="1"/>
  <c r="K13" i="5"/>
  <c r="K12" i="5"/>
  <c r="K11" i="5"/>
  <c r="F12" i="5"/>
  <c r="G11" i="5"/>
  <c r="F11" i="5"/>
  <c r="F1" i="4"/>
  <c r="F6" i="4"/>
  <c r="F2" i="4"/>
  <c r="F3" i="4"/>
  <c r="F4" i="4"/>
  <c r="F5"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E19" i="3"/>
  <c r="H10" i="3"/>
  <c r="H11" i="3"/>
  <c r="H12" i="3"/>
  <c r="H13" i="3"/>
  <c r="H14" i="3"/>
  <c r="H15" i="3"/>
  <c r="H16" i="3"/>
  <c r="H17" i="3"/>
  <c r="H18" i="3"/>
  <c r="H9" i="3"/>
  <c r="G10" i="3"/>
  <c r="G11" i="3"/>
  <c r="G12" i="3"/>
  <c r="G13" i="3"/>
  <c r="G14" i="3"/>
  <c r="G15" i="3"/>
  <c r="G16" i="3"/>
  <c r="G17" i="3"/>
  <c r="G18" i="3"/>
  <c r="G9" i="3"/>
  <c r="F10" i="3"/>
  <c r="F11" i="3"/>
  <c r="F12" i="3"/>
  <c r="F13" i="3"/>
  <c r="F14" i="3"/>
  <c r="F15" i="3"/>
  <c r="F16" i="3"/>
  <c r="F17" i="3"/>
  <c r="F18" i="3"/>
  <c r="F9" i="3"/>
  <c r="D10" i="3"/>
  <c r="D11" i="3"/>
  <c r="D12" i="3"/>
  <c r="D13" i="3"/>
  <c r="D14" i="3"/>
  <c r="D15" i="3"/>
  <c r="D16" i="3"/>
  <c r="D17" i="3"/>
  <c r="D18" i="3"/>
  <c r="D9" i="3"/>
  <c r="I22" i="9" l="1"/>
  <c r="I21" i="9"/>
  <c r="AZ6" i="30"/>
  <c r="AY6" i="30"/>
  <c r="AX7" i="30"/>
  <c r="I211" i="30"/>
  <c r="I210" i="30"/>
  <c r="I209" i="30"/>
  <c r="I208" i="30"/>
  <c r="I207" i="30"/>
  <c r="I206" i="30"/>
  <c r="I205" i="30"/>
  <c r="I204" i="30"/>
  <c r="I203" i="30"/>
  <c r="I202" i="30"/>
  <c r="I201" i="30"/>
  <c r="I200" i="30"/>
  <c r="I199" i="30"/>
  <c r="I198" i="30"/>
  <c r="I197" i="30"/>
  <c r="I196" i="30"/>
  <c r="I195" i="30"/>
  <c r="I194" i="30"/>
  <c r="I193" i="30"/>
  <c r="I192" i="30"/>
  <c r="I191" i="30"/>
  <c r="I190" i="30"/>
  <c r="I189" i="30"/>
  <c r="I188" i="30"/>
  <c r="I187" i="30"/>
  <c r="I186" i="30"/>
  <c r="I185" i="30"/>
  <c r="I184" i="30"/>
  <c r="I183" i="30"/>
  <c r="I182" i="30"/>
  <c r="I181" i="30"/>
  <c r="I180" i="30"/>
  <c r="I179" i="30"/>
  <c r="I178" i="30"/>
  <c r="I177" i="30"/>
  <c r="I176" i="30"/>
  <c r="I175" i="30"/>
  <c r="I174" i="30"/>
  <c r="I173" i="30"/>
  <c r="I172" i="30"/>
  <c r="I171" i="30"/>
  <c r="I170" i="30"/>
  <c r="I169" i="30"/>
  <c r="I168" i="30"/>
  <c r="I167" i="30"/>
  <c r="I166" i="30"/>
  <c r="I165" i="30"/>
  <c r="I164" i="30"/>
  <c r="I163" i="30"/>
  <c r="I162" i="30"/>
  <c r="I161" i="30"/>
  <c r="I160" i="30"/>
  <c r="I159" i="30"/>
  <c r="I158" i="30"/>
  <c r="I157" i="30"/>
  <c r="I156" i="30"/>
  <c r="I155" i="30"/>
  <c r="I154" i="30"/>
  <c r="I65" i="30"/>
  <c r="I153" i="30"/>
  <c r="I152" i="30"/>
  <c r="I151" i="30"/>
  <c r="I150" i="30"/>
  <c r="I149" i="30"/>
  <c r="I148" i="30"/>
  <c r="I147" i="30"/>
  <c r="I146" i="30"/>
  <c r="I145" i="30"/>
  <c r="I144" i="30"/>
  <c r="I143" i="30"/>
  <c r="I142" i="30"/>
  <c r="I141" i="30"/>
  <c r="I140" i="30"/>
  <c r="I139" i="30"/>
  <c r="I138" i="30"/>
  <c r="I137" i="30"/>
  <c r="I136" i="30"/>
  <c r="I135" i="30"/>
  <c r="I134" i="30"/>
  <c r="I133" i="30"/>
  <c r="I132" i="30"/>
  <c r="I131" i="30"/>
  <c r="I130" i="30"/>
  <c r="I129" i="30"/>
  <c r="I128" i="30"/>
  <c r="I127" i="30"/>
  <c r="I126" i="30"/>
  <c r="I125" i="30"/>
  <c r="I124" i="30"/>
  <c r="I67" i="30"/>
  <c r="I66" i="30"/>
  <c r="I123" i="30"/>
  <c r="I122" i="30"/>
  <c r="I121" i="30"/>
  <c r="I120" i="30"/>
  <c r="I119" i="30"/>
  <c r="I118" i="30"/>
  <c r="I117" i="30"/>
  <c r="I116" i="30"/>
  <c r="I115" i="30"/>
  <c r="I114" i="30"/>
  <c r="I113" i="30"/>
  <c r="I112" i="30"/>
  <c r="I111" i="30"/>
  <c r="I110" i="30"/>
  <c r="I109" i="30"/>
  <c r="I108" i="30"/>
  <c r="I107" i="30"/>
  <c r="I106" i="30"/>
  <c r="I105" i="30"/>
  <c r="I104" i="30"/>
  <c r="I103" i="30"/>
  <c r="I102" i="30"/>
  <c r="I101" i="30"/>
  <c r="I100" i="30"/>
  <c r="I99" i="30"/>
  <c r="I98" i="30"/>
  <c r="I97" i="30"/>
  <c r="I96" i="30"/>
  <c r="I95" i="30"/>
  <c r="I94" i="30"/>
  <c r="I71" i="30"/>
  <c r="I70" i="30"/>
  <c r="I69" i="30"/>
  <c r="I68" i="30"/>
  <c r="I64" i="30"/>
  <c r="I93" i="30"/>
  <c r="I92" i="30"/>
  <c r="I91" i="30"/>
  <c r="I90" i="30"/>
  <c r="I89" i="30"/>
  <c r="I88" i="30"/>
  <c r="I87" i="30"/>
  <c r="I86" i="30"/>
  <c r="I85" i="30"/>
  <c r="I84" i="30"/>
  <c r="I83" i="30"/>
  <c r="I82" i="30"/>
  <c r="I81" i="30"/>
  <c r="I80" i="30"/>
  <c r="I79" i="30"/>
  <c r="I78" i="30"/>
  <c r="I77" i="30"/>
  <c r="I76" i="30"/>
  <c r="I75" i="30"/>
  <c r="I74" i="30"/>
  <c r="I73" i="30"/>
  <c r="I72" i="30"/>
  <c r="I63" i="30"/>
  <c r="I62" i="30"/>
  <c r="I61" i="30"/>
  <c r="I60" i="30"/>
  <c r="I59" i="30"/>
  <c r="I58" i="30"/>
  <c r="I57" i="30"/>
  <c r="I56" i="30"/>
  <c r="I55" i="30"/>
  <c r="I54" i="30"/>
  <c r="I53" i="30"/>
  <c r="I52" i="30"/>
  <c r="I51" i="30"/>
  <c r="I50" i="30"/>
  <c r="I49" i="30"/>
  <c r="I48" i="30"/>
  <c r="I47" i="30"/>
  <c r="I46" i="30"/>
  <c r="I45" i="30"/>
  <c r="I44" i="30"/>
  <c r="I43" i="30"/>
  <c r="I42" i="30"/>
  <c r="I41" i="30"/>
  <c r="I40" i="30"/>
  <c r="I39" i="30"/>
  <c r="I38" i="30"/>
  <c r="I37" i="30"/>
  <c r="I36" i="30"/>
  <c r="I35" i="30"/>
  <c r="I34" i="30"/>
  <c r="I33" i="30"/>
  <c r="I32" i="30"/>
  <c r="I31" i="30"/>
  <c r="I30" i="30"/>
  <c r="I29" i="30"/>
  <c r="I28" i="30"/>
  <c r="I27" i="30"/>
  <c r="I26" i="30"/>
  <c r="I25" i="30"/>
  <c r="I24" i="30"/>
  <c r="I23" i="30"/>
  <c r="I22" i="30"/>
  <c r="I21" i="30"/>
  <c r="I20" i="30"/>
  <c r="I19" i="30"/>
  <c r="I18" i="30"/>
  <c r="I17" i="30"/>
  <c r="I16" i="30"/>
  <c r="I15" i="30"/>
  <c r="I14" i="30"/>
  <c r="I13" i="30"/>
  <c r="I12" i="30"/>
  <c r="I11" i="30"/>
  <c r="I10" i="30"/>
  <c r="I9" i="30"/>
  <c r="I8" i="30"/>
  <c r="I7" i="30"/>
  <c r="G4" i="15" a="1"/>
  <c r="H3" i="15" a="1"/>
  <c r="J6" i="30"/>
  <c r="I5" i="30"/>
  <c r="G31" i="6"/>
  <c r="I31" i="6"/>
  <c r="J31" i="6" s="1"/>
  <c r="F19" i="3"/>
  <c r="H19" i="3"/>
  <c r="D19" i="3"/>
  <c r="G19" i="3"/>
  <c r="L9" i="6"/>
  <c r="L10" i="6" s="1"/>
  <c r="L11" i="6" s="1"/>
  <c r="K9" i="6"/>
  <c r="K10" i="6" s="1"/>
  <c r="K11" i="6" s="1"/>
  <c r="C18" i="5"/>
  <c r="I18" i="5"/>
  <c r="W4" i="1"/>
  <c r="W5" i="1"/>
  <c r="W6" i="1"/>
  <c r="W7" i="1"/>
  <c r="W8" i="1"/>
  <c r="W9" i="1"/>
  <c r="W10" i="1"/>
  <c r="W11" i="1"/>
  <c r="W12" i="1"/>
  <c r="W13" i="1"/>
  <c r="W3" i="1"/>
  <c r="V3" i="1"/>
  <c r="V4" i="1"/>
  <c r="V5" i="1"/>
  <c r="V6" i="1"/>
  <c r="V7" i="1"/>
  <c r="V8" i="1"/>
  <c r="V9" i="1"/>
  <c r="V10" i="1"/>
  <c r="V11" i="1"/>
  <c r="V12" i="1"/>
  <c r="V13" i="1"/>
  <c r="AZ7" i="30" l="1"/>
  <c r="AY7" i="30"/>
  <c r="AX8" i="30"/>
  <c r="J211" i="30"/>
  <c r="J210" i="30"/>
  <c r="J209" i="30"/>
  <c r="J208" i="30"/>
  <c r="J207" i="30"/>
  <c r="J206" i="30"/>
  <c r="J205" i="30"/>
  <c r="J204" i="30"/>
  <c r="J203" i="30"/>
  <c r="J202" i="30"/>
  <c r="J201" i="30"/>
  <c r="J200" i="30"/>
  <c r="J199" i="30"/>
  <c r="J198" i="30"/>
  <c r="J197" i="30"/>
  <c r="J196" i="30"/>
  <c r="J195" i="30"/>
  <c r="J194" i="30"/>
  <c r="J193" i="30"/>
  <c r="J192" i="30"/>
  <c r="J191" i="30"/>
  <c r="J190" i="30"/>
  <c r="J189" i="30"/>
  <c r="J188" i="30"/>
  <c r="J187" i="30"/>
  <c r="J186" i="30"/>
  <c r="J185" i="30"/>
  <c r="J184" i="30"/>
  <c r="J183" i="30"/>
  <c r="J182" i="30"/>
  <c r="J181" i="30"/>
  <c r="J180" i="30"/>
  <c r="J179" i="30"/>
  <c r="J178" i="30"/>
  <c r="J177" i="30"/>
  <c r="J176" i="30"/>
  <c r="J175" i="30"/>
  <c r="J174" i="30"/>
  <c r="J173" i="30"/>
  <c r="J172" i="30"/>
  <c r="J171" i="30"/>
  <c r="J170" i="30"/>
  <c r="J169" i="30"/>
  <c r="J168" i="30"/>
  <c r="J167" i="30"/>
  <c r="J166" i="30"/>
  <c r="J165" i="30"/>
  <c r="J164" i="30"/>
  <c r="J163" i="30"/>
  <c r="J162" i="30"/>
  <c r="J161" i="30"/>
  <c r="J160" i="30"/>
  <c r="J159" i="30"/>
  <c r="J158" i="30"/>
  <c r="J157" i="30"/>
  <c r="J156" i="30"/>
  <c r="J155" i="30"/>
  <c r="J154" i="30"/>
  <c r="J153" i="30"/>
  <c r="J152" i="30"/>
  <c r="J151" i="30"/>
  <c r="J150" i="30"/>
  <c r="J149" i="30"/>
  <c r="J148" i="30"/>
  <c r="J147" i="30"/>
  <c r="J146" i="30"/>
  <c r="J145" i="30"/>
  <c r="J144" i="30"/>
  <c r="J143" i="30"/>
  <c r="J142" i="30"/>
  <c r="J141" i="30"/>
  <c r="J140" i="30"/>
  <c r="J139" i="30"/>
  <c r="J138" i="30"/>
  <c r="J137" i="30"/>
  <c r="J136" i="30"/>
  <c r="J135" i="30"/>
  <c r="J134" i="30"/>
  <c r="J133" i="30"/>
  <c r="J132" i="30"/>
  <c r="J131" i="30"/>
  <c r="J130" i="30"/>
  <c r="J129" i="30"/>
  <c r="J128" i="30"/>
  <c r="J127" i="30"/>
  <c r="J126" i="30"/>
  <c r="J125" i="30"/>
  <c r="J124" i="30"/>
  <c r="J123" i="30"/>
  <c r="J122" i="30"/>
  <c r="J121" i="30"/>
  <c r="J120" i="30"/>
  <c r="J119" i="30"/>
  <c r="J118" i="30"/>
  <c r="J117" i="30"/>
  <c r="J116" i="30"/>
  <c r="J115" i="30"/>
  <c r="J114" i="30"/>
  <c r="J113" i="30"/>
  <c r="J112" i="30"/>
  <c r="J111" i="30"/>
  <c r="J110" i="30"/>
  <c r="J109" i="30"/>
  <c r="J108" i="30"/>
  <c r="J107" i="30"/>
  <c r="J106" i="30"/>
  <c r="J105" i="30"/>
  <c r="J104" i="30"/>
  <c r="J103" i="30"/>
  <c r="J102" i="30"/>
  <c r="J101" i="30"/>
  <c r="J100" i="30"/>
  <c r="J99" i="30"/>
  <c r="J98" i="30"/>
  <c r="J97" i="30"/>
  <c r="J96" i="30"/>
  <c r="J95" i="30"/>
  <c r="J94" i="30"/>
  <c r="J71" i="30"/>
  <c r="J70" i="30"/>
  <c r="J69" i="30"/>
  <c r="J63" i="30"/>
  <c r="J93" i="30"/>
  <c r="J92" i="30"/>
  <c r="J91" i="30"/>
  <c r="J90" i="30"/>
  <c r="J89" i="30"/>
  <c r="J88" i="30"/>
  <c r="J87" i="30"/>
  <c r="J86" i="30"/>
  <c r="J85" i="30"/>
  <c r="J84" i="30"/>
  <c r="J83" i="30"/>
  <c r="J82" i="30"/>
  <c r="J81" i="30"/>
  <c r="J80" i="30"/>
  <c r="J79" i="30"/>
  <c r="J78" i="30"/>
  <c r="J77" i="30"/>
  <c r="J76" i="30"/>
  <c r="J75" i="30"/>
  <c r="J74" i="30"/>
  <c r="J73" i="30"/>
  <c r="J72" i="30"/>
  <c r="J68" i="30"/>
  <c r="J67" i="30"/>
  <c r="J66" i="30"/>
  <c r="J65" i="30"/>
  <c r="J64" i="30"/>
  <c r="J62" i="30"/>
  <c r="J61" i="30"/>
  <c r="J60" i="30"/>
  <c r="J59" i="30"/>
  <c r="J58" i="30"/>
  <c r="J57" i="30"/>
  <c r="J56" i="30"/>
  <c r="J55" i="30"/>
  <c r="J54" i="30"/>
  <c r="J53" i="30"/>
  <c r="J52" i="30"/>
  <c r="J51" i="30"/>
  <c r="J50" i="30"/>
  <c r="J49" i="30"/>
  <c r="J48" i="30"/>
  <c r="J47" i="30"/>
  <c r="J46" i="30"/>
  <c r="J45" i="30"/>
  <c r="J44" i="30"/>
  <c r="J43" i="30"/>
  <c r="J42" i="30"/>
  <c r="J41" i="30"/>
  <c r="J40" i="30"/>
  <c r="J39" i="30"/>
  <c r="J38" i="30"/>
  <c r="J37" i="30"/>
  <c r="J36" i="30"/>
  <c r="J35" i="30"/>
  <c r="J34" i="30"/>
  <c r="J33" i="30"/>
  <c r="J32" i="30"/>
  <c r="J31" i="30"/>
  <c r="J30" i="30"/>
  <c r="J29" i="30"/>
  <c r="J28" i="30"/>
  <c r="J27" i="30"/>
  <c r="J26" i="30"/>
  <c r="J25" i="30"/>
  <c r="J24" i="30"/>
  <c r="J23" i="30"/>
  <c r="J22" i="30"/>
  <c r="J21" i="30"/>
  <c r="J20" i="30"/>
  <c r="J19" i="30"/>
  <c r="J18" i="30"/>
  <c r="J17" i="30"/>
  <c r="J16" i="30"/>
  <c r="J15" i="30"/>
  <c r="J14" i="30"/>
  <c r="J13" i="30"/>
  <c r="J12" i="30"/>
  <c r="J11" i="30"/>
  <c r="J10" i="30"/>
  <c r="J9" i="30"/>
  <c r="J8" i="30"/>
  <c r="J7" i="30"/>
  <c r="J5" i="30"/>
  <c r="K6" i="30"/>
  <c r="G32" i="6"/>
  <c r="I32" i="6"/>
  <c r="J32" i="6" s="1"/>
  <c r="U4" i="1"/>
  <c r="U5" i="1"/>
  <c r="U6" i="1"/>
  <c r="U7" i="1"/>
  <c r="U8" i="1"/>
  <c r="U9" i="1"/>
  <c r="U10" i="1"/>
  <c r="U11" i="1"/>
  <c r="U12" i="1"/>
  <c r="U13" i="1"/>
  <c r="U3" i="1"/>
  <c r="M4" i="1"/>
  <c r="M5" i="1"/>
  <c r="M6" i="1"/>
  <c r="M7" i="1"/>
  <c r="M8" i="1"/>
  <c r="M9" i="1"/>
  <c r="M10" i="1"/>
  <c r="M11" i="1"/>
  <c r="M12" i="1"/>
  <c r="M13" i="1"/>
  <c r="M3" i="1"/>
  <c r="L4" i="1"/>
  <c r="L5" i="1"/>
  <c r="L6" i="1"/>
  <c r="L7" i="1"/>
  <c r="L8" i="1"/>
  <c r="L9" i="1"/>
  <c r="L10" i="1"/>
  <c r="L11" i="1"/>
  <c r="L12" i="1"/>
  <c r="L13" i="1"/>
  <c r="L3" i="1"/>
  <c r="L29" i="1" s="1"/>
  <c r="K4" i="1"/>
  <c r="K5" i="1"/>
  <c r="P5" i="1" s="1"/>
  <c r="K6" i="1"/>
  <c r="P6" i="1" s="1"/>
  <c r="K7" i="1"/>
  <c r="P7" i="1" s="1"/>
  <c r="K8" i="1"/>
  <c r="P8" i="1" s="1"/>
  <c r="K9" i="1"/>
  <c r="P9" i="1" s="1"/>
  <c r="K10" i="1"/>
  <c r="P10" i="1" s="1"/>
  <c r="K11" i="1"/>
  <c r="P11" i="1" s="1"/>
  <c r="K12" i="1"/>
  <c r="P12" i="1" s="1"/>
  <c r="K13" i="1"/>
  <c r="P13" i="1" s="1"/>
  <c r="K3" i="1"/>
  <c r="M29" i="1" l="1"/>
  <c r="P4" i="1"/>
  <c r="Q36" i="1"/>
  <c r="Q35" i="1"/>
  <c r="Q61" i="1" s="1"/>
  <c r="K29" i="1"/>
  <c r="P3" i="1"/>
  <c r="AZ8" i="30"/>
  <c r="AY8" i="30"/>
  <c r="AX9" i="30"/>
  <c r="K211" i="30"/>
  <c r="K210" i="30"/>
  <c r="K209" i="30"/>
  <c r="K208" i="30"/>
  <c r="K207" i="30"/>
  <c r="K206" i="30"/>
  <c r="K205" i="30"/>
  <c r="K204" i="30"/>
  <c r="K203" i="30"/>
  <c r="K202" i="30"/>
  <c r="K201" i="30"/>
  <c r="K200" i="30"/>
  <c r="K199" i="30"/>
  <c r="K198" i="30"/>
  <c r="K197" i="30"/>
  <c r="K196" i="30"/>
  <c r="K195" i="30"/>
  <c r="K194" i="30"/>
  <c r="K193" i="30"/>
  <c r="K192" i="30"/>
  <c r="K191" i="30"/>
  <c r="K190" i="30"/>
  <c r="K189" i="30"/>
  <c r="K188" i="30"/>
  <c r="K187" i="30"/>
  <c r="K186" i="30"/>
  <c r="K185" i="30"/>
  <c r="K184" i="30"/>
  <c r="K183" i="30"/>
  <c r="K182" i="30"/>
  <c r="K181" i="30"/>
  <c r="K180" i="30"/>
  <c r="K179" i="30"/>
  <c r="K178" i="30"/>
  <c r="K177" i="30"/>
  <c r="K176" i="30"/>
  <c r="K175" i="30"/>
  <c r="K174" i="30"/>
  <c r="K173" i="30"/>
  <c r="K172" i="30"/>
  <c r="K171" i="30"/>
  <c r="K170" i="30"/>
  <c r="K169" i="30"/>
  <c r="K168" i="30"/>
  <c r="K167" i="30"/>
  <c r="K166" i="30"/>
  <c r="K165" i="30"/>
  <c r="K164" i="30"/>
  <c r="K163" i="30"/>
  <c r="K162" i="30"/>
  <c r="K161" i="30"/>
  <c r="K160" i="30"/>
  <c r="K159" i="30"/>
  <c r="K158" i="30"/>
  <c r="K157" i="30"/>
  <c r="K156" i="30"/>
  <c r="K155" i="30"/>
  <c r="K154" i="30"/>
  <c r="K65" i="30"/>
  <c r="K64" i="30"/>
  <c r="K153" i="30"/>
  <c r="K152" i="30"/>
  <c r="K151" i="30"/>
  <c r="K150" i="30"/>
  <c r="K149" i="30"/>
  <c r="K148" i="30"/>
  <c r="K147" i="30"/>
  <c r="K146" i="30"/>
  <c r="K145" i="30"/>
  <c r="K144" i="30"/>
  <c r="K143" i="30"/>
  <c r="K142" i="30"/>
  <c r="K141" i="30"/>
  <c r="K140" i="30"/>
  <c r="K139" i="30"/>
  <c r="K138" i="30"/>
  <c r="K137" i="30"/>
  <c r="K136" i="30"/>
  <c r="K135" i="30"/>
  <c r="K134" i="30"/>
  <c r="K133" i="30"/>
  <c r="K132" i="30"/>
  <c r="K131" i="30"/>
  <c r="K130" i="30"/>
  <c r="K129" i="30"/>
  <c r="K128" i="30"/>
  <c r="K127" i="30"/>
  <c r="K126" i="30"/>
  <c r="K125" i="30"/>
  <c r="K124" i="30"/>
  <c r="K66" i="30"/>
  <c r="K63" i="30"/>
  <c r="K123" i="30"/>
  <c r="K122" i="30"/>
  <c r="K121" i="30"/>
  <c r="K120" i="30"/>
  <c r="K119" i="30"/>
  <c r="K118" i="30"/>
  <c r="K117" i="30"/>
  <c r="K116" i="30"/>
  <c r="K115" i="30"/>
  <c r="K114" i="30"/>
  <c r="K113" i="30"/>
  <c r="K112" i="30"/>
  <c r="K111" i="30"/>
  <c r="K110" i="30"/>
  <c r="K109" i="30"/>
  <c r="K108" i="30"/>
  <c r="K107" i="30"/>
  <c r="K106" i="30"/>
  <c r="K105" i="30"/>
  <c r="K104" i="30"/>
  <c r="K103" i="30"/>
  <c r="K102" i="30"/>
  <c r="K101" i="30"/>
  <c r="K100" i="30"/>
  <c r="K99" i="30"/>
  <c r="K98" i="30"/>
  <c r="K97" i="30"/>
  <c r="K96" i="30"/>
  <c r="K95" i="30"/>
  <c r="K94" i="30"/>
  <c r="K70" i="30"/>
  <c r="K69" i="30"/>
  <c r="K68" i="30"/>
  <c r="K67" i="30"/>
  <c r="K93" i="30"/>
  <c r="K92" i="30"/>
  <c r="K91" i="30"/>
  <c r="K90" i="30"/>
  <c r="K89" i="30"/>
  <c r="K88" i="30"/>
  <c r="K87" i="30"/>
  <c r="K86" i="30"/>
  <c r="K85" i="30"/>
  <c r="K84" i="30"/>
  <c r="K83" i="30"/>
  <c r="K82" i="30"/>
  <c r="K81" i="30"/>
  <c r="K80" i="30"/>
  <c r="K79" i="30"/>
  <c r="K78" i="30"/>
  <c r="K77" i="30"/>
  <c r="K76" i="30"/>
  <c r="K75" i="30"/>
  <c r="K74" i="30"/>
  <c r="K73" i="30"/>
  <c r="K72" i="30"/>
  <c r="K71"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L6" i="30"/>
  <c r="K5" i="30"/>
  <c r="I33" i="6"/>
  <c r="J33" i="6" s="1"/>
  <c r="G33" i="6"/>
  <c r="N12" i="1"/>
  <c r="N9" i="1"/>
  <c r="N13" i="1"/>
  <c r="N4" i="1"/>
  <c r="N11" i="1"/>
  <c r="N10" i="1"/>
  <c r="N8" i="1"/>
  <c r="N7" i="1"/>
  <c r="N3" i="1"/>
  <c r="N6" i="1"/>
  <c r="N5" i="1"/>
  <c r="R28" i="1" l="1"/>
  <c r="R25" i="1"/>
  <c r="R20" i="1"/>
  <c r="R18" i="1"/>
  <c r="R16" i="1"/>
  <c r="R14" i="1"/>
  <c r="R10" i="1"/>
  <c r="R8" i="1"/>
  <c r="R4" i="1"/>
  <c r="R26" i="1"/>
  <c r="L39" i="1"/>
  <c r="L37" i="1"/>
  <c r="R23" i="1"/>
  <c r="R12" i="1"/>
  <c r="R6" i="1"/>
  <c r="L36" i="1"/>
  <c r="B40" i="1"/>
  <c r="B39" i="1"/>
  <c r="N29" i="1"/>
  <c r="B38" i="1" s="1"/>
  <c r="R27" i="1"/>
  <c r="L35" i="1"/>
  <c r="R22" i="1"/>
  <c r="R11" i="1"/>
  <c r="R7" i="1"/>
  <c r="L38" i="1"/>
  <c r="R24" i="1"/>
  <c r="R21" i="1"/>
  <c r="R19" i="1"/>
  <c r="R17" i="1"/>
  <c r="R15" i="1"/>
  <c r="R13" i="1"/>
  <c r="R9" i="1"/>
  <c r="R5" i="1"/>
  <c r="R3" i="1"/>
  <c r="Q12" i="1"/>
  <c r="T12" i="1"/>
  <c r="Q9" i="1"/>
  <c r="T9" i="1"/>
  <c r="Q13" i="1"/>
  <c r="T13" i="1"/>
  <c r="T4" i="1"/>
  <c r="Q4" i="1"/>
  <c r="Q11" i="1"/>
  <c r="T11" i="1"/>
  <c r="Q10" i="1"/>
  <c r="T10" i="1"/>
  <c r="Q8" i="1"/>
  <c r="T8" i="1"/>
  <c r="Q7" i="1"/>
  <c r="T7" i="1"/>
  <c r="Q3" i="1"/>
  <c r="T3" i="1"/>
  <c r="T6" i="1"/>
  <c r="Q6" i="1"/>
  <c r="T5" i="1"/>
  <c r="Q5" i="1"/>
  <c r="I34" i="6"/>
  <c r="J34" i="6" s="1"/>
  <c r="G34" i="6"/>
  <c r="AY9" i="30"/>
  <c r="AZ9" i="30"/>
  <c r="AX10"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8" i="30"/>
  <c r="L177" i="30"/>
  <c r="L176" i="30"/>
  <c r="L175" i="30"/>
  <c r="L174" i="30"/>
  <c r="L173" i="30"/>
  <c r="L172" i="30"/>
  <c r="L171" i="30"/>
  <c r="L170" i="30"/>
  <c r="L169" i="30"/>
  <c r="L168" i="30"/>
  <c r="L167" i="30"/>
  <c r="L166" i="30"/>
  <c r="L165" i="30"/>
  <c r="L164" i="30"/>
  <c r="L163" i="30"/>
  <c r="L162" i="30"/>
  <c r="L161" i="30"/>
  <c r="L160" i="30"/>
  <c r="L159" i="30"/>
  <c r="L158" i="30"/>
  <c r="L157" i="30"/>
  <c r="L156" i="30"/>
  <c r="L155" i="30"/>
  <c r="L154" i="30"/>
  <c r="L153" i="30"/>
  <c r="L152" i="30"/>
  <c r="L151" i="30"/>
  <c r="L150" i="30"/>
  <c r="L149" i="30"/>
  <c r="L148" i="30"/>
  <c r="L147" i="30"/>
  <c r="L146" i="30"/>
  <c r="L145" i="30"/>
  <c r="L144" i="30"/>
  <c r="L143" i="30"/>
  <c r="L142" i="30"/>
  <c r="L141" i="30"/>
  <c r="L140" i="30"/>
  <c r="L139" i="30"/>
  <c r="L138" i="30"/>
  <c r="L137" i="30"/>
  <c r="L136" i="30"/>
  <c r="L135" i="30"/>
  <c r="L134" i="30"/>
  <c r="L133" i="30"/>
  <c r="L132" i="30"/>
  <c r="L131" i="30"/>
  <c r="L130" i="30"/>
  <c r="L129" i="30"/>
  <c r="L128" i="30"/>
  <c r="L127" i="30"/>
  <c r="L126" i="30"/>
  <c r="L125" i="30"/>
  <c r="L124" i="30"/>
  <c r="L123" i="30"/>
  <c r="L122" i="30"/>
  <c r="L121" i="30"/>
  <c r="L120" i="30"/>
  <c r="L119" i="30"/>
  <c r="L118" i="30"/>
  <c r="L117" i="30"/>
  <c r="L116" i="30"/>
  <c r="L115" i="30"/>
  <c r="L114" i="30"/>
  <c r="L113" i="30"/>
  <c r="L112" i="30"/>
  <c r="L111" i="30"/>
  <c r="L110" i="30"/>
  <c r="L109" i="30"/>
  <c r="L108" i="30"/>
  <c r="L107" i="30"/>
  <c r="L106" i="30"/>
  <c r="L105" i="30"/>
  <c r="L104" i="30"/>
  <c r="L103" i="30"/>
  <c r="L102" i="30"/>
  <c r="L101" i="30"/>
  <c r="L100" i="30"/>
  <c r="L99" i="30"/>
  <c r="L98" i="30"/>
  <c r="L97" i="30"/>
  <c r="L96" i="30"/>
  <c r="L95" i="30"/>
  <c r="L94" i="30"/>
  <c r="L93" i="30"/>
  <c r="L70" i="30"/>
  <c r="L69" i="30"/>
  <c r="L65" i="30"/>
  <c r="L64" i="30"/>
  <c r="L63" i="30"/>
  <c r="L92" i="30"/>
  <c r="L91" i="30"/>
  <c r="L90" i="30"/>
  <c r="L89" i="30"/>
  <c r="L88" i="30"/>
  <c r="L87" i="30"/>
  <c r="L86" i="30"/>
  <c r="L85" i="30"/>
  <c r="L84" i="30"/>
  <c r="L83" i="30"/>
  <c r="L82" i="30"/>
  <c r="L81" i="30"/>
  <c r="L80" i="30"/>
  <c r="L79" i="30"/>
  <c r="L78" i="30"/>
  <c r="L77" i="30"/>
  <c r="L76" i="30"/>
  <c r="L75" i="30"/>
  <c r="L74" i="30"/>
  <c r="L73" i="30"/>
  <c r="L72" i="30"/>
  <c r="L71" i="30"/>
  <c r="L68" i="30"/>
  <c r="L67" i="30"/>
  <c r="L66"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5" i="30"/>
  <c r="M6" i="30"/>
  <c r="K39" i="1" l="1"/>
  <c r="N39" i="1"/>
  <c r="M39" i="1"/>
  <c r="M37" i="1"/>
  <c r="K37" i="1"/>
  <c r="N37" i="1"/>
  <c r="K36" i="1"/>
  <c r="M36" i="1"/>
  <c r="N36" i="1"/>
  <c r="K35" i="1"/>
  <c r="M35" i="1"/>
  <c r="N35" i="1"/>
  <c r="K38" i="1"/>
  <c r="M38" i="1"/>
  <c r="N38" i="1"/>
  <c r="E38" i="1"/>
  <c r="E37" i="1"/>
  <c r="E36" i="1"/>
  <c r="E35" i="1"/>
  <c r="E34" i="1"/>
  <c r="G35" i="6"/>
  <c r="I35" i="6"/>
  <c r="J35" i="6"/>
  <c r="AY10" i="30"/>
  <c r="AZ10" i="30"/>
  <c r="AX11" i="30"/>
  <c r="M211" i="30"/>
  <c r="M210" i="30"/>
  <c r="M209" i="30"/>
  <c r="M208" i="30"/>
  <c r="M207" i="30"/>
  <c r="M206" i="30"/>
  <c r="M205" i="30"/>
  <c r="M204" i="30"/>
  <c r="M203" i="30"/>
  <c r="M202" i="30"/>
  <c r="M201" i="30"/>
  <c r="M200" i="30"/>
  <c r="M199" i="30"/>
  <c r="M198" i="30"/>
  <c r="M197" i="30"/>
  <c r="M196" i="30"/>
  <c r="M195" i="30"/>
  <c r="M194" i="30"/>
  <c r="M193" i="30"/>
  <c r="M192" i="30"/>
  <c r="M191" i="30"/>
  <c r="M190" i="30"/>
  <c r="M189" i="30"/>
  <c r="M188" i="30"/>
  <c r="M187" i="30"/>
  <c r="M186" i="30"/>
  <c r="M185" i="30"/>
  <c r="M184" i="30"/>
  <c r="M183" i="30"/>
  <c r="M182" i="30"/>
  <c r="M181" i="30"/>
  <c r="M180" i="30"/>
  <c r="M179" i="30"/>
  <c r="M178" i="30"/>
  <c r="M177" i="30"/>
  <c r="M176" i="30"/>
  <c r="M175" i="30"/>
  <c r="M174" i="30"/>
  <c r="M173" i="30"/>
  <c r="M172" i="30"/>
  <c r="M171" i="30"/>
  <c r="M170" i="30"/>
  <c r="M169" i="30"/>
  <c r="M168" i="30"/>
  <c r="M167" i="30"/>
  <c r="M166" i="30"/>
  <c r="M165" i="30"/>
  <c r="M164" i="30"/>
  <c r="M163" i="30"/>
  <c r="M162" i="30"/>
  <c r="M161" i="30"/>
  <c r="M160" i="30"/>
  <c r="M159" i="30"/>
  <c r="M158" i="30"/>
  <c r="M157" i="30"/>
  <c r="M156" i="30"/>
  <c r="M155" i="30"/>
  <c r="M154" i="30"/>
  <c r="M153" i="30"/>
  <c r="M152" i="30"/>
  <c r="M151" i="30"/>
  <c r="M150" i="30"/>
  <c r="M149" i="30"/>
  <c r="M148" i="30"/>
  <c r="M147" i="30"/>
  <c r="M146" i="30"/>
  <c r="M145" i="30"/>
  <c r="M144" i="30"/>
  <c r="M143" i="30"/>
  <c r="M142" i="30"/>
  <c r="M141" i="30"/>
  <c r="M140" i="30"/>
  <c r="M139" i="30"/>
  <c r="M138" i="30"/>
  <c r="M137" i="30"/>
  <c r="M136" i="30"/>
  <c r="M135" i="30"/>
  <c r="M134" i="30"/>
  <c r="M133" i="30"/>
  <c r="M132" i="30"/>
  <c r="M131" i="30"/>
  <c r="M130" i="30"/>
  <c r="M129" i="30"/>
  <c r="M128" i="30"/>
  <c r="M127" i="30"/>
  <c r="M126" i="30"/>
  <c r="M125" i="30"/>
  <c r="M124" i="30"/>
  <c r="M65" i="30"/>
  <c r="M123" i="30"/>
  <c r="M122" i="30"/>
  <c r="M121" i="30"/>
  <c r="M120" i="30"/>
  <c r="M119" i="30"/>
  <c r="M118" i="30"/>
  <c r="M117" i="30"/>
  <c r="M116" i="30"/>
  <c r="M115" i="30"/>
  <c r="M114" i="30"/>
  <c r="M113" i="30"/>
  <c r="M112" i="30"/>
  <c r="M111" i="30"/>
  <c r="M110" i="30"/>
  <c r="M109" i="30"/>
  <c r="M108" i="30"/>
  <c r="M107" i="30"/>
  <c r="M106" i="30"/>
  <c r="M105" i="30"/>
  <c r="M104" i="30"/>
  <c r="M103" i="30"/>
  <c r="M102" i="30"/>
  <c r="M101" i="30"/>
  <c r="M100" i="30"/>
  <c r="M99" i="30"/>
  <c r="M98" i="30"/>
  <c r="M97" i="30"/>
  <c r="M96" i="30"/>
  <c r="M95" i="30"/>
  <c r="M94" i="30"/>
  <c r="M93" i="30"/>
  <c r="M70" i="30"/>
  <c r="M69" i="30"/>
  <c r="M68" i="30"/>
  <c r="M67" i="30"/>
  <c r="M66" i="30"/>
  <c r="M92" i="30"/>
  <c r="M91" i="30"/>
  <c r="M90" i="30"/>
  <c r="M89" i="30"/>
  <c r="M88" i="30"/>
  <c r="M87" i="30"/>
  <c r="M86" i="30"/>
  <c r="M85" i="30"/>
  <c r="M84" i="30"/>
  <c r="M83" i="30"/>
  <c r="M82" i="30"/>
  <c r="M81" i="30"/>
  <c r="M80" i="30"/>
  <c r="M79" i="30"/>
  <c r="M78" i="30"/>
  <c r="M77" i="30"/>
  <c r="M76" i="30"/>
  <c r="M75" i="30"/>
  <c r="M74" i="30"/>
  <c r="M73" i="30"/>
  <c r="M72" i="30"/>
  <c r="M71" i="30"/>
  <c r="M64" i="30"/>
  <c r="M63" i="30"/>
  <c r="M62" i="30"/>
  <c r="M61" i="30"/>
  <c r="M60" i="30"/>
  <c r="M59" i="30"/>
  <c r="M58" i="30"/>
  <c r="M57" i="30"/>
  <c r="M56" i="30"/>
  <c r="M55" i="30"/>
  <c r="M54" i="30"/>
  <c r="M53" i="30"/>
  <c r="M52" i="30"/>
  <c r="M51" i="30"/>
  <c r="M50" i="30"/>
  <c r="M49" i="30"/>
  <c r="M48" i="30"/>
  <c r="M47" i="30"/>
  <c r="M46" i="30"/>
  <c r="M45" i="30"/>
  <c r="M44" i="30"/>
  <c r="M43" i="30"/>
  <c r="M42" i="30"/>
  <c r="M41" i="30"/>
  <c r="M40" i="30"/>
  <c r="M39" i="30"/>
  <c r="M38" i="30"/>
  <c r="M37" i="30"/>
  <c r="M36" i="30"/>
  <c r="M35" i="30"/>
  <c r="M34" i="30"/>
  <c r="M33" i="30"/>
  <c r="M32" i="30"/>
  <c r="M31" i="30"/>
  <c r="M30" i="30"/>
  <c r="M29" i="30"/>
  <c r="M28" i="30"/>
  <c r="M27" i="30"/>
  <c r="M26" i="30"/>
  <c r="M25" i="30"/>
  <c r="M24" i="30"/>
  <c r="M23" i="30"/>
  <c r="M22" i="30"/>
  <c r="M21" i="30"/>
  <c r="M20" i="30"/>
  <c r="M19" i="30"/>
  <c r="M18" i="30"/>
  <c r="M17" i="30"/>
  <c r="M16" i="30"/>
  <c r="M15" i="30"/>
  <c r="M14" i="30"/>
  <c r="M13" i="30"/>
  <c r="M12" i="30"/>
  <c r="M11" i="30"/>
  <c r="M10" i="30"/>
  <c r="M9" i="30"/>
  <c r="M8" i="30"/>
  <c r="M7" i="30"/>
  <c r="N6" i="30"/>
  <c r="M5" i="30"/>
  <c r="G36" i="6" l="1"/>
  <c r="I36" i="6"/>
  <c r="J36" i="6"/>
  <c r="AY11" i="30"/>
  <c r="AZ11" i="30"/>
  <c r="AX12" i="30"/>
  <c r="N211" i="30"/>
  <c r="N210" i="30"/>
  <c r="N209" i="30"/>
  <c r="N208" i="30"/>
  <c r="N207" i="30"/>
  <c r="N206" i="30"/>
  <c r="N205" i="30"/>
  <c r="N204" i="30"/>
  <c r="N203" i="30"/>
  <c r="N202" i="30"/>
  <c r="N201" i="30"/>
  <c r="N200" i="30"/>
  <c r="N199" i="30"/>
  <c r="N198" i="30"/>
  <c r="N197" i="30"/>
  <c r="N196" i="30"/>
  <c r="N195" i="30"/>
  <c r="N194" i="30"/>
  <c r="N193" i="30"/>
  <c r="N192" i="30"/>
  <c r="N191" i="30"/>
  <c r="N190" i="30"/>
  <c r="N189" i="30"/>
  <c r="N188" i="30"/>
  <c r="N187" i="30"/>
  <c r="N186" i="30"/>
  <c r="N185" i="30"/>
  <c r="N184" i="30"/>
  <c r="N183" i="30"/>
  <c r="N182" i="30"/>
  <c r="N181" i="30"/>
  <c r="N180" i="30"/>
  <c r="N179" i="30"/>
  <c r="N178" i="30"/>
  <c r="N177" i="30"/>
  <c r="N176" i="30"/>
  <c r="N175" i="30"/>
  <c r="N174" i="30"/>
  <c r="N173" i="30"/>
  <c r="N172" i="30"/>
  <c r="N171" i="30"/>
  <c r="N170" i="30"/>
  <c r="N169" i="30"/>
  <c r="N168" i="30"/>
  <c r="N167" i="30"/>
  <c r="N166" i="30"/>
  <c r="N165" i="30"/>
  <c r="N164" i="30"/>
  <c r="N163" i="30"/>
  <c r="N162" i="30"/>
  <c r="N161" i="30"/>
  <c r="N160" i="30"/>
  <c r="N159" i="30"/>
  <c r="N158" i="30"/>
  <c r="N157" i="30"/>
  <c r="N156" i="30"/>
  <c r="N155" i="30"/>
  <c r="N154" i="30"/>
  <c r="N64" i="30"/>
  <c r="N63" i="30"/>
  <c r="N153" i="30"/>
  <c r="N152" i="30"/>
  <c r="N151" i="30"/>
  <c r="N150" i="30"/>
  <c r="N149" i="30"/>
  <c r="N148" i="30"/>
  <c r="N147" i="30"/>
  <c r="N146" i="30"/>
  <c r="N145" i="30"/>
  <c r="N144" i="30"/>
  <c r="N143" i="30"/>
  <c r="N142" i="30"/>
  <c r="N141" i="30"/>
  <c r="N140" i="30"/>
  <c r="N139" i="30"/>
  <c r="N138" i="30"/>
  <c r="N137" i="30"/>
  <c r="N136" i="30"/>
  <c r="N135" i="30"/>
  <c r="N134" i="30"/>
  <c r="N133" i="30"/>
  <c r="N132" i="30"/>
  <c r="N131" i="30"/>
  <c r="N130" i="30"/>
  <c r="N129" i="30"/>
  <c r="N128" i="30"/>
  <c r="N127" i="30"/>
  <c r="N126" i="30"/>
  <c r="N125" i="30"/>
  <c r="N124" i="30"/>
  <c r="N67" i="30"/>
  <c r="N66" i="30"/>
  <c r="N123" i="30"/>
  <c r="N122" i="30"/>
  <c r="N121" i="30"/>
  <c r="N120" i="30"/>
  <c r="N119" i="30"/>
  <c r="N118" i="30"/>
  <c r="N117" i="30"/>
  <c r="N116" i="30"/>
  <c r="N115" i="30"/>
  <c r="N114" i="30"/>
  <c r="N113" i="30"/>
  <c r="N112" i="30"/>
  <c r="N111" i="30"/>
  <c r="N110" i="30"/>
  <c r="N109" i="30"/>
  <c r="N108" i="30"/>
  <c r="N107" i="30"/>
  <c r="N106" i="30"/>
  <c r="N105" i="30"/>
  <c r="N104" i="30"/>
  <c r="N103" i="30"/>
  <c r="N102" i="30"/>
  <c r="N101" i="30"/>
  <c r="N100" i="30"/>
  <c r="N99" i="30"/>
  <c r="N98" i="30"/>
  <c r="N97" i="30"/>
  <c r="N96" i="30"/>
  <c r="N95" i="30"/>
  <c r="N94" i="30"/>
  <c r="N93" i="30"/>
  <c r="N70" i="30"/>
  <c r="N69" i="30"/>
  <c r="N68" i="30"/>
  <c r="N92" i="30"/>
  <c r="N91" i="30"/>
  <c r="N90" i="30"/>
  <c r="N89" i="30"/>
  <c r="N88" i="30"/>
  <c r="N87" i="30"/>
  <c r="N86" i="30"/>
  <c r="N85" i="30"/>
  <c r="N84" i="30"/>
  <c r="N83" i="30"/>
  <c r="N82" i="30"/>
  <c r="N81" i="30"/>
  <c r="N80" i="30"/>
  <c r="N79" i="30"/>
  <c r="N78" i="30"/>
  <c r="N77" i="30"/>
  <c r="N76" i="30"/>
  <c r="N75" i="30"/>
  <c r="N74" i="30"/>
  <c r="N73" i="30"/>
  <c r="N72" i="30"/>
  <c r="N71" i="30"/>
  <c r="N65" i="30"/>
  <c r="N62" i="30"/>
  <c r="N61" i="30"/>
  <c r="N60" i="30"/>
  <c r="N59" i="30"/>
  <c r="N58" i="30"/>
  <c r="N57" i="30"/>
  <c r="N56" i="30"/>
  <c r="N55" i="30"/>
  <c r="N54" i="30"/>
  <c r="N53" i="30"/>
  <c r="N52" i="30"/>
  <c r="N51" i="30"/>
  <c r="N50" i="30"/>
  <c r="N49" i="30"/>
  <c r="N48" i="30"/>
  <c r="N47" i="30"/>
  <c r="N46" i="30"/>
  <c r="N45" i="30"/>
  <c r="N44" i="30"/>
  <c r="N43" i="30"/>
  <c r="N42" i="30"/>
  <c r="N41" i="30"/>
  <c r="N40" i="30"/>
  <c r="N39" i="30"/>
  <c r="N38" i="30"/>
  <c r="N37" i="30"/>
  <c r="N36" i="30"/>
  <c r="N35" i="30"/>
  <c r="N34" i="30"/>
  <c r="N33" i="30"/>
  <c r="N32" i="30"/>
  <c r="N31" i="30"/>
  <c r="N30" i="30"/>
  <c r="N29" i="30"/>
  <c r="N28" i="30"/>
  <c r="N27" i="30"/>
  <c r="N26" i="30"/>
  <c r="N25" i="30"/>
  <c r="N24" i="30"/>
  <c r="N23" i="30"/>
  <c r="N22" i="30"/>
  <c r="N21" i="30"/>
  <c r="N20" i="30"/>
  <c r="N19" i="30"/>
  <c r="N18" i="30"/>
  <c r="N17" i="30"/>
  <c r="N16" i="30"/>
  <c r="N15" i="30"/>
  <c r="N14" i="30"/>
  <c r="N13" i="30"/>
  <c r="N12" i="30"/>
  <c r="N11" i="30"/>
  <c r="N10" i="30"/>
  <c r="N9" i="30"/>
  <c r="N8" i="30"/>
  <c r="N7" i="30"/>
  <c r="O6" i="30"/>
  <c r="N5" i="30"/>
  <c r="G37" i="6" l="1"/>
  <c r="I37" i="6"/>
  <c r="J37" i="6" s="1"/>
  <c r="AY12" i="30"/>
  <c r="AZ12" i="30"/>
  <c r="AX13" i="30"/>
  <c r="O211" i="30"/>
  <c r="O210" i="30"/>
  <c r="O209" i="30"/>
  <c r="O208" i="30"/>
  <c r="O207" i="30"/>
  <c r="O206" i="30"/>
  <c r="O205" i="30"/>
  <c r="O204" i="30"/>
  <c r="O203" i="30"/>
  <c r="O202" i="30"/>
  <c r="O201" i="30"/>
  <c r="O200" i="30"/>
  <c r="O199" i="30"/>
  <c r="O198" i="30"/>
  <c r="O197" i="30"/>
  <c r="O196" i="30"/>
  <c r="O195" i="30"/>
  <c r="O194" i="30"/>
  <c r="O193" i="30"/>
  <c r="O192" i="30"/>
  <c r="O191" i="30"/>
  <c r="O190" i="30"/>
  <c r="O189" i="30"/>
  <c r="O188" i="30"/>
  <c r="O187" i="30"/>
  <c r="O186" i="30"/>
  <c r="O185" i="30"/>
  <c r="O184" i="30"/>
  <c r="O183" i="30"/>
  <c r="O182" i="30"/>
  <c r="O181" i="30"/>
  <c r="O180" i="30"/>
  <c r="O179" i="30"/>
  <c r="O178" i="30"/>
  <c r="O177" i="30"/>
  <c r="O176" i="30"/>
  <c r="O175" i="30"/>
  <c r="O174" i="30"/>
  <c r="O173" i="30"/>
  <c r="O172" i="30"/>
  <c r="O171" i="30"/>
  <c r="O170" i="30"/>
  <c r="O169" i="30"/>
  <c r="O168" i="30"/>
  <c r="O167" i="30"/>
  <c r="O166" i="30"/>
  <c r="O165" i="30"/>
  <c r="O164" i="30"/>
  <c r="O163" i="30"/>
  <c r="O162" i="30"/>
  <c r="O161" i="30"/>
  <c r="O160" i="30"/>
  <c r="O159" i="30"/>
  <c r="O158" i="30"/>
  <c r="O157" i="30"/>
  <c r="O156" i="30"/>
  <c r="O155" i="30"/>
  <c r="O154" i="30"/>
  <c r="O153" i="30"/>
  <c r="O152" i="30"/>
  <c r="O151" i="30"/>
  <c r="O150" i="30"/>
  <c r="O149" i="30"/>
  <c r="O148" i="30"/>
  <c r="O147" i="30"/>
  <c r="O146" i="30"/>
  <c r="O145" i="30"/>
  <c r="O144" i="30"/>
  <c r="O143" i="30"/>
  <c r="O142" i="30"/>
  <c r="O141" i="30"/>
  <c r="O140" i="30"/>
  <c r="O139" i="30"/>
  <c r="O138" i="30"/>
  <c r="O137" i="30"/>
  <c r="O136" i="30"/>
  <c r="O135" i="30"/>
  <c r="O134" i="30"/>
  <c r="O133" i="30"/>
  <c r="O132" i="30"/>
  <c r="O131" i="30"/>
  <c r="O130" i="30"/>
  <c r="O129" i="30"/>
  <c r="O128" i="30"/>
  <c r="O127" i="30"/>
  <c r="O126" i="30"/>
  <c r="O125" i="30"/>
  <c r="O124" i="30"/>
  <c r="O65" i="30"/>
  <c r="O63" i="30"/>
  <c r="O123" i="30"/>
  <c r="O122" i="30"/>
  <c r="O121" i="30"/>
  <c r="O120" i="30"/>
  <c r="O119" i="30"/>
  <c r="O118" i="30"/>
  <c r="O117" i="30"/>
  <c r="O116" i="30"/>
  <c r="O115" i="30"/>
  <c r="O114" i="30"/>
  <c r="O113" i="30"/>
  <c r="O112" i="30"/>
  <c r="O111" i="30"/>
  <c r="O110" i="30"/>
  <c r="O109" i="30"/>
  <c r="O108" i="30"/>
  <c r="O107" i="30"/>
  <c r="O106" i="30"/>
  <c r="O105" i="30"/>
  <c r="O104" i="30"/>
  <c r="O103" i="30"/>
  <c r="O102" i="30"/>
  <c r="O101" i="30"/>
  <c r="O100" i="30"/>
  <c r="O99" i="30"/>
  <c r="O98" i="30"/>
  <c r="O97" i="30"/>
  <c r="O96" i="30"/>
  <c r="O95" i="30"/>
  <c r="O94" i="30"/>
  <c r="O93" i="30"/>
  <c r="O70" i="30"/>
  <c r="O69" i="30"/>
  <c r="O68" i="30"/>
  <c r="O66" i="30"/>
  <c r="O64" i="30"/>
  <c r="O92" i="30"/>
  <c r="O91" i="30"/>
  <c r="O90" i="30"/>
  <c r="O89" i="30"/>
  <c r="O88" i="30"/>
  <c r="O87" i="30"/>
  <c r="O86" i="30"/>
  <c r="O85" i="30"/>
  <c r="O84" i="30"/>
  <c r="O83" i="30"/>
  <c r="O82" i="30"/>
  <c r="O81" i="30"/>
  <c r="O80" i="30"/>
  <c r="O79" i="30"/>
  <c r="O78" i="30"/>
  <c r="O77" i="30"/>
  <c r="O76" i="30"/>
  <c r="O75" i="30"/>
  <c r="O74" i="30"/>
  <c r="O73" i="30"/>
  <c r="O72" i="30"/>
  <c r="O71" i="30"/>
  <c r="O67" i="30"/>
  <c r="O62" i="30"/>
  <c r="O61" i="30"/>
  <c r="O60" i="30"/>
  <c r="O59" i="30"/>
  <c r="O58" i="30"/>
  <c r="O57" i="30"/>
  <c r="O56" i="30"/>
  <c r="O55" i="30"/>
  <c r="O54" i="30"/>
  <c r="O53" i="30"/>
  <c r="O52" i="30"/>
  <c r="O51" i="30"/>
  <c r="O50" i="30"/>
  <c r="O49" i="30"/>
  <c r="O48" i="30"/>
  <c r="O47" i="30"/>
  <c r="O46" i="30"/>
  <c r="O45" i="30"/>
  <c r="O44" i="30"/>
  <c r="O43" i="30"/>
  <c r="O42" i="30"/>
  <c r="O41" i="30"/>
  <c r="O40" i="30"/>
  <c r="O39" i="30"/>
  <c r="O38" i="30"/>
  <c r="O37" i="30"/>
  <c r="O36" i="30"/>
  <c r="O35" i="30"/>
  <c r="O34" i="30"/>
  <c r="O33" i="30"/>
  <c r="O32" i="30"/>
  <c r="O31" i="30"/>
  <c r="O30" i="30"/>
  <c r="O29" i="30"/>
  <c r="O28" i="30"/>
  <c r="O27" i="30"/>
  <c r="O26" i="30"/>
  <c r="O25" i="30"/>
  <c r="O24" i="30"/>
  <c r="O23" i="30"/>
  <c r="O22" i="30"/>
  <c r="O21" i="30"/>
  <c r="O20" i="30"/>
  <c r="O19" i="30"/>
  <c r="O18" i="30"/>
  <c r="O17" i="30"/>
  <c r="O16" i="30"/>
  <c r="O15" i="30"/>
  <c r="O14" i="30"/>
  <c r="O13" i="30"/>
  <c r="O12" i="30"/>
  <c r="O11" i="30"/>
  <c r="O10" i="30"/>
  <c r="O9" i="30"/>
  <c r="O8" i="30"/>
  <c r="O7" i="30"/>
  <c r="P6" i="30"/>
  <c r="O5" i="30"/>
  <c r="G38" i="6" l="1"/>
  <c r="I38" i="6"/>
  <c r="J38" i="6" s="1"/>
  <c r="AZ13" i="30"/>
  <c r="AY13" i="30"/>
  <c r="AX14" i="30"/>
  <c r="P211" i="30"/>
  <c r="P210" i="30"/>
  <c r="P209" i="30"/>
  <c r="P208" i="30"/>
  <c r="P207" i="30"/>
  <c r="P206" i="30"/>
  <c r="P205" i="30"/>
  <c r="P204" i="30"/>
  <c r="P203" i="30"/>
  <c r="P202" i="30"/>
  <c r="P201" i="30"/>
  <c r="P200" i="30"/>
  <c r="P199" i="30"/>
  <c r="P198" i="30"/>
  <c r="P197" i="30"/>
  <c r="P196" i="30"/>
  <c r="P195" i="30"/>
  <c r="P194" i="30"/>
  <c r="P193" i="30"/>
  <c r="P192" i="30"/>
  <c r="P191" i="30"/>
  <c r="P190" i="30"/>
  <c r="P189" i="30"/>
  <c r="P188" i="30"/>
  <c r="P187" i="30"/>
  <c r="P186" i="30"/>
  <c r="P185" i="30"/>
  <c r="P184" i="30"/>
  <c r="P183" i="30"/>
  <c r="P182" i="30"/>
  <c r="P181" i="30"/>
  <c r="P180" i="30"/>
  <c r="P179" i="30"/>
  <c r="P178" i="30"/>
  <c r="P177" i="30"/>
  <c r="P176" i="30"/>
  <c r="P175" i="30"/>
  <c r="P174" i="30"/>
  <c r="P173" i="30"/>
  <c r="P172" i="30"/>
  <c r="P171" i="30"/>
  <c r="P170" i="30"/>
  <c r="P169" i="30"/>
  <c r="P168" i="30"/>
  <c r="P167" i="30"/>
  <c r="P166" i="30"/>
  <c r="P165" i="30"/>
  <c r="P164" i="30"/>
  <c r="P163" i="30"/>
  <c r="P162" i="30"/>
  <c r="P161" i="30"/>
  <c r="P160" i="30"/>
  <c r="P159" i="30"/>
  <c r="P158" i="30"/>
  <c r="P157" i="30"/>
  <c r="P156" i="30"/>
  <c r="P155" i="30"/>
  <c r="P154" i="30"/>
  <c r="P153" i="30"/>
  <c r="P63" i="30"/>
  <c r="P152" i="30"/>
  <c r="P151" i="30"/>
  <c r="P150" i="30"/>
  <c r="P149" i="30"/>
  <c r="P148" i="30"/>
  <c r="P147" i="30"/>
  <c r="P146" i="30"/>
  <c r="P145" i="30"/>
  <c r="P144" i="30"/>
  <c r="P143" i="30"/>
  <c r="P142" i="30"/>
  <c r="P141" i="30"/>
  <c r="P140" i="30"/>
  <c r="P139" i="30"/>
  <c r="P138" i="30"/>
  <c r="P137" i="30"/>
  <c r="P136" i="30"/>
  <c r="P135" i="30"/>
  <c r="P134" i="30"/>
  <c r="P133" i="30"/>
  <c r="P132" i="30"/>
  <c r="P131" i="30"/>
  <c r="P130" i="30"/>
  <c r="P129" i="30"/>
  <c r="P128" i="30"/>
  <c r="P127" i="30"/>
  <c r="P126" i="30"/>
  <c r="P125" i="30"/>
  <c r="P124" i="30"/>
  <c r="P66" i="30"/>
  <c r="P64" i="30"/>
  <c r="P123" i="30"/>
  <c r="P122" i="30"/>
  <c r="P121" i="30"/>
  <c r="P120" i="30"/>
  <c r="P119" i="30"/>
  <c r="P118" i="30"/>
  <c r="P117" i="30"/>
  <c r="P116" i="30"/>
  <c r="P115" i="30"/>
  <c r="P114" i="30"/>
  <c r="P113" i="30"/>
  <c r="P112" i="30"/>
  <c r="P111" i="30"/>
  <c r="P110" i="30"/>
  <c r="P109" i="30"/>
  <c r="P108" i="30"/>
  <c r="P107" i="30"/>
  <c r="P106" i="30"/>
  <c r="P105" i="30"/>
  <c r="P104" i="30"/>
  <c r="P103" i="30"/>
  <c r="P102" i="30"/>
  <c r="P101" i="30"/>
  <c r="P100" i="30"/>
  <c r="P99" i="30"/>
  <c r="P98" i="30"/>
  <c r="P97" i="30"/>
  <c r="P96" i="30"/>
  <c r="P95" i="30"/>
  <c r="P94" i="30"/>
  <c r="P93" i="30"/>
  <c r="P70" i="30"/>
  <c r="P69" i="30"/>
  <c r="P67" i="30"/>
  <c r="P65" i="30"/>
  <c r="P92" i="30"/>
  <c r="P91" i="30"/>
  <c r="P90" i="30"/>
  <c r="P89" i="30"/>
  <c r="P88" i="30"/>
  <c r="P87" i="30"/>
  <c r="P86" i="30"/>
  <c r="P85" i="30"/>
  <c r="P84" i="30"/>
  <c r="P83" i="30"/>
  <c r="P82" i="30"/>
  <c r="P81" i="30"/>
  <c r="P80" i="30"/>
  <c r="P79" i="30"/>
  <c r="P78" i="30"/>
  <c r="P77" i="30"/>
  <c r="P76" i="30"/>
  <c r="P75" i="30"/>
  <c r="P74" i="30"/>
  <c r="P73" i="30"/>
  <c r="P72" i="30"/>
  <c r="P71" i="30"/>
  <c r="P68" i="30"/>
  <c r="P62" i="30"/>
  <c r="P61" i="30"/>
  <c r="P60" i="30"/>
  <c r="P59" i="30"/>
  <c r="P58" i="30"/>
  <c r="P57" i="30"/>
  <c r="P56" i="30"/>
  <c r="P55" i="30"/>
  <c r="P54" i="30"/>
  <c r="P53" i="30"/>
  <c r="P52" i="30"/>
  <c r="P51" i="30"/>
  <c r="P50" i="30"/>
  <c r="P49" i="30"/>
  <c r="P48" i="30"/>
  <c r="P47" i="30"/>
  <c r="P46" i="30"/>
  <c r="P45" i="30"/>
  <c r="P44" i="30"/>
  <c r="P43" i="30"/>
  <c r="P42" i="30"/>
  <c r="P41" i="30"/>
  <c r="P40" i="30"/>
  <c r="P39" i="30"/>
  <c r="P38" i="30"/>
  <c r="P37" i="30"/>
  <c r="P36" i="30"/>
  <c r="P35" i="30"/>
  <c r="P34" i="30"/>
  <c r="P33" i="30"/>
  <c r="P32" i="30"/>
  <c r="P31" i="30"/>
  <c r="P30" i="30"/>
  <c r="P29" i="30"/>
  <c r="P28" i="30"/>
  <c r="P27" i="30"/>
  <c r="P26" i="30"/>
  <c r="P25" i="30"/>
  <c r="P24" i="30"/>
  <c r="P23" i="30"/>
  <c r="P22" i="30"/>
  <c r="P21" i="30"/>
  <c r="P20" i="30"/>
  <c r="P19" i="30"/>
  <c r="P18" i="30"/>
  <c r="P17" i="30"/>
  <c r="P16" i="30"/>
  <c r="P15" i="30"/>
  <c r="P14" i="30"/>
  <c r="P13" i="30"/>
  <c r="P12" i="30"/>
  <c r="P11" i="30"/>
  <c r="P10" i="30"/>
  <c r="P9" i="30"/>
  <c r="P8" i="30"/>
  <c r="P7" i="30"/>
  <c r="Q6" i="30"/>
  <c r="P5" i="30"/>
  <c r="G39" i="6" l="1"/>
  <c r="I39" i="6"/>
  <c r="J39" i="6"/>
  <c r="AY14" i="30"/>
  <c r="AZ14" i="30"/>
  <c r="AX15" i="30"/>
  <c r="Q211" i="30"/>
  <c r="Q210" i="30"/>
  <c r="Q209" i="30"/>
  <c r="Q208" i="30"/>
  <c r="Q207" i="30"/>
  <c r="Q206" i="30"/>
  <c r="Q205" i="30"/>
  <c r="Q204" i="30"/>
  <c r="Q203" i="30"/>
  <c r="Q202" i="30"/>
  <c r="Q201" i="30"/>
  <c r="Q200" i="30"/>
  <c r="Q199" i="30"/>
  <c r="Q198" i="30"/>
  <c r="Q197" i="30"/>
  <c r="Q196" i="30"/>
  <c r="Q195" i="30"/>
  <c r="Q194" i="30"/>
  <c r="Q193" i="30"/>
  <c r="Q192" i="30"/>
  <c r="Q191" i="30"/>
  <c r="Q190" i="30"/>
  <c r="Q189" i="30"/>
  <c r="Q188" i="30"/>
  <c r="Q187" i="30"/>
  <c r="Q186" i="30"/>
  <c r="Q185" i="30"/>
  <c r="Q184" i="30"/>
  <c r="Q183" i="30"/>
  <c r="Q182" i="30"/>
  <c r="Q181" i="30"/>
  <c r="Q180" i="30"/>
  <c r="Q179" i="30"/>
  <c r="Q178" i="30"/>
  <c r="Q177" i="30"/>
  <c r="Q176" i="30"/>
  <c r="Q175" i="30"/>
  <c r="Q174" i="30"/>
  <c r="Q173" i="30"/>
  <c r="Q172" i="30"/>
  <c r="Q171" i="30"/>
  <c r="Q170" i="30"/>
  <c r="Q169" i="30"/>
  <c r="Q168" i="30"/>
  <c r="Q167" i="30"/>
  <c r="Q166" i="30"/>
  <c r="Q165" i="30"/>
  <c r="Q164" i="30"/>
  <c r="Q163" i="30"/>
  <c r="Q162" i="30"/>
  <c r="Q161" i="30"/>
  <c r="Q160" i="30"/>
  <c r="Q159" i="30"/>
  <c r="Q158" i="30"/>
  <c r="Q157" i="30"/>
  <c r="Q156" i="30"/>
  <c r="Q155" i="30"/>
  <c r="Q154" i="30"/>
  <c r="Q153" i="30"/>
  <c r="Q65" i="30"/>
  <c r="Q152" i="30"/>
  <c r="Q151" i="30"/>
  <c r="Q150" i="30"/>
  <c r="Q149" i="30"/>
  <c r="Q148" i="30"/>
  <c r="Q147" i="30"/>
  <c r="Q146" i="30"/>
  <c r="Q145" i="30"/>
  <c r="Q144" i="30"/>
  <c r="Q143" i="30"/>
  <c r="Q142" i="30"/>
  <c r="Q141" i="30"/>
  <c r="Q140" i="30"/>
  <c r="Q139" i="30"/>
  <c r="Q138" i="30"/>
  <c r="Q137" i="30"/>
  <c r="Q136" i="30"/>
  <c r="Q135" i="30"/>
  <c r="Q134" i="30"/>
  <c r="Q133" i="30"/>
  <c r="Q132" i="30"/>
  <c r="Q131" i="30"/>
  <c r="Q130" i="30"/>
  <c r="Q129" i="30"/>
  <c r="Q128" i="30"/>
  <c r="Q127" i="30"/>
  <c r="Q126" i="30"/>
  <c r="Q125" i="30"/>
  <c r="Q124" i="30"/>
  <c r="Q63" i="30"/>
  <c r="Q123" i="30"/>
  <c r="Q122" i="30"/>
  <c r="Q121" i="30"/>
  <c r="Q120" i="30"/>
  <c r="Q119" i="30"/>
  <c r="Q118" i="30"/>
  <c r="Q117" i="30"/>
  <c r="Q116" i="30"/>
  <c r="Q115" i="30"/>
  <c r="Q114" i="30"/>
  <c r="Q113" i="30"/>
  <c r="Q112" i="30"/>
  <c r="Q111" i="30"/>
  <c r="Q110" i="30"/>
  <c r="Q109" i="30"/>
  <c r="Q108" i="30"/>
  <c r="Q107" i="30"/>
  <c r="Q106" i="30"/>
  <c r="Q105" i="30"/>
  <c r="Q104" i="30"/>
  <c r="Q103" i="30"/>
  <c r="Q102" i="30"/>
  <c r="Q101" i="30"/>
  <c r="Q100" i="30"/>
  <c r="Q99" i="30"/>
  <c r="Q98" i="30"/>
  <c r="Q97" i="30"/>
  <c r="Q96" i="30"/>
  <c r="Q95" i="30"/>
  <c r="Q94" i="30"/>
  <c r="Q93" i="30"/>
  <c r="Q70" i="30"/>
  <c r="Q69" i="30"/>
  <c r="Q68" i="30"/>
  <c r="Q67" i="30"/>
  <c r="Q66" i="30"/>
  <c r="Q92" i="30"/>
  <c r="Q91" i="30"/>
  <c r="Q90" i="30"/>
  <c r="Q89" i="30"/>
  <c r="Q88" i="30"/>
  <c r="Q87" i="30"/>
  <c r="Q86" i="30"/>
  <c r="Q85" i="30"/>
  <c r="Q84" i="30"/>
  <c r="Q83" i="30"/>
  <c r="Q82" i="30"/>
  <c r="Q81" i="30"/>
  <c r="Q80" i="30"/>
  <c r="Q79" i="30"/>
  <c r="Q78" i="30"/>
  <c r="Q77" i="30"/>
  <c r="Q76" i="30"/>
  <c r="Q75" i="30"/>
  <c r="Q74" i="30"/>
  <c r="Q73" i="30"/>
  <c r="Q72" i="30"/>
  <c r="Q71" i="30"/>
  <c r="Q64" i="30"/>
  <c r="Q62" i="30"/>
  <c r="Q61" i="30"/>
  <c r="Q60" i="30"/>
  <c r="Q59" i="30"/>
  <c r="Q58" i="30"/>
  <c r="Q57" i="30"/>
  <c r="Q56" i="30"/>
  <c r="Q55" i="30"/>
  <c r="Q54" i="30"/>
  <c r="Q53" i="30"/>
  <c r="Q52" i="30"/>
  <c r="Q51" i="30"/>
  <c r="Q50" i="30"/>
  <c r="Q49" i="30"/>
  <c r="Q48" i="30"/>
  <c r="Q47" i="30"/>
  <c r="Q46" i="30"/>
  <c r="Q45" i="30"/>
  <c r="Q44" i="30"/>
  <c r="Q43" i="30"/>
  <c r="Q42" i="30"/>
  <c r="Q41" i="30"/>
  <c r="Q40" i="30"/>
  <c r="Q39" i="30"/>
  <c r="Q38" i="30"/>
  <c r="Q37" i="30"/>
  <c r="Q36" i="30"/>
  <c r="Q35" i="30"/>
  <c r="Q34" i="30"/>
  <c r="Q33" i="30"/>
  <c r="Q32" i="30"/>
  <c r="Q31" i="30"/>
  <c r="Q30" i="30"/>
  <c r="Q29" i="30"/>
  <c r="Q28" i="30"/>
  <c r="Q27" i="30"/>
  <c r="Q26" i="30"/>
  <c r="Q25" i="30"/>
  <c r="Q24" i="30"/>
  <c r="Q23" i="30"/>
  <c r="Q22" i="30"/>
  <c r="Q21" i="30"/>
  <c r="Q20" i="30"/>
  <c r="Q19" i="30"/>
  <c r="Q18" i="30"/>
  <c r="Q17" i="30"/>
  <c r="Q16" i="30"/>
  <c r="Q15" i="30"/>
  <c r="Q14" i="30"/>
  <c r="Q13" i="30"/>
  <c r="Q12" i="30"/>
  <c r="Q11" i="30"/>
  <c r="Q10" i="30"/>
  <c r="Q9" i="30"/>
  <c r="Q8" i="30"/>
  <c r="Q7" i="30"/>
  <c r="R6" i="30"/>
  <c r="Q5" i="30"/>
  <c r="G40" i="6" l="1"/>
  <c r="I40" i="6"/>
  <c r="J40" i="6"/>
  <c r="AY15" i="30"/>
  <c r="AZ15" i="30"/>
  <c r="AX16" i="30"/>
  <c r="R211" i="30"/>
  <c r="R210" i="30"/>
  <c r="R209" i="30"/>
  <c r="R208" i="30"/>
  <c r="R207" i="30"/>
  <c r="R206" i="30"/>
  <c r="R205" i="30"/>
  <c r="R204" i="30"/>
  <c r="R203" i="30"/>
  <c r="R202" i="30"/>
  <c r="R201" i="30"/>
  <c r="R200" i="30"/>
  <c r="R199" i="30"/>
  <c r="R198" i="30"/>
  <c r="R197" i="30"/>
  <c r="R196" i="30"/>
  <c r="R195" i="30"/>
  <c r="R194" i="30"/>
  <c r="R193" i="30"/>
  <c r="R192" i="30"/>
  <c r="R191" i="30"/>
  <c r="R190" i="30"/>
  <c r="R189" i="30"/>
  <c r="R188" i="30"/>
  <c r="R187" i="30"/>
  <c r="R186" i="30"/>
  <c r="R185" i="30"/>
  <c r="R184" i="30"/>
  <c r="R183" i="30"/>
  <c r="R182" i="30"/>
  <c r="R181" i="30"/>
  <c r="R180" i="30"/>
  <c r="R179" i="30"/>
  <c r="R178" i="30"/>
  <c r="R177" i="30"/>
  <c r="R176" i="30"/>
  <c r="R175" i="30"/>
  <c r="R174" i="30"/>
  <c r="R173" i="30"/>
  <c r="R172" i="30"/>
  <c r="R171" i="30"/>
  <c r="R170" i="30"/>
  <c r="R169" i="30"/>
  <c r="R168" i="30"/>
  <c r="R167" i="30"/>
  <c r="R166" i="30"/>
  <c r="R165" i="30"/>
  <c r="R164" i="30"/>
  <c r="R163" i="30"/>
  <c r="R162" i="30"/>
  <c r="R161" i="30"/>
  <c r="R160" i="30"/>
  <c r="R159" i="30"/>
  <c r="R158" i="30"/>
  <c r="R157" i="30"/>
  <c r="R156" i="30"/>
  <c r="R155" i="30"/>
  <c r="R154" i="30"/>
  <c r="R153" i="30"/>
  <c r="R152" i="30"/>
  <c r="R151" i="30"/>
  <c r="R150" i="30"/>
  <c r="R149" i="30"/>
  <c r="R148" i="30"/>
  <c r="R147" i="30"/>
  <c r="R146" i="30"/>
  <c r="R145" i="30"/>
  <c r="R144" i="30"/>
  <c r="R143" i="30"/>
  <c r="R142" i="30"/>
  <c r="R141" i="30"/>
  <c r="R140" i="30"/>
  <c r="R139" i="30"/>
  <c r="R138" i="30"/>
  <c r="R137" i="30"/>
  <c r="R136" i="30"/>
  <c r="R135" i="30"/>
  <c r="R134" i="30"/>
  <c r="R133" i="30"/>
  <c r="R132" i="30"/>
  <c r="R131" i="30"/>
  <c r="R130" i="30"/>
  <c r="R129" i="30"/>
  <c r="R128" i="30"/>
  <c r="R127" i="30"/>
  <c r="R126" i="30"/>
  <c r="R125" i="30"/>
  <c r="R124" i="30"/>
  <c r="R66" i="30"/>
  <c r="R123" i="30"/>
  <c r="R122" i="30"/>
  <c r="R121" i="30"/>
  <c r="R120" i="30"/>
  <c r="R119" i="30"/>
  <c r="R118" i="30"/>
  <c r="R117" i="30"/>
  <c r="R116" i="30"/>
  <c r="R115" i="30"/>
  <c r="R114" i="30"/>
  <c r="R113" i="30"/>
  <c r="R112" i="30"/>
  <c r="R111" i="30"/>
  <c r="R110" i="30"/>
  <c r="R109" i="30"/>
  <c r="R108" i="30"/>
  <c r="R107" i="30"/>
  <c r="R106" i="30"/>
  <c r="R105" i="30"/>
  <c r="R104" i="30"/>
  <c r="R103" i="30"/>
  <c r="R102" i="30"/>
  <c r="R101" i="30"/>
  <c r="R100" i="30"/>
  <c r="R99" i="30"/>
  <c r="R98" i="30"/>
  <c r="R97" i="30"/>
  <c r="R96" i="30"/>
  <c r="R95" i="30"/>
  <c r="R94" i="30"/>
  <c r="R93" i="30"/>
  <c r="R70" i="30"/>
  <c r="R69" i="30"/>
  <c r="R68" i="30"/>
  <c r="R64" i="30"/>
  <c r="R63" i="30"/>
  <c r="R92" i="30"/>
  <c r="R91" i="30"/>
  <c r="R90" i="30"/>
  <c r="R89" i="30"/>
  <c r="R88" i="30"/>
  <c r="R87" i="30"/>
  <c r="R86" i="30"/>
  <c r="R85" i="30"/>
  <c r="R84" i="30"/>
  <c r="R83" i="30"/>
  <c r="R82" i="30"/>
  <c r="R81" i="30"/>
  <c r="R80" i="30"/>
  <c r="R79" i="30"/>
  <c r="R78" i="30"/>
  <c r="R77" i="30"/>
  <c r="R76" i="30"/>
  <c r="R75" i="30"/>
  <c r="R74" i="30"/>
  <c r="R73" i="30"/>
  <c r="R72" i="30"/>
  <c r="R71" i="30"/>
  <c r="R67" i="30"/>
  <c r="R65" i="30"/>
  <c r="R62" i="30"/>
  <c r="R61" i="30"/>
  <c r="R60" i="30"/>
  <c r="R59" i="30"/>
  <c r="R58" i="30"/>
  <c r="R57" i="30"/>
  <c r="R56" i="30"/>
  <c r="R55" i="30"/>
  <c r="R54" i="30"/>
  <c r="R53" i="30"/>
  <c r="R52" i="30"/>
  <c r="R51" i="30"/>
  <c r="R50" i="30"/>
  <c r="R49" i="30"/>
  <c r="R48" i="30"/>
  <c r="R47" i="30"/>
  <c r="R46" i="30"/>
  <c r="R45" i="30"/>
  <c r="R44" i="30"/>
  <c r="R43" i="30"/>
  <c r="R42" i="30"/>
  <c r="R41" i="30"/>
  <c r="R40" i="30"/>
  <c r="R39" i="30"/>
  <c r="R38" i="30"/>
  <c r="R37" i="30"/>
  <c r="R36" i="30"/>
  <c r="R35" i="30"/>
  <c r="R34" i="30"/>
  <c r="R33" i="30"/>
  <c r="R32" i="30"/>
  <c r="R31" i="30"/>
  <c r="R30" i="30"/>
  <c r="R29" i="30"/>
  <c r="R28" i="30"/>
  <c r="R27" i="30"/>
  <c r="R26" i="30"/>
  <c r="R25" i="30"/>
  <c r="R24" i="30"/>
  <c r="R23" i="30"/>
  <c r="R22" i="30"/>
  <c r="R21" i="30"/>
  <c r="R20" i="30"/>
  <c r="R19" i="30"/>
  <c r="R18" i="30"/>
  <c r="R17" i="30"/>
  <c r="R16" i="30"/>
  <c r="R15" i="30"/>
  <c r="R14" i="30"/>
  <c r="R13" i="30"/>
  <c r="R12" i="30"/>
  <c r="R11" i="30"/>
  <c r="R10" i="30"/>
  <c r="R9" i="30"/>
  <c r="R8" i="30"/>
  <c r="R7" i="30"/>
  <c r="S6" i="30"/>
  <c r="R5" i="30"/>
  <c r="G41" i="6" l="1"/>
  <c r="I41" i="6"/>
  <c r="J41" i="6"/>
  <c r="AZ16" i="30"/>
  <c r="AY16" i="30"/>
  <c r="AX17" i="30"/>
  <c r="S211" i="30"/>
  <c r="S210" i="30"/>
  <c r="S209" i="30"/>
  <c r="S208" i="30"/>
  <c r="S207" i="30"/>
  <c r="S206" i="30"/>
  <c r="S205" i="30"/>
  <c r="S204" i="30"/>
  <c r="S203" i="30"/>
  <c r="S202" i="30"/>
  <c r="S201" i="30"/>
  <c r="S200" i="30"/>
  <c r="S199" i="30"/>
  <c r="S198" i="30"/>
  <c r="S197" i="30"/>
  <c r="S196" i="30"/>
  <c r="S195" i="30"/>
  <c r="S194" i="30"/>
  <c r="S193" i="30"/>
  <c r="S192" i="30"/>
  <c r="S191" i="30"/>
  <c r="S190" i="30"/>
  <c r="S189" i="30"/>
  <c r="S188" i="30"/>
  <c r="S187" i="30"/>
  <c r="S186" i="30"/>
  <c r="S185" i="30"/>
  <c r="S184" i="30"/>
  <c r="S183" i="30"/>
  <c r="S182" i="30"/>
  <c r="S181" i="30"/>
  <c r="S180" i="30"/>
  <c r="S179" i="30"/>
  <c r="S178" i="30"/>
  <c r="S177" i="30"/>
  <c r="S176" i="30"/>
  <c r="S175" i="30"/>
  <c r="S174" i="30"/>
  <c r="S173" i="30"/>
  <c r="S172" i="30"/>
  <c r="S171" i="30"/>
  <c r="S170" i="30"/>
  <c r="S169" i="30"/>
  <c r="S168" i="30"/>
  <c r="S167" i="30"/>
  <c r="S166" i="30"/>
  <c r="S165" i="30"/>
  <c r="S164" i="30"/>
  <c r="S163" i="30"/>
  <c r="S162" i="30"/>
  <c r="S161" i="30"/>
  <c r="S160" i="30"/>
  <c r="S159" i="30"/>
  <c r="S158" i="30"/>
  <c r="S157" i="30"/>
  <c r="S156" i="30"/>
  <c r="S155" i="30"/>
  <c r="S154" i="30"/>
  <c r="S153" i="30"/>
  <c r="S64" i="30"/>
  <c r="S152" i="30"/>
  <c r="S151" i="30"/>
  <c r="S150" i="30"/>
  <c r="S149" i="30"/>
  <c r="S148" i="30"/>
  <c r="S147" i="30"/>
  <c r="S146" i="30"/>
  <c r="S145" i="30"/>
  <c r="S144" i="30"/>
  <c r="S143" i="30"/>
  <c r="S142" i="30"/>
  <c r="S141" i="30"/>
  <c r="S140" i="30"/>
  <c r="S139" i="30"/>
  <c r="S138" i="30"/>
  <c r="S137" i="30"/>
  <c r="S136" i="30"/>
  <c r="S135" i="30"/>
  <c r="S134" i="30"/>
  <c r="S133" i="30"/>
  <c r="S132" i="30"/>
  <c r="S131" i="30"/>
  <c r="S130" i="30"/>
  <c r="S129" i="30"/>
  <c r="S128" i="30"/>
  <c r="S127" i="30"/>
  <c r="S126" i="30"/>
  <c r="S125" i="30"/>
  <c r="S124" i="30"/>
  <c r="S65" i="30"/>
  <c r="S63" i="30"/>
  <c r="S62" i="30"/>
  <c r="S123" i="30"/>
  <c r="S122" i="30"/>
  <c r="S121" i="30"/>
  <c r="S120" i="30"/>
  <c r="S119" i="30"/>
  <c r="S118" i="30"/>
  <c r="S117" i="30"/>
  <c r="S116" i="30"/>
  <c r="S115" i="30"/>
  <c r="S114" i="30"/>
  <c r="S113" i="30"/>
  <c r="S112" i="30"/>
  <c r="S111" i="30"/>
  <c r="S110" i="30"/>
  <c r="S109" i="30"/>
  <c r="S108" i="30"/>
  <c r="S107" i="30"/>
  <c r="S106" i="30"/>
  <c r="S105" i="30"/>
  <c r="S104" i="30"/>
  <c r="S103" i="30"/>
  <c r="S102" i="30"/>
  <c r="S101" i="30"/>
  <c r="S100" i="30"/>
  <c r="S99" i="30"/>
  <c r="S98" i="30"/>
  <c r="S97" i="30"/>
  <c r="S96" i="30"/>
  <c r="S95" i="30"/>
  <c r="S94" i="30"/>
  <c r="S93" i="30"/>
  <c r="S70" i="30"/>
  <c r="S69" i="30"/>
  <c r="S67" i="30"/>
  <c r="S66" i="30"/>
  <c r="S92" i="30"/>
  <c r="S91" i="30"/>
  <c r="S90" i="30"/>
  <c r="S89" i="30"/>
  <c r="S88" i="30"/>
  <c r="S87" i="30"/>
  <c r="S86" i="30"/>
  <c r="S85" i="30"/>
  <c r="S84" i="30"/>
  <c r="S83" i="30"/>
  <c r="S82" i="30"/>
  <c r="S81" i="30"/>
  <c r="S80" i="30"/>
  <c r="S79" i="30"/>
  <c r="S78" i="30"/>
  <c r="S77" i="30"/>
  <c r="S76" i="30"/>
  <c r="S75" i="30"/>
  <c r="S74" i="30"/>
  <c r="S73" i="30"/>
  <c r="S72" i="30"/>
  <c r="S71" i="30"/>
  <c r="S68" i="30"/>
  <c r="S61" i="30"/>
  <c r="S60" i="30"/>
  <c r="S59" i="30"/>
  <c r="S58" i="30"/>
  <c r="S57" i="30"/>
  <c r="S56" i="30"/>
  <c r="S55" i="30"/>
  <c r="S54" i="30"/>
  <c r="S53" i="30"/>
  <c r="S52" i="30"/>
  <c r="S51" i="30"/>
  <c r="S50" i="30"/>
  <c r="S49" i="30"/>
  <c r="S48" i="30"/>
  <c r="S47" i="30"/>
  <c r="S46" i="30"/>
  <c r="S45" i="30"/>
  <c r="S44" i="30"/>
  <c r="S43" i="30"/>
  <c r="S42" i="30"/>
  <c r="S41" i="30"/>
  <c r="S40" i="30"/>
  <c r="S39" i="30"/>
  <c r="S38" i="30"/>
  <c r="S37" i="30"/>
  <c r="S36" i="30"/>
  <c r="S35" i="30"/>
  <c r="S34" i="30"/>
  <c r="S33" i="30"/>
  <c r="S32" i="30"/>
  <c r="S31" i="30"/>
  <c r="S30" i="30"/>
  <c r="S29" i="30"/>
  <c r="S28" i="30"/>
  <c r="S27" i="30"/>
  <c r="S26" i="30"/>
  <c r="S25" i="30"/>
  <c r="S24" i="30"/>
  <c r="S23" i="30"/>
  <c r="S22" i="30"/>
  <c r="S21" i="30"/>
  <c r="S20" i="30"/>
  <c r="S19" i="30"/>
  <c r="S18" i="30"/>
  <c r="S17" i="30"/>
  <c r="S16" i="30"/>
  <c r="S15" i="30"/>
  <c r="S14" i="30"/>
  <c r="S13" i="30"/>
  <c r="S12" i="30"/>
  <c r="S11" i="30"/>
  <c r="S10" i="30"/>
  <c r="S9" i="30"/>
  <c r="S8" i="30"/>
  <c r="S7" i="30"/>
  <c r="T6" i="30"/>
  <c r="S5" i="30"/>
  <c r="G42" i="6" l="1"/>
  <c r="I42" i="6"/>
  <c r="J42" i="6"/>
  <c r="AY17" i="30"/>
  <c r="AZ17" i="30"/>
  <c r="AX18" i="30"/>
  <c r="T211" i="30"/>
  <c r="T210" i="30"/>
  <c r="T209" i="30"/>
  <c r="T208" i="30"/>
  <c r="T207" i="30"/>
  <c r="T206" i="30"/>
  <c r="T205" i="30"/>
  <c r="T204" i="30"/>
  <c r="T203" i="30"/>
  <c r="T202" i="30"/>
  <c r="T201" i="30"/>
  <c r="T200" i="30"/>
  <c r="T199" i="30"/>
  <c r="T198" i="30"/>
  <c r="T197" i="30"/>
  <c r="T196" i="30"/>
  <c r="T195" i="30"/>
  <c r="T194" i="30"/>
  <c r="T193" i="30"/>
  <c r="T192" i="30"/>
  <c r="T191" i="30"/>
  <c r="T190" i="30"/>
  <c r="T189" i="30"/>
  <c r="T188" i="30"/>
  <c r="T187" i="30"/>
  <c r="T186" i="30"/>
  <c r="T185" i="30"/>
  <c r="T184" i="30"/>
  <c r="T183" i="30"/>
  <c r="T182" i="30"/>
  <c r="T181" i="30"/>
  <c r="T180" i="30"/>
  <c r="T179" i="30"/>
  <c r="T178" i="30"/>
  <c r="T177" i="30"/>
  <c r="T176" i="30"/>
  <c r="T175" i="30"/>
  <c r="T174" i="30"/>
  <c r="T173" i="30"/>
  <c r="T172" i="30"/>
  <c r="T171" i="30"/>
  <c r="T170" i="30"/>
  <c r="T169" i="30"/>
  <c r="T168" i="30"/>
  <c r="T167" i="30"/>
  <c r="T166" i="30"/>
  <c r="T165" i="30"/>
  <c r="T164" i="30"/>
  <c r="T163" i="30"/>
  <c r="T162" i="30"/>
  <c r="T161" i="30"/>
  <c r="T160" i="30"/>
  <c r="T159" i="30"/>
  <c r="T158" i="30"/>
  <c r="T157" i="30"/>
  <c r="T156" i="30"/>
  <c r="T155" i="30"/>
  <c r="T154" i="30"/>
  <c r="T153" i="30"/>
  <c r="T152" i="30"/>
  <c r="T151" i="30"/>
  <c r="T150" i="30"/>
  <c r="T149" i="30"/>
  <c r="T148" i="30"/>
  <c r="T147" i="30"/>
  <c r="T146" i="30"/>
  <c r="T145" i="30"/>
  <c r="T144" i="30"/>
  <c r="T143" i="30"/>
  <c r="T142" i="30"/>
  <c r="T141" i="30"/>
  <c r="T140" i="30"/>
  <c r="T139" i="30"/>
  <c r="T138" i="30"/>
  <c r="T137" i="30"/>
  <c r="T136" i="30"/>
  <c r="T135" i="30"/>
  <c r="T134" i="30"/>
  <c r="T133" i="30"/>
  <c r="T132" i="30"/>
  <c r="T131" i="30"/>
  <c r="T130" i="30"/>
  <c r="T129" i="30"/>
  <c r="T128" i="30"/>
  <c r="T127" i="30"/>
  <c r="T126" i="30"/>
  <c r="T125" i="30"/>
  <c r="T124" i="30"/>
  <c r="T66" i="30"/>
  <c r="T64" i="30"/>
  <c r="T123" i="30"/>
  <c r="T122" i="30"/>
  <c r="T121" i="30"/>
  <c r="T120" i="30"/>
  <c r="T119" i="30"/>
  <c r="T118" i="30"/>
  <c r="T117" i="30"/>
  <c r="T116" i="30"/>
  <c r="T115" i="30"/>
  <c r="T114" i="30"/>
  <c r="T113" i="30"/>
  <c r="T112" i="30"/>
  <c r="T111" i="30"/>
  <c r="T110" i="30"/>
  <c r="T109" i="30"/>
  <c r="T108" i="30"/>
  <c r="T107" i="30"/>
  <c r="T106" i="30"/>
  <c r="T105" i="30"/>
  <c r="T104" i="30"/>
  <c r="T103" i="30"/>
  <c r="T102" i="30"/>
  <c r="T101" i="30"/>
  <c r="T100" i="30"/>
  <c r="T99" i="30"/>
  <c r="T98" i="30"/>
  <c r="T97" i="30"/>
  <c r="T96" i="30"/>
  <c r="T95" i="30"/>
  <c r="T94" i="30"/>
  <c r="T93" i="30"/>
  <c r="T70" i="30"/>
  <c r="T69" i="30"/>
  <c r="T68" i="30"/>
  <c r="T65" i="30"/>
  <c r="T63" i="30"/>
  <c r="T92" i="30"/>
  <c r="T91" i="30"/>
  <c r="T90" i="30"/>
  <c r="T89" i="30"/>
  <c r="T88" i="30"/>
  <c r="T87" i="30"/>
  <c r="T86" i="30"/>
  <c r="T85" i="30"/>
  <c r="T84" i="30"/>
  <c r="T83" i="30"/>
  <c r="T82" i="30"/>
  <c r="T81" i="30"/>
  <c r="T80" i="30"/>
  <c r="T79" i="30"/>
  <c r="T78" i="30"/>
  <c r="T77" i="30"/>
  <c r="T76" i="30"/>
  <c r="T75" i="30"/>
  <c r="T74" i="30"/>
  <c r="T73" i="30"/>
  <c r="T72" i="30"/>
  <c r="T71" i="30"/>
  <c r="T67" i="30"/>
  <c r="T62" i="30"/>
  <c r="T61" i="30"/>
  <c r="T60" i="30"/>
  <c r="T59" i="30"/>
  <c r="T58" i="30"/>
  <c r="T57" i="30"/>
  <c r="T56" i="30"/>
  <c r="T55" i="30"/>
  <c r="T54" i="30"/>
  <c r="T53" i="30"/>
  <c r="T52" i="30"/>
  <c r="T51" i="30"/>
  <c r="T50" i="30"/>
  <c r="T49" i="30"/>
  <c r="T48" i="30"/>
  <c r="T47" i="30"/>
  <c r="T46" i="30"/>
  <c r="T45" i="30"/>
  <c r="T44" i="30"/>
  <c r="T43" i="30"/>
  <c r="T42" i="30"/>
  <c r="T41" i="30"/>
  <c r="T40" i="30"/>
  <c r="T39" i="30"/>
  <c r="T38" i="30"/>
  <c r="T37" i="30"/>
  <c r="T36" i="30"/>
  <c r="T35" i="30"/>
  <c r="T34" i="30"/>
  <c r="T33" i="30"/>
  <c r="T32" i="30"/>
  <c r="T31" i="30"/>
  <c r="T30" i="30"/>
  <c r="T29" i="30"/>
  <c r="T28" i="30"/>
  <c r="T27" i="30"/>
  <c r="T26" i="30"/>
  <c r="T25" i="30"/>
  <c r="T24" i="30"/>
  <c r="T23" i="30"/>
  <c r="T22" i="30"/>
  <c r="T21" i="30"/>
  <c r="T20" i="30"/>
  <c r="T19" i="30"/>
  <c r="T18" i="30"/>
  <c r="T17" i="30"/>
  <c r="T16" i="30"/>
  <c r="T15" i="30"/>
  <c r="T14" i="30"/>
  <c r="T13" i="30"/>
  <c r="T12" i="30"/>
  <c r="T11" i="30"/>
  <c r="T10" i="30"/>
  <c r="T9" i="30"/>
  <c r="T8" i="30"/>
  <c r="T7" i="30"/>
  <c r="U6" i="30"/>
  <c r="T5" i="30"/>
  <c r="G43" i="6" l="1"/>
  <c r="I43" i="6"/>
  <c r="J43" i="6"/>
  <c r="AY18" i="30"/>
  <c r="AZ18" i="30"/>
  <c r="AX19" i="30"/>
  <c r="U211" i="30"/>
  <c r="U210" i="30"/>
  <c r="U209" i="30"/>
  <c r="U208" i="30"/>
  <c r="U207" i="30"/>
  <c r="U206" i="30"/>
  <c r="U205" i="30"/>
  <c r="U204" i="30"/>
  <c r="U203" i="30"/>
  <c r="U202" i="30"/>
  <c r="U201" i="30"/>
  <c r="U200" i="30"/>
  <c r="U199" i="30"/>
  <c r="U198" i="30"/>
  <c r="U197" i="30"/>
  <c r="U196" i="30"/>
  <c r="U195" i="30"/>
  <c r="U194" i="30"/>
  <c r="U193" i="30"/>
  <c r="U192" i="30"/>
  <c r="U191" i="30"/>
  <c r="U190" i="30"/>
  <c r="U189" i="30"/>
  <c r="U188" i="30"/>
  <c r="U187" i="30"/>
  <c r="U186" i="30"/>
  <c r="U185" i="30"/>
  <c r="U184" i="30"/>
  <c r="U183" i="30"/>
  <c r="U182" i="30"/>
  <c r="U181" i="30"/>
  <c r="U180" i="30"/>
  <c r="U179" i="30"/>
  <c r="U178" i="30"/>
  <c r="U177" i="30"/>
  <c r="U176" i="30"/>
  <c r="U175" i="30"/>
  <c r="U174" i="30"/>
  <c r="U173" i="30"/>
  <c r="U172" i="30"/>
  <c r="U171" i="30"/>
  <c r="U170" i="30"/>
  <c r="U169" i="30"/>
  <c r="U168" i="30"/>
  <c r="U167" i="30"/>
  <c r="U166" i="30"/>
  <c r="U165" i="30"/>
  <c r="U164" i="30"/>
  <c r="U163" i="30"/>
  <c r="U162" i="30"/>
  <c r="U161" i="30"/>
  <c r="U160" i="30"/>
  <c r="U159" i="30"/>
  <c r="U158" i="30"/>
  <c r="U157" i="30"/>
  <c r="U156" i="30"/>
  <c r="U155" i="30"/>
  <c r="U154" i="30"/>
  <c r="U153" i="30"/>
  <c r="U63" i="30"/>
  <c r="U62" i="30"/>
  <c r="U152" i="30"/>
  <c r="U151" i="30"/>
  <c r="U150" i="30"/>
  <c r="U149" i="30"/>
  <c r="U148" i="30"/>
  <c r="U147" i="30"/>
  <c r="U146" i="30"/>
  <c r="U145" i="30"/>
  <c r="U144" i="30"/>
  <c r="U143" i="30"/>
  <c r="U142" i="30"/>
  <c r="U141" i="30"/>
  <c r="U140" i="30"/>
  <c r="U139" i="30"/>
  <c r="U138" i="30"/>
  <c r="U137" i="30"/>
  <c r="U136" i="30"/>
  <c r="U135" i="30"/>
  <c r="U134" i="30"/>
  <c r="U133" i="30"/>
  <c r="U132" i="30"/>
  <c r="U131" i="30"/>
  <c r="U130" i="30"/>
  <c r="U129" i="30"/>
  <c r="U128" i="30"/>
  <c r="U127" i="30"/>
  <c r="U126" i="30"/>
  <c r="U125" i="30"/>
  <c r="U124" i="30"/>
  <c r="U123" i="30"/>
  <c r="U65" i="30"/>
  <c r="U122" i="30"/>
  <c r="U121" i="30"/>
  <c r="U120" i="30"/>
  <c r="U119" i="30"/>
  <c r="U118" i="30"/>
  <c r="U117" i="30"/>
  <c r="U116" i="30"/>
  <c r="U115" i="30"/>
  <c r="U114" i="30"/>
  <c r="U113" i="30"/>
  <c r="U112" i="30"/>
  <c r="U111" i="30"/>
  <c r="U110" i="30"/>
  <c r="U109" i="30"/>
  <c r="U108" i="30"/>
  <c r="U107" i="30"/>
  <c r="U106" i="30"/>
  <c r="U105" i="30"/>
  <c r="U104" i="30"/>
  <c r="U103" i="30"/>
  <c r="U102" i="30"/>
  <c r="U101" i="30"/>
  <c r="U100" i="30"/>
  <c r="U99" i="30"/>
  <c r="U98" i="30"/>
  <c r="U97" i="30"/>
  <c r="U96" i="30"/>
  <c r="U95" i="30"/>
  <c r="U94" i="30"/>
  <c r="U93" i="30"/>
  <c r="U70" i="30"/>
  <c r="U69" i="30"/>
  <c r="U68" i="30"/>
  <c r="U67" i="30"/>
  <c r="U66" i="30"/>
  <c r="U64" i="30"/>
  <c r="U92" i="30"/>
  <c r="U91" i="30"/>
  <c r="U90" i="30"/>
  <c r="U89" i="30"/>
  <c r="U88" i="30"/>
  <c r="U87" i="30"/>
  <c r="U86" i="30"/>
  <c r="U85" i="30"/>
  <c r="U84" i="30"/>
  <c r="U83" i="30"/>
  <c r="U82" i="30"/>
  <c r="U81" i="30"/>
  <c r="U80" i="30"/>
  <c r="U79" i="30"/>
  <c r="U78" i="30"/>
  <c r="U77" i="30"/>
  <c r="U76" i="30"/>
  <c r="U75" i="30"/>
  <c r="U74" i="30"/>
  <c r="U73" i="30"/>
  <c r="U72" i="30"/>
  <c r="U71" i="30"/>
  <c r="U61" i="30"/>
  <c r="U60" i="30"/>
  <c r="U59" i="30"/>
  <c r="U58" i="30"/>
  <c r="U57" i="30"/>
  <c r="U56" i="30"/>
  <c r="U55" i="30"/>
  <c r="U54" i="30"/>
  <c r="U53" i="30"/>
  <c r="U52" i="30"/>
  <c r="U51" i="30"/>
  <c r="U50" i="30"/>
  <c r="U49" i="30"/>
  <c r="U48" i="30"/>
  <c r="U47" i="30"/>
  <c r="U46" i="30"/>
  <c r="U45" i="30"/>
  <c r="U44" i="30"/>
  <c r="U43" i="30"/>
  <c r="U42" i="30"/>
  <c r="U41" i="30"/>
  <c r="U40" i="30"/>
  <c r="U39" i="30"/>
  <c r="U38" i="30"/>
  <c r="U37" i="30"/>
  <c r="U36" i="30"/>
  <c r="U35" i="30"/>
  <c r="U34" i="30"/>
  <c r="U33" i="30"/>
  <c r="U32" i="30"/>
  <c r="U31" i="30"/>
  <c r="U30" i="30"/>
  <c r="U29" i="30"/>
  <c r="U28" i="30"/>
  <c r="U27" i="30"/>
  <c r="U26" i="30"/>
  <c r="U25" i="30"/>
  <c r="U24" i="30"/>
  <c r="U23" i="30"/>
  <c r="U22" i="30"/>
  <c r="U21" i="30"/>
  <c r="U20" i="30"/>
  <c r="U19" i="30"/>
  <c r="U18" i="30"/>
  <c r="U17" i="30"/>
  <c r="U16" i="30"/>
  <c r="U15" i="30"/>
  <c r="U14" i="30"/>
  <c r="U13" i="30"/>
  <c r="U12" i="30"/>
  <c r="U11" i="30"/>
  <c r="U10" i="30"/>
  <c r="U9" i="30"/>
  <c r="U8" i="30"/>
  <c r="U7" i="30"/>
  <c r="V6" i="30"/>
  <c r="U5" i="30"/>
  <c r="G44" i="6" l="1"/>
  <c r="I44" i="6"/>
  <c r="J44" i="6"/>
  <c r="AZ19" i="30"/>
  <c r="AY19" i="30"/>
  <c r="AX20" i="30"/>
  <c r="V211" i="30"/>
  <c r="V210" i="30"/>
  <c r="V209" i="30"/>
  <c r="V208" i="30"/>
  <c r="V207" i="30"/>
  <c r="V206" i="30"/>
  <c r="V205" i="30"/>
  <c r="V204" i="30"/>
  <c r="V203" i="30"/>
  <c r="V202" i="30"/>
  <c r="V201" i="30"/>
  <c r="V200" i="30"/>
  <c r="V199" i="30"/>
  <c r="V198" i="30"/>
  <c r="V197" i="30"/>
  <c r="V196" i="30"/>
  <c r="V195" i="30"/>
  <c r="V194" i="30"/>
  <c r="V193" i="30"/>
  <c r="V192" i="30"/>
  <c r="V191" i="30"/>
  <c r="V190" i="30"/>
  <c r="V189" i="30"/>
  <c r="V188" i="30"/>
  <c r="V187" i="30"/>
  <c r="V186" i="30"/>
  <c r="V185" i="30"/>
  <c r="V184" i="30"/>
  <c r="V183" i="30"/>
  <c r="V182" i="30"/>
  <c r="V181" i="30"/>
  <c r="V180" i="30"/>
  <c r="V179" i="30"/>
  <c r="V178" i="30"/>
  <c r="V177" i="30"/>
  <c r="V176" i="30"/>
  <c r="V175" i="30"/>
  <c r="V174" i="30"/>
  <c r="V173" i="30"/>
  <c r="V172" i="30"/>
  <c r="V171" i="30"/>
  <c r="V170" i="30"/>
  <c r="V169" i="30"/>
  <c r="V168" i="30"/>
  <c r="V167" i="30"/>
  <c r="V166" i="30"/>
  <c r="V165" i="30"/>
  <c r="V164" i="30"/>
  <c r="V163" i="30"/>
  <c r="V162" i="30"/>
  <c r="V161" i="30"/>
  <c r="V160" i="30"/>
  <c r="V159" i="30"/>
  <c r="V158" i="30"/>
  <c r="V157" i="30"/>
  <c r="V156" i="30"/>
  <c r="V155" i="30"/>
  <c r="V154" i="30"/>
  <c r="V153" i="30"/>
  <c r="V152" i="30"/>
  <c r="V151" i="30"/>
  <c r="V150" i="30"/>
  <c r="V149" i="30"/>
  <c r="V148" i="30"/>
  <c r="V147" i="30"/>
  <c r="V146" i="30"/>
  <c r="V145" i="30"/>
  <c r="V144" i="30"/>
  <c r="V143" i="30"/>
  <c r="V142" i="30"/>
  <c r="V141" i="30"/>
  <c r="V140" i="30"/>
  <c r="V139" i="30"/>
  <c r="V138" i="30"/>
  <c r="V137" i="30"/>
  <c r="V136" i="30"/>
  <c r="V135" i="30"/>
  <c r="V134" i="30"/>
  <c r="V133" i="30"/>
  <c r="V132" i="30"/>
  <c r="V131" i="30"/>
  <c r="V130" i="30"/>
  <c r="V129" i="30"/>
  <c r="V128" i="30"/>
  <c r="V127" i="30"/>
  <c r="V126" i="30"/>
  <c r="V125" i="30"/>
  <c r="V124" i="30"/>
  <c r="V123" i="30"/>
  <c r="V66" i="30"/>
  <c r="V64" i="30"/>
  <c r="V62" i="30"/>
  <c r="V122" i="30"/>
  <c r="V121" i="30"/>
  <c r="V120" i="30"/>
  <c r="V119" i="30"/>
  <c r="V118" i="30"/>
  <c r="V117" i="30"/>
  <c r="V116" i="30"/>
  <c r="V115" i="30"/>
  <c r="V114" i="30"/>
  <c r="V113" i="30"/>
  <c r="V112" i="30"/>
  <c r="V111" i="30"/>
  <c r="V110" i="30"/>
  <c r="V109" i="30"/>
  <c r="V108" i="30"/>
  <c r="V107" i="30"/>
  <c r="V106" i="30"/>
  <c r="V105" i="30"/>
  <c r="V104" i="30"/>
  <c r="V103" i="30"/>
  <c r="V102" i="30"/>
  <c r="V101" i="30"/>
  <c r="V100" i="30"/>
  <c r="V99" i="30"/>
  <c r="V98" i="30"/>
  <c r="V97" i="30"/>
  <c r="V96" i="30"/>
  <c r="V95" i="30"/>
  <c r="V94" i="30"/>
  <c r="V93" i="30"/>
  <c r="V70" i="30"/>
  <c r="V69" i="30"/>
  <c r="V68" i="30"/>
  <c r="V92" i="30"/>
  <c r="V91" i="30"/>
  <c r="V90" i="30"/>
  <c r="V89" i="30"/>
  <c r="V88" i="30"/>
  <c r="V87" i="30"/>
  <c r="V86" i="30"/>
  <c r="V85" i="30"/>
  <c r="V84" i="30"/>
  <c r="V83" i="30"/>
  <c r="V82" i="30"/>
  <c r="V81" i="30"/>
  <c r="V80" i="30"/>
  <c r="V79" i="30"/>
  <c r="V78" i="30"/>
  <c r="V77" i="30"/>
  <c r="V76" i="30"/>
  <c r="V75" i="30"/>
  <c r="V74" i="30"/>
  <c r="V73" i="30"/>
  <c r="V72" i="30"/>
  <c r="V71" i="30"/>
  <c r="V67" i="30"/>
  <c r="V65" i="30"/>
  <c r="V63" i="30"/>
  <c r="V61" i="30"/>
  <c r="V60" i="30"/>
  <c r="V59" i="30"/>
  <c r="V58" i="30"/>
  <c r="V57" i="30"/>
  <c r="V56" i="30"/>
  <c r="V55" i="30"/>
  <c r="V54" i="30"/>
  <c r="V53" i="30"/>
  <c r="V52" i="30"/>
  <c r="V51" i="30"/>
  <c r="V50" i="30"/>
  <c r="V49" i="30"/>
  <c r="V48" i="30"/>
  <c r="V47" i="30"/>
  <c r="V46" i="30"/>
  <c r="V45" i="30"/>
  <c r="V44" i="30"/>
  <c r="V43" i="30"/>
  <c r="V42" i="30"/>
  <c r="V41" i="30"/>
  <c r="V40" i="30"/>
  <c r="V39" i="30"/>
  <c r="V38" i="30"/>
  <c r="V37" i="30"/>
  <c r="V36" i="30"/>
  <c r="V35" i="30"/>
  <c r="V34" i="30"/>
  <c r="V33" i="30"/>
  <c r="V32" i="30"/>
  <c r="V31" i="30"/>
  <c r="V30" i="30"/>
  <c r="V29" i="30"/>
  <c r="V28" i="30"/>
  <c r="V27" i="30"/>
  <c r="V26" i="30"/>
  <c r="V25" i="30"/>
  <c r="V24" i="30"/>
  <c r="V23" i="30"/>
  <c r="V22" i="30"/>
  <c r="V21" i="30"/>
  <c r="V20" i="30"/>
  <c r="V19" i="30"/>
  <c r="V18" i="30"/>
  <c r="V17" i="30"/>
  <c r="V16" i="30"/>
  <c r="V15" i="30"/>
  <c r="V14" i="30"/>
  <c r="V13" i="30"/>
  <c r="V12" i="30"/>
  <c r="V11" i="30"/>
  <c r="V10" i="30"/>
  <c r="V9" i="30"/>
  <c r="V8" i="30"/>
  <c r="V7" i="30"/>
  <c r="W6" i="30"/>
  <c r="V5" i="30"/>
  <c r="G45" i="6" l="1"/>
  <c r="M27" i="6" s="1"/>
  <c r="N27" i="6" s="1"/>
  <c r="I45" i="6"/>
  <c r="J45" i="6"/>
  <c r="AY20" i="30"/>
  <c r="AZ20" i="30"/>
  <c r="AX21" i="30"/>
  <c r="W211" i="30"/>
  <c r="W210" i="30"/>
  <c r="W209" i="30"/>
  <c r="W208" i="30"/>
  <c r="W207" i="30"/>
  <c r="W206" i="30"/>
  <c r="W205" i="30"/>
  <c r="W204" i="30"/>
  <c r="W203" i="30"/>
  <c r="W202" i="30"/>
  <c r="W201" i="30"/>
  <c r="W200" i="30"/>
  <c r="W199" i="30"/>
  <c r="W198" i="30"/>
  <c r="W197" i="30"/>
  <c r="W196" i="30"/>
  <c r="W195" i="30"/>
  <c r="W194" i="30"/>
  <c r="W193" i="30"/>
  <c r="W192" i="30"/>
  <c r="W191" i="30"/>
  <c r="W190" i="30"/>
  <c r="W189" i="30"/>
  <c r="W188" i="30"/>
  <c r="W187" i="30"/>
  <c r="W186" i="30"/>
  <c r="W185" i="30"/>
  <c r="W184" i="30"/>
  <c r="W183" i="30"/>
  <c r="W182" i="30"/>
  <c r="W181" i="30"/>
  <c r="W180" i="30"/>
  <c r="W179" i="30"/>
  <c r="W178" i="30"/>
  <c r="W177" i="30"/>
  <c r="W176" i="30"/>
  <c r="W175" i="30"/>
  <c r="W174" i="30"/>
  <c r="W173" i="30"/>
  <c r="W172" i="30"/>
  <c r="W171" i="30"/>
  <c r="W170" i="30"/>
  <c r="W169" i="30"/>
  <c r="W168" i="30"/>
  <c r="W167" i="30"/>
  <c r="W166" i="30"/>
  <c r="W165" i="30"/>
  <c r="W164" i="30"/>
  <c r="W163" i="30"/>
  <c r="W162" i="30"/>
  <c r="W161" i="30"/>
  <c r="W160" i="30"/>
  <c r="W159" i="30"/>
  <c r="W158" i="30"/>
  <c r="W157" i="30"/>
  <c r="W156" i="30"/>
  <c r="W155" i="30"/>
  <c r="W154" i="30"/>
  <c r="W153" i="30"/>
  <c r="W64" i="30"/>
  <c r="W152" i="30"/>
  <c r="W151" i="30"/>
  <c r="W150" i="30"/>
  <c r="W149" i="30"/>
  <c r="W148" i="30"/>
  <c r="W147" i="30"/>
  <c r="W146" i="30"/>
  <c r="W145" i="30"/>
  <c r="W144" i="30"/>
  <c r="W143" i="30"/>
  <c r="W142" i="30"/>
  <c r="W141" i="30"/>
  <c r="W140" i="30"/>
  <c r="W139" i="30"/>
  <c r="W138" i="30"/>
  <c r="W137" i="30"/>
  <c r="W136" i="30"/>
  <c r="W135" i="30"/>
  <c r="W134" i="30"/>
  <c r="W133" i="30"/>
  <c r="W132" i="30"/>
  <c r="W131" i="30"/>
  <c r="W130" i="30"/>
  <c r="W129" i="30"/>
  <c r="W128" i="30"/>
  <c r="W127" i="30"/>
  <c r="W126" i="30"/>
  <c r="W125" i="30"/>
  <c r="W124" i="30"/>
  <c r="W123" i="30"/>
  <c r="W122" i="30"/>
  <c r="W121" i="30"/>
  <c r="W120" i="30"/>
  <c r="W119" i="30"/>
  <c r="W118" i="30"/>
  <c r="W117" i="30"/>
  <c r="W116" i="30"/>
  <c r="W115" i="30"/>
  <c r="W114" i="30"/>
  <c r="W113" i="30"/>
  <c r="W112" i="30"/>
  <c r="W111" i="30"/>
  <c r="W110" i="30"/>
  <c r="W109" i="30"/>
  <c r="W108" i="30"/>
  <c r="W107" i="30"/>
  <c r="W106" i="30"/>
  <c r="W105" i="30"/>
  <c r="W104" i="30"/>
  <c r="W103" i="30"/>
  <c r="W102" i="30"/>
  <c r="W101" i="30"/>
  <c r="W100" i="30"/>
  <c r="W99" i="30"/>
  <c r="W98" i="30"/>
  <c r="W97" i="30"/>
  <c r="W96" i="30"/>
  <c r="W95" i="30"/>
  <c r="W94" i="30"/>
  <c r="W93" i="30"/>
  <c r="W70" i="30"/>
  <c r="W69" i="30"/>
  <c r="W68" i="30"/>
  <c r="W67" i="30"/>
  <c r="W66" i="30"/>
  <c r="W65" i="30"/>
  <c r="W63" i="30"/>
  <c r="W62" i="30"/>
  <c r="W92" i="30"/>
  <c r="W91" i="30"/>
  <c r="W90" i="30"/>
  <c r="W89" i="30"/>
  <c r="W88" i="30"/>
  <c r="W87" i="30"/>
  <c r="W86" i="30"/>
  <c r="W85" i="30"/>
  <c r="W84" i="30"/>
  <c r="W83" i="30"/>
  <c r="W82" i="30"/>
  <c r="W81" i="30"/>
  <c r="W80" i="30"/>
  <c r="W79" i="30"/>
  <c r="W78" i="30"/>
  <c r="W77" i="30"/>
  <c r="W76" i="30"/>
  <c r="W75" i="30"/>
  <c r="W74" i="30"/>
  <c r="W73" i="30"/>
  <c r="W72" i="30"/>
  <c r="W71" i="30"/>
  <c r="W61" i="30"/>
  <c r="W60" i="30"/>
  <c r="W59" i="30"/>
  <c r="W58" i="30"/>
  <c r="W57" i="30"/>
  <c r="W56" i="30"/>
  <c r="W55" i="30"/>
  <c r="W54" i="30"/>
  <c r="W53" i="30"/>
  <c r="W52" i="30"/>
  <c r="W51" i="30"/>
  <c r="W50" i="30"/>
  <c r="W49" i="30"/>
  <c r="W48" i="30"/>
  <c r="W47" i="30"/>
  <c r="W46" i="30"/>
  <c r="W45" i="30"/>
  <c r="W44" i="30"/>
  <c r="W43" i="30"/>
  <c r="W42" i="30"/>
  <c r="W41" i="30"/>
  <c r="W40" i="30"/>
  <c r="W39" i="30"/>
  <c r="W38" i="30"/>
  <c r="W37" i="30"/>
  <c r="W36" i="30"/>
  <c r="W35" i="30"/>
  <c r="W34" i="30"/>
  <c r="W33" i="30"/>
  <c r="W32" i="30"/>
  <c r="W31" i="30"/>
  <c r="W30" i="30"/>
  <c r="W29" i="30"/>
  <c r="W28" i="30"/>
  <c r="W27" i="30"/>
  <c r="W26" i="30"/>
  <c r="W25" i="30"/>
  <c r="W24" i="30"/>
  <c r="W23" i="30"/>
  <c r="W22" i="30"/>
  <c r="W21" i="30"/>
  <c r="W20" i="30"/>
  <c r="W19" i="30"/>
  <c r="W18" i="30"/>
  <c r="W17" i="30"/>
  <c r="W16" i="30"/>
  <c r="W15" i="30"/>
  <c r="W14" i="30"/>
  <c r="W13" i="30"/>
  <c r="W12" i="30"/>
  <c r="W11" i="30"/>
  <c r="W10" i="30"/>
  <c r="W9" i="30"/>
  <c r="W8" i="30"/>
  <c r="W7" i="30"/>
  <c r="X6" i="30"/>
  <c r="W5" i="30"/>
  <c r="AZ21" i="30" l="1"/>
  <c r="AY21" i="30"/>
  <c r="AX22" i="30"/>
  <c r="X211" i="30"/>
  <c r="X210" i="30"/>
  <c r="X209" i="30"/>
  <c r="X208" i="30"/>
  <c r="X207" i="30"/>
  <c r="X206" i="30"/>
  <c r="X205" i="30"/>
  <c r="X204" i="30"/>
  <c r="X203" i="30"/>
  <c r="X202" i="30"/>
  <c r="X201" i="30"/>
  <c r="X200" i="30"/>
  <c r="X199" i="30"/>
  <c r="X198" i="30"/>
  <c r="X197" i="30"/>
  <c r="X196" i="30"/>
  <c r="X195" i="30"/>
  <c r="X194" i="30"/>
  <c r="X193" i="30"/>
  <c r="X192" i="30"/>
  <c r="X191" i="30"/>
  <c r="X190" i="30"/>
  <c r="X189" i="30"/>
  <c r="X188" i="30"/>
  <c r="X187" i="30"/>
  <c r="X186" i="30"/>
  <c r="X185" i="30"/>
  <c r="X184" i="30"/>
  <c r="X183" i="30"/>
  <c r="X182" i="30"/>
  <c r="X181" i="30"/>
  <c r="X180" i="30"/>
  <c r="X179" i="30"/>
  <c r="X178" i="30"/>
  <c r="X177" i="30"/>
  <c r="X176" i="30"/>
  <c r="X175" i="30"/>
  <c r="X174" i="30"/>
  <c r="X173" i="30"/>
  <c r="X172" i="30"/>
  <c r="X171" i="30"/>
  <c r="X170" i="30"/>
  <c r="X169" i="30"/>
  <c r="X168" i="30"/>
  <c r="X167" i="30"/>
  <c r="X166" i="30"/>
  <c r="X165" i="30"/>
  <c r="X164" i="30"/>
  <c r="X163" i="30"/>
  <c r="X162" i="30"/>
  <c r="X161" i="30"/>
  <c r="X160" i="30"/>
  <c r="X159" i="30"/>
  <c r="X158" i="30"/>
  <c r="X157" i="30"/>
  <c r="X156" i="30"/>
  <c r="X155" i="30"/>
  <c r="X154" i="30"/>
  <c r="X153" i="30"/>
  <c r="X62" i="30"/>
  <c r="X152" i="30"/>
  <c r="X151" i="30"/>
  <c r="X150" i="30"/>
  <c r="X149" i="30"/>
  <c r="X148" i="30"/>
  <c r="X147" i="30"/>
  <c r="X146" i="30"/>
  <c r="X145" i="30"/>
  <c r="X144" i="30"/>
  <c r="X143" i="30"/>
  <c r="X142" i="30"/>
  <c r="X141" i="30"/>
  <c r="X140" i="30"/>
  <c r="X139" i="30"/>
  <c r="X138" i="30"/>
  <c r="X137" i="30"/>
  <c r="X136" i="30"/>
  <c r="X135" i="30"/>
  <c r="X134" i="30"/>
  <c r="X133" i="30"/>
  <c r="X132" i="30"/>
  <c r="X131" i="30"/>
  <c r="X130" i="30"/>
  <c r="X129" i="30"/>
  <c r="X128" i="30"/>
  <c r="X127" i="30"/>
  <c r="X126" i="30"/>
  <c r="X125" i="30"/>
  <c r="X124" i="30"/>
  <c r="X123" i="30"/>
  <c r="X66" i="30"/>
  <c r="X65" i="30"/>
  <c r="X63" i="30"/>
  <c r="X122" i="30"/>
  <c r="X121" i="30"/>
  <c r="X120" i="30"/>
  <c r="X119" i="30"/>
  <c r="X118" i="30"/>
  <c r="X117" i="30"/>
  <c r="X116" i="30"/>
  <c r="X115" i="30"/>
  <c r="X114" i="30"/>
  <c r="X113" i="30"/>
  <c r="X112" i="30"/>
  <c r="X111" i="30"/>
  <c r="X110" i="30"/>
  <c r="X109" i="30"/>
  <c r="X108" i="30"/>
  <c r="X107" i="30"/>
  <c r="X106" i="30"/>
  <c r="X105" i="30"/>
  <c r="X104" i="30"/>
  <c r="X103" i="30"/>
  <c r="X102" i="30"/>
  <c r="X101" i="30"/>
  <c r="X100" i="30"/>
  <c r="X99" i="30"/>
  <c r="X98" i="30"/>
  <c r="X97" i="30"/>
  <c r="X96" i="30"/>
  <c r="X95" i="30"/>
  <c r="X94" i="30"/>
  <c r="X93" i="30"/>
  <c r="X70" i="30"/>
  <c r="X69" i="30"/>
  <c r="X64" i="30"/>
  <c r="X92" i="30"/>
  <c r="X91" i="30"/>
  <c r="X90" i="30"/>
  <c r="X89" i="30"/>
  <c r="X88" i="30"/>
  <c r="X87" i="30"/>
  <c r="X86" i="30"/>
  <c r="X85" i="30"/>
  <c r="X84" i="30"/>
  <c r="X83" i="30"/>
  <c r="X82" i="30"/>
  <c r="X81" i="30"/>
  <c r="X80" i="30"/>
  <c r="X79" i="30"/>
  <c r="X78" i="30"/>
  <c r="X77" i="30"/>
  <c r="X76" i="30"/>
  <c r="X75" i="30"/>
  <c r="X74" i="30"/>
  <c r="X73" i="30"/>
  <c r="X72" i="30"/>
  <c r="X71" i="30"/>
  <c r="X68" i="30"/>
  <c r="X67" i="30"/>
  <c r="X61" i="30"/>
  <c r="X60" i="30"/>
  <c r="X59" i="30"/>
  <c r="X58" i="30"/>
  <c r="X57" i="30"/>
  <c r="X56" i="30"/>
  <c r="X55" i="30"/>
  <c r="X54" i="30"/>
  <c r="X53" i="30"/>
  <c r="X52" i="30"/>
  <c r="X51" i="30"/>
  <c r="X50" i="30"/>
  <c r="X49" i="30"/>
  <c r="X48" i="30"/>
  <c r="X47" i="30"/>
  <c r="X46" i="30"/>
  <c r="X45" i="30"/>
  <c r="X44" i="30"/>
  <c r="X43" i="30"/>
  <c r="X42" i="30"/>
  <c r="X41" i="30"/>
  <c r="X40" i="30"/>
  <c r="X39" i="30"/>
  <c r="X38" i="30"/>
  <c r="X37" i="30"/>
  <c r="X36" i="30"/>
  <c r="X35" i="30"/>
  <c r="X34" i="30"/>
  <c r="X33" i="30"/>
  <c r="X32" i="30"/>
  <c r="X31" i="30"/>
  <c r="X30" i="30"/>
  <c r="X29" i="30"/>
  <c r="X28" i="30"/>
  <c r="X27" i="30"/>
  <c r="X26" i="30"/>
  <c r="X25" i="30"/>
  <c r="X24" i="30"/>
  <c r="X23" i="30"/>
  <c r="X22" i="30"/>
  <c r="X21" i="30"/>
  <c r="X20" i="30"/>
  <c r="X19" i="30"/>
  <c r="X18" i="30"/>
  <c r="X17" i="30"/>
  <c r="X16" i="30"/>
  <c r="X15" i="30"/>
  <c r="X14" i="30"/>
  <c r="X13" i="30"/>
  <c r="X12" i="30"/>
  <c r="X11" i="30"/>
  <c r="X10" i="30"/>
  <c r="X9" i="30"/>
  <c r="X8" i="30"/>
  <c r="X7" i="30"/>
  <c r="Y6" i="30"/>
  <c r="X5" i="30"/>
  <c r="AY22" i="30" l="1"/>
  <c r="AZ22" i="30"/>
  <c r="AX23" i="30"/>
  <c r="Y211" i="30"/>
  <c r="Y210" i="30"/>
  <c r="Y209" i="30"/>
  <c r="Y208" i="30"/>
  <c r="Y207" i="30"/>
  <c r="Y206" i="30"/>
  <c r="Y205" i="30"/>
  <c r="Y204" i="30"/>
  <c r="Y203" i="30"/>
  <c r="Y202" i="30"/>
  <c r="Y201" i="30"/>
  <c r="Y200" i="30"/>
  <c r="Y199" i="30"/>
  <c r="Y198" i="30"/>
  <c r="Y197" i="30"/>
  <c r="Y196" i="30"/>
  <c r="Y195" i="30"/>
  <c r="Y194" i="30"/>
  <c r="Y193" i="30"/>
  <c r="Y192" i="30"/>
  <c r="Y191" i="30"/>
  <c r="Y190" i="30"/>
  <c r="Y189" i="30"/>
  <c r="Y188" i="30"/>
  <c r="Y187" i="30"/>
  <c r="Y186" i="30"/>
  <c r="Y185" i="30"/>
  <c r="Y184" i="30"/>
  <c r="Y183" i="30"/>
  <c r="Y182" i="30"/>
  <c r="Y181" i="30"/>
  <c r="Y180" i="30"/>
  <c r="Y179" i="30"/>
  <c r="Y178" i="30"/>
  <c r="Y177" i="30"/>
  <c r="Y176" i="30"/>
  <c r="Y175" i="30"/>
  <c r="Y174" i="30"/>
  <c r="Y173" i="30"/>
  <c r="Y172" i="30"/>
  <c r="Y171" i="30"/>
  <c r="Y170" i="30"/>
  <c r="Y169" i="30"/>
  <c r="Y168" i="30"/>
  <c r="Y167" i="30"/>
  <c r="Y166" i="30"/>
  <c r="Y165" i="30"/>
  <c r="Y164" i="30"/>
  <c r="Y163" i="30"/>
  <c r="Y162" i="30"/>
  <c r="Y161" i="30"/>
  <c r="Y160" i="30"/>
  <c r="Y159" i="30"/>
  <c r="Y158" i="30"/>
  <c r="Y157" i="30"/>
  <c r="Y156" i="30"/>
  <c r="Y155" i="30"/>
  <c r="Y154" i="30"/>
  <c r="Y153" i="30"/>
  <c r="Y152" i="30"/>
  <c r="Y151" i="30"/>
  <c r="Y150" i="30"/>
  <c r="Y149" i="30"/>
  <c r="Y148" i="30"/>
  <c r="Y147" i="30"/>
  <c r="Y146" i="30"/>
  <c r="Y145" i="30"/>
  <c r="Y144" i="30"/>
  <c r="Y143" i="30"/>
  <c r="Y142" i="30"/>
  <c r="Y141" i="30"/>
  <c r="Y140" i="30"/>
  <c r="Y139" i="30"/>
  <c r="Y138" i="30"/>
  <c r="Y137" i="30"/>
  <c r="Y136" i="30"/>
  <c r="Y135" i="30"/>
  <c r="Y134" i="30"/>
  <c r="Y133" i="30"/>
  <c r="Y132" i="30"/>
  <c r="Y131" i="30"/>
  <c r="Y130" i="30"/>
  <c r="Y129" i="30"/>
  <c r="Y128" i="30"/>
  <c r="Y127" i="30"/>
  <c r="Y126" i="30"/>
  <c r="Y125" i="30"/>
  <c r="Y124" i="30"/>
  <c r="Y123" i="30"/>
  <c r="Y66" i="30"/>
  <c r="Y62" i="30"/>
  <c r="Y122" i="30"/>
  <c r="Y121" i="30"/>
  <c r="Y120" i="30"/>
  <c r="Y119" i="30"/>
  <c r="Y118" i="30"/>
  <c r="Y117" i="30"/>
  <c r="Y116" i="30"/>
  <c r="Y115" i="30"/>
  <c r="Y114" i="30"/>
  <c r="Y113" i="30"/>
  <c r="Y112" i="30"/>
  <c r="Y111" i="30"/>
  <c r="Y110" i="30"/>
  <c r="Y109" i="30"/>
  <c r="Y108" i="30"/>
  <c r="Y107" i="30"/>
  <c r="Y106" i="30"/>
  <c r="Y105" i="30"/>
  <c r="Y104" i="30"/>
  <c r="Y103" i="30"/>
  <c r="Y102" i="30"/>
  <c r="Y101" i="30"/>
  <c r="Y100" i="30"/>
  <c r="Y99" i="30"/>
  <c r="Y98" i="30"/>
  <c r="Y97" i="30"/>
  <c r="Y96" i="30"/>
  <c r="Y95" i="30"/>
  <c r="Y94" i="30"/>
  <c r="Y93" i="30"/>
  <c r="Y70" i="30"/>
  <c r="Y69" i="30"/>
  <c r="Y68" i="30"/>
  <c r="Y67" i="30"/>
  <c r="Y65" i="30"/>
  <c r="Y92" i="30"/>
  <c r="Y91" i="30"/>
  <c r="Y90" i="30"/>
  <c r="Y89" i="30"/>
  <c r="Y88" i="30"/>
  <c r="Y87" i="30"/>
  <c r="Y86" i="30"/>
  <c r="Y85" i="30"/>
  <c r="Y84" i="30"/>
  <c r="Y83" i="30"/>
  <c r="Y82" i="30"/>
  <c r="Y81" i="30"/>
  <c r="Y80" i="30"/>
  <c r="Y79" i="30"/>
  <c r="Y78" i="30"/>
  <c r="Y77" i="30"/>
  <c r="Y76" i="30"/>
  <c r="Y75" i="30"/>
  <c r="Y74" i="30"/>
  <c r="Y73" i="30"/>
  <c r="Y72" i="30"/>
  <c r="Y71" i="30"/>
  <c r="Y64" i="30"/>
  <c r="Y63" i="30"/>
  <c r="Y61" i="30"/>
  <c r="Y60" i="30"/>
  <c r="Y59" i="30"/>
  <c r="Y58" i="30"/>
  <c r="Y57" i="30"/>
  <c r="Y56" i="30"/>
  <c r="Y55" i="30"/>
  <c r="Y54" i="30"/>
  <c r="Y53" i="30"/>
  <c r="Y52" i="30"/>
  <c r="Y51" i="30"/>
  <c r="Y50" i="30"/>
  <c r="Y49" i="30"/>
  <c r="Y48" i="30"/>
  <c r="Y47" i="30"/>
  <c r="Y46" i="30"/>
  <c r="Y45" i="30"/>
  <c r="Y44" i="30"/>
  <c r="Y43" i="30"/>
  <c r="Y42" i="30"/>
  <c r="Y41" i="30"/>
  <c r="Y40" i="30"/>
  <c r="Y39" i="30"/>
  <c r="Y38" i="30"/>
  <c r="Y37" i="30"/>
  <c r="Y36" i="30"/>
  <c r="Y35" i="30"/>
  <c r="Y34" i="30"/>
  <c r="Y33" i="30"/>
  <c r="Y32" i="30"/>
  <c r="Y31" i="30"/>
  <c r="Y30" i="30"/>
  <c r="Y29" i="30"/>
  <c r="Y28" i="30"/>
  <c r="Y27" i="30"/>
  <c r="Y26" i="30"/>
  <c r="Y25" i="30"/>
  <c r="Y24" i="30"/>
  <c r="Y23" i="30"/>
  <c r="Y22" i="30"/>
  <c r="Y21" i="30"/>
  <c r="Y20" i="30"/>
  <c r="Y19" i="30"/>
  <c r="Y18" i="30"/>
  <c r="Y17" i="30"/>
  <c r="Y16" i="30"/>
  <c r="Y15" i="30"/>
  <c r="Y14" i="30"/>
  <c r="Y13" i="30"/>
  <c r="Y12" i="30"/>
  <c r="Y11" i="30"/>
  <c r="Y10" i="30"/>
  <c r="Y9" i="30"/>
  <c r="Y8" i="30"/>
  <c r="Y7" i="30"/>
  <c r="Z6" i="30"/>
  <c r="Y5" i="30"/>
  <c r="AY23" i="30" l="1"/>
  <c r="AZ23" i="30"/>
  <c r="AX24" i="30"/>
  <c r="Z211" i="30"/>
  <c r="Z210" i="30"/>
  <c r="Z209" i="30"/>
  <c r="Z208" i="30"/>
  <c r="Z207" i="30"/>
  <c r="Z206" i="30"/>
  <c r="Z205" i="30"/>
  <c r="Z204" i="30"/>
  <c r="Z203" i="30"/>
  <c r="Z202" i="30"/>
  <c r="Z201" i="30"/>
  <c r="Z200" i="30"/>
  <c r="Z199" i="30"/>
  <c r="Z198" i="30"/>
  <c r="Z197" i="30"/>
  <c r="Z196" i="30"/>
  <c r="Z195" i="30"/>
  <c r="Z194" i="30"/>
  <c r="Z193" i="30"/>
  <c r="Z192" i="30"/>
  <c r="Z191" i="30"/>
  <c r="Z190" i="30"/>
  <c r="Z189" i="30"/>
  <c r="Z188" i="30"/>
  <c r="Z187" i="30"/>
  <c r="Z186" i="30"/>
  <c r="Z185" i="30"/>
  <c r="Z184" i="30"/>
  <c r="Z183" i="30"/>
  <c r="Z182" i="30"/>
  <c r="Z181" i="30"/>
  <c r="Z180" i="30"/>
  <c r="Z179" i="30"/>
  <c r="Z178" i="30"/>
  <c r="Z177" i="30"/>
  <c r="Z176" i="30"/>
  <c r="Z175" i="30"/>
  <c r="Z174" i="30"/>
  <c r="Z173" i="30"/>
  <c r="Z172" i="30"/>
  <c r="Z171" i="30"/>
  <c r="Z170" i="30"/>
  <c r="Z169" i="30"/>
  <c r="Z168" i="30"/>
  <c r="Z167" i="30"/>
  <c r="Z166" i="30"/>
  <c r="Z165" i="30"/>
  <c r="Z164" i="30"/>
  <c r="Z163" i="30"/>
  <c r="Z162" i="30"/>
  <c r="Z161" i="30"/>
  <c r="Z160" i="30"/>
  <c r="Z159" i="30"/>
  <c r="Z158" i="30"/>
  <c r="Z157" i="30"/>
  <c r="Z156" i="30"/>
  <c r="Z155" i="30"/>
  <c r="Z154" i="30"/>
  <c r="Z153" i="30"/>
  <c r="Z64" i="30"/>
  <c r="Z63" i="30"/>
  <c r="Z62" i="30"/>
  <c r="Z152" i="30"/>
  <c r="Z151" i="30"/>
  <c r="Z150" i="30"/>
  <c r="Z149" i="30"/>
  <c r="Z148" i="30"/>
  <c r="Z147" i="30"/>
  <c r="Z146" i="30"/>
  <c r="Z145" i="30"/>
  <c r="Z144" i="30"/>
  <c r="Z143" i="30"/>
  <c r="Z142" i="30"/>
  <c r="Z141" i="30"/>
  <c r="Z140" i="30"/>
  <c r="Z139" i="30"/>
  <c r="Z138" i="30"/>
  <c r="Z137" i="30"/>
  <c r="Z136" i="30"/>
  <c r="Z135" i="30"/>
  <c r="Z134" i="30"/>
  <c r="Z133" i="30"/>
  <c r="Z132" i="30"/>
  <c r="Z131" i="30"/>
  <c r="Z130" i="30"/>
  <c r="Z129" i="30"/>
  <c r="Z128" i="30"/>
  <c r="Z127" i="30"/>
  <c r="Z126" i="30"/>
  <c r="Z125" i="30"/>
  <c r="Z124" i="30"/>
  <c r="Z123" i="30"/>
  <c r="Z66" i="30"/>
  <c r="Z122" i="30"/>
  <c r="Z121" i="30"/>
  <c r="Z120" i="30"/>
  <c r="Z119" i="30"/>
  <c r="Z118" i="30"/>
  <c r="Z117" i="30"/>
  <c r="Z116" i="30"/>
  <c r="Z115" i="30"/>
  <c r="Z114" i="30"/>
  <c r="Z113" i="30"/>
  <c r="Z112" i="30"/>
  <c r="Z111" i="30"/>
  <c r="Z110" i="30"/>
  <c r="Z109" i="30"/>
  <c r="Z108" i="30"/>
  <c r="Z107" i="30"/>
  <c r="Z106" i="30"/>
  <c r="Z105" i="30"/>
  <c r="Z104" i="30"/>
  <c r="Z103" i="30"/>
  <c r="Z102" i="30"/>
  <c r="Z101" i="30"/>
  <c r="Z100" i="30"/>
  <c r="Z99" i="30"/>
  <c r="Z98" i="30"/>
  <c r="Z97" i="30"/>
  <c r="Z96" i="30"/>
  <c r="Z95" i="30"/>
  <c r="Z94" i="30"/>
  <c r="Z93" i="30"/>
  <c r="Z70" i="30"/>
  <c r="Z69" i="30"/>
  <c r="Z68" i="30"/>
  <c r="Z31" i="30"/>
  <c r="Z92" i="30"/>
  <c r="Z91" i="30"/>
  <c r="Z90" i="30"/>
  <c r="Z89" i="30"/>
  <c r="Z88" i="30"/>
  <c r="Z87" i="30"/>
  <c r="Z86" i="30"/>
  <c r="Z85" i="30"/>
  <c r="Z84" i="30"/>
  <c r="Z83" i="30"/>
  <c r="Z82" i="30"/>
  <c r="Z81" i="30"/>
  <c r="Z80" i="30"/>
  <c r="Z79" i="30"/>
  <c r="Z78" i="30"/>
  <c r="Z77" i="30"/>
  <c r="Z76" i="30"/>
  <c r="Z75" i="30"/>
  <c r="Z74" i="30"/>
  <c r="Z73" i="30"/>
  <c r="Z72" i="30"/>
  <c r="Z71" i="30"/>
  <c r="Z67" i="30"/>
  <c r="Z65" i="30"/>
  <c r="Z61" i="30"/>
  <c r="Z60" i="30"/>
  <c r="Z59" i="30"/>
  <c r="Z58" i="30"/>
  <c r="Z57" i="30"/>
  <c r="Z56" i="30"/>
  <c r="Z55" i="30"/>
  <c r="Z54" i="30"/>
  <c r="Z53" i="30"/>
  <c r="Z52" i="30"/>
  <c r="Z51" i="30"/>
  <c r="Z50" i="30"/>
  <c r="Z49" i="30"/>
  <c r="Z48" i="30"/>
  <c r="Z47" i="30"/>
  <c r="Z46" i="30"/>
  <c r="Z45" i="30"/>
  <c r="Z44" i="30"/>
  <c r="Z43" i="30"/>
  <c r="Z42" i="30"/>
  <c r="Z41" i="30"/>
  <c r="Z40" i="30"/>
  <c r="Z39" i="30"/>
  <c r="Z38" i="30"/>
  <c r="Z37" i="30"/>
  <c r="Z36" i="30"/>
  <c r="Z35" i="30"/>
  <c r="Z34" i="30"/>
  <c r="Z33" i="30"/>
  <c r="Z32" i="30"/>
  <c r="Z30" i="30"/>
  <c r="Z29" i="30"/>
  <c r="Z28" i="30"/>
  <c r="Z27" i="30"/>
  <c r="Z26" i="30"/>
  <c r="Z25" i="30"/>
  <c r="Z24" i="30"/>
  <c r="Z23" i="30"/>
  <c r="Z22" i="30"/>
  <c r="Z21" i="30"/>
  <c r="Z20" i="30"/>
  <c r="Z19" i="30"/>
  <c r="Z18" i="30"/>
  <c r="Z17" i="30"/>
  <c r="Z16" i="30"/>
  <c r="Z15" i="30"/>
  <c r="Z14" i="30"/>
  <c r="Z13" i="30"/>
  <c r="Z12" i="30"/>
  <c r="Z11" i="30"/>
  <c r="Z10" i="30"/>
  <c r="Z9" i="30"/>
  <c r="Z8" i="30"/>
  <c r="Z7" i="30"/>
  <c r="AA6" i="30"/>
  <c r="Z5" i="30"/>
  <c r="AY24" i="30" l="1"/>
  <c r="AZ24" i="30"/>
  <c r="AX25" i="30"/>
  <c r="AA211" i="30"/>
  <c r="AA210" i="30"/>
  <c r="AA209" i="30"/>
  <c r="AA208" i="30"/>
  <c r="AA207" i="30"/>
  <c r="AA206" i="30"/>
  <c r="AA205" i="30"/>
  <c r="AA204" i="30"/>
  <c r="AA203" i="30"/>
  <c r="AA202" i="30"/>
  <c r="AA201" i="30"/>
  <c r="AA200" i="30"/>
  <c r="AA199" i="30"/>
  <c r="AA198" i="30"/>
  <c r="AA197" i="30"/>
  <c r="AA196" i="30"/>
  <c r="AA195" i="30"/>
  <c r="AA194" i="30"/>
  <c r="AA193" i="30"/>
  <c r="AA192" i="30"/>
  <c r="AA191" i="30"/>
  <c r="AA190" i="30"/>
  <c r="AA189" i="30"/>
  <c r="AA188" i="30"/>
  <c r="AA187" i="30"/>
  <c r="AA186" i="30"/>
  <c r="AA185" i="30"/>
  <c r="AA184" i="30"/>
  <c r="AA183" i="30"/>
  <c r="AA182" i="30"/>
  <c r="AA181" i="30"/>
  <c r="AA180" i="30"/>
  <c r="AA179" i="30"/>
  <c r="AA178" i="30"/>
  <c r="AA177" i="30"/>
  <c r="AA176" i="30"/>
  <c r="AA175" i="30"/>
  <c r="AA174" i="30"/>
  <c r="AA173" i="30"/>
  <c r="AA172" i="30"/>
  <c r="AA171" i="30"/>
  <c r="AA170" i="30"/>
  <c r="AA169" i="30"/>
  <c r="AA168" i="30"/>
  <c r="AA167" i="30"/>
  <c r="AA166" i="30"/>
  <c r="AA165" i="30"/>
  <c r="AA164" i="30"/>
  <c r="AA163" i="30"/>
  <c r="AA162" i="30"/>
  <c r="AA161" i="30"/>
  <c r="AA160" i="30"/>
  <c r="AA159" i="30"/>
  <c r="AA158" i="30"/>
  <c r="AA157" i="30"/>
  <c r="AA156" i="30"/>
  <c r="AA155" i="30"/>
  <c r="AA154" i="30"/>
  <c r="AA153" i="30"/>
  <c r="AA31" i="30"/>
  <c r="AA152" i="30"/>
  <c r="AA151" i="30"/>
  <c r="AA150" i="30"/>
  <c r="AA149" i="30"/>
  <c r="AA148" i="30"/>
  <c r="AA147" i="30"/>
  <c r="AA146" i="30"/>
  <c r="AA145" i="30"/>
  <c r="AA144" i="30"/>
  <c r="AA143" i="30"/>
  <c r="AA142" i="30"/>
  <c r="AA141" i="30"/>
  <c r="AA140" i="30"/>
  <c r="AA139" i="30"/>
  <c r="AA138" i="30"/>
  <c r="AA137" i="30"/>
  <c r="AA136" i="30"/>
  <c r="AA135" i="30"/>
  <c r="AA134" i="30"/>
  <c r="AA133" i="30"/>
  <c r="AA132" i="30"/>
  <c r="AA131" i="30"/>
  <c r="AA130" i="30"/>
  <c r="AA129" i="30"/>
  <c r="AA128" i="30"/>
  <c r="AA127" i="30"/>
  <c r="AA126" i="30"/>
  <c r="AA125" i="30"/>
  <c r="AA124" i="30"/>
  <c r="AA123" i="30"/>
  <c r="AA66" i="30"/>
  <c r="AA65" i="30"/>
  <c r="AA63" i="30"/>
  <c r="AA122" i="30"/>
  <c r="AA121" i="30"/>
  <c r="AA120" i="30"/>
  <c r="AA119" i="30"/>
  <c r="AA118" i="30"/>
  <c r="AA117" i="30"/>
  <c r="AA116" i="30"/>
  <c r="AA115" i="30"/>
  <c r="AA114" i="30"/>
  <c r="AA113" i="30"/>
  <c r="AA112" i="30"/>
  <c r="AA111" i="30"/>
  <c r="AA110" i="30"/>
  <c r="AA109" i="30"/>
  <c r="AA108" i="30"/>
  <c r="AA107" i="30"/>
  <c r="AA106" i="30"/>
  <c r="AA105" i="30"/>
  <c r="AA104" i="30"/>
  <c r="AA103" i="30"/>
  <c r="AA102" i="30"/>
  <c r="AA101" i="30"/>
  <c r="AA100" i="30"/>
  <c r="AA99" i="30"/>
  <c r="AA98" i="30"/>
  <c r="AA97" i="30"/>
  <c r="AA96" i="30"/>
  <c r="AA95" i="30"/>
  <c r="AA94" i="30"/>
  <c r="AA93" i="30"/>
  <c r="AA70" i="30"/>
  <c r="AA69" i="30"/>
  <c r="AA68" i="30"/>
  <c r="AA67" i="30"/>
  <c r="AA62" i="30"/>
  <c r="AA92" i="30"/>
  <c r="AA91" i="30"/>
  <c r="AA90" i="30"/>
  <c r="AA89" i="30"/>
  <c r="AA88" i="30"/>
  <c r="AA87" i="30"/>
  <c r="AA86" i="30"/>
  <c r="AA85" i="30"/>
  <c r="AA84" i="30"/>
  <c r="AA83" i="30"/>
  <c r="AA82" i="30"/>
  <c r="AA81" i="30"/>
  <c r="AA80" i="30"/>
  <c r="AA79" i="30"/>
  <c r="AA78" i="30"/>
  <c r="AA77" i="30"/>
  <c r="AA76" i="30"/>
  <c r="AA75" i="30"/>
  <c r="AA74" i="30"/>
  <c r="AA73" i="30"/>
  <c r="AA72" i="30"/>
  <c r="AA71" i="30"/>
  <c r="AA64" i="30"/>
  <c r="AA61" i="30"/>
  <c r="AA60" i="30"/>
  <c r="AA59" i="30"/>
  <c r="AA58" i="30"/>
  <c r="AA57" i="30"/>
  <c r="AA56" i="30"/>
  <c r="AA55" i="30"/>
  <c r="AA54" i="30"/>
  <c r="AA53" i="30"/>
  <c r="AA52" i="30"/>
  <c r="AA51" i="30"/>
  <c r="AA50" i="30"/>
  <c r="AA49" i="30"/>
  <c r="AA48" i="30"/>
  <c r="AA47" i="30"/>
  <c r="AA46" i="30"/>
  <c r="AA45" i="30"/>
  <c r="AA44" i="30"/>
  <c r="AA43" i="30"/>
  <c r="AA42" i="30"/>
  <c r="AA41" i="30"/>
  <c r="AA40" i="30"/>
  <c r="AA39" i="30"/>
  <c r="AA38" i="30"/>
  <c r="AA37" i="30"/>
  <c r="AA36" i="30"/>
  <c r="AA35" i="30"/>
  <c r="AA34" i="30"/>
  <c r="AA33" i="30"/>
  <c r="AA32" i="30"/>
  <c r="AA30" i="30"/>
  <c r="AA29" i="30"/>
  <c r="AA28" i="30"/>
  <c r="AA27" i="30"/>
  <c r="AA26" i="30"/>
  <c r="AA25" i="30"/>
  <c r="AA24" i="30"/>
  <c r="AA23" i="30"/>
  <c r="AA22" i="30"/>
  <c r="AA21" i="30"/>
  <c r="AA20" i="30"/>
  <c r="AA19" i="30"/>
  <c r="AA18" i="30"/>
  <c r="AA17" i="30"/>
  <c r="AA16" i="30"/>
  <c r="AA15" i="30"/>
  <c r="AA14" i="30"/>
  <c r="AA13" i="30"/>
  <c r="AA12" i="30"/>
  <c r="AA11" i="30"/>
  <c r="AA10" i="30"/>
  <c r="AA9" i="30"/>
  <c r="AA8" i="30"/>
  <c r="AA7" i="30"/>
  <c r="AB6" i="30"/>
  <c r="AA5" i="30"/>
  <c r="AY25" i="30" l="1"/>
  <c r="AZ25" i="30"/>
  <c r="AX26"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62"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66" i="30"/>
  <c r="AB64"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70" i="30"/>
  <c r="AB69" i="30"/>
  <c r="AB68" i="30"/>
  <c r="AB67" i="30"/>
  <c r="AB65" i="30"/>
  <c r="AB63" i="30"/>
  <c r="AB31" i="30"/>
  <c r="AB92" i="30"/>
  <c r="AB91" i="30"/>
  <c r="AB90" i="30"/>
  <c r="AB89" i="30"/>
  <c r="AB88" i="30"/>
  <c r="AB87" i="30"/>
  <c r="AB86" i="30"/>
  <c r="AB85" i="30"/>
  <c r="AB84" i="30"/>
  <c r="AB83" i="30"/>
  <c r="AB82" i="30"/>
  <c r="AB81" i="30"/>
  <c r="AB80" i="30"/>
  <c r="AB79" i="30"/>
  <c r="AB78" i="30"/>
  <c r="AB77" i="30"/>
  <c r="AB76" i="30"/>
  <c r="AB75" i="30"/>
  <c r="AB74" i="30"/>
  <c r="AB73" i="30"/>
  <c r="AB72" i="30"/>
  <c r="AB71"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0" i="30"/>
  <c r="AB29" i="30"/>
  <c r="AB28" i="30"/>
  <c r="AB27" i="30"/>
  <c r="AB26" i="30"/>
  <c r="AB25" i="30"/>
  <c r="AB24" i="30"/>
  <c r="AB23" i="30"/>
  <c r="AB22" i="30"/>
  <c r="AB21" i="30"/>
  <c r="AB20" i="30"/>
  <c r="AB19" i="30"/>
  <c r="AB18" i="30"/>
  <c r="AB17" i="30"/>
  <c r="AB16" i="30"/>
  <c r="AB15" i="30"/>
  <c r="AB14" i="30"/>
  <c r="AB13" i="30"/>
  <c r="AB12" i="30"/>
  <c r="AB11" i="30"/>
  <c r="AB10" i="30"/>
  <c r="AB9" i="30"/>
  <c r="AB8" i="30"/>
  <c r="AB7" i="30"/>
  <c r="AC6" i="30"/>
  <c r="AB5" i="30"/>
  <c r="AZ26" i="30" l="1"/>
  <c r="AY26" i="30"/>
  <c r="AX27" i="30"/>
  <c r="AC211" i="30"/>
  <c r="AC210" i="30"/>
  <c r="AC209" i="30"/>
  <c r="AC208" i="30"/>
  <c r="AC207" i="30"/>
  <c r="AC206" i="30"/>
  <c r="AC205" i="30"/>
  <c r="AC204" i="30"/>
  <c r="AC203" i="30"/>
  <c r="AC202" i="30"/>
  <c r="AC201" i="30"/>
  <c r="AC200" i="30"/>
  <c r="AC199" i="30"/>
  <c r="AC198" i="30"/>
  <c r="AC197" i="30"/>
  <c r="AC196" i="30"/>
  <c r="AC195" i="30"/>
  <c r="AC194" i="30"/>
  <c r="AC193" i="30"/>
  <c r="AC192" i="30"/>
  <c r="AC191" i="30"/>
  <c r="AC190" i="30"/>
  <c r="AC189" i="30"/>
  <c r="AC188" i="30"/>
  <c r="AC187" i="30"/>
  <c r="AC186" i="30"/>
  <c r="AC185" i="30"/>
  <c r="AC184" i="30"/>
  <c r="AC183" i="30"/>
  <c r="AC182" i="30"/>
  <c r="AC181" i="30"/>
  <c r="AC180" i="30"/>
  <c r="AC179" i="30"/>
  <c r="AC178" i="30"/>
  <c r="AC177" i="30"/>
  <c r="AC176" i="30"/>
  <c r="AC175" i="30"/>
  <c r="AC174" i="30"/>
  <c r="AC173" i="30"/>
  <c r="AC172" i="30"/>
  <c r="AC171" i="30"/>
  <c r="AC170" i="30"/>
  <c r="AC169" i="30"/>
  <c r="AC168" i="30"/>
  <c r="AC167" i="30"/>
  <c r="AC166" i="30"/>
  <c r="AC165" i="30"/>
  <c r="AC164" i="30"/>
  <c r="AC163" i="30"/>
  <c r="AC162" i="30"/>
  <c r="AC161" i="30"/>
  <c r="AC160" i="30"/>
  <c r="AC159" i="30"/>
  <c r="AC158" i="30"/>
  <c r="AC157" i="30"/>
  <c r="AC156" i="30"/>
  <c r="AC155" i="30"/>
  <c r="AC154" i="30"/>
  <c r="AC153" i="30"/>
  <c r="AC63" i="30"/>
  <c r="AC152" i="30"/>
  <c r="AC151" i="30"/>
  <c r="AC150" i="30"/>
  <c r="AC149" i="30"/>
  <c r="AC148" i="30"/>
  <c r="AC147" i="30"/>
  <c r="AC146" i="30"/>
  <c r="AC145" i="30"/>
  <c r="AC144" i="30"/>
  <c r="AC143" i="30"/>
  <c r="AC142" i="30"/>
  <c r="AC141" i="30"/>
  <c r="AC140" i="30"/>
  <c r="AC139" i="30"/>
  <c r="AC138" i="30"/>
  <c r="AC137" i="30"/>
  <c r="AC136" i="30"/>
  <c r="AC135" i="30"/>
  <c r="AC134" i="30"/>
  <c r="AC133" i="30"/>
  <c r="AC132" i="30"/>
  <c r="AC131" i="30"/>
  <c r="AC130" i="30"/>
  <c r="AC129" i="30"/>
  <c r="AC128" i="30"/>
  <c r="AC127" i="30"/>
  <c r="AC126" i="30"/>
  <c r="AC125" i="30"/>
  <c r="AC124" i="30"/>
  <c r="AC123" i="30"/>
  <c r="AC66" i="30"/>
  <c r="AC62" i="30"/>
  <c r="AC122" i="30"/>
  <c r="AC121" i="30"/>
  <c r="AC120" i="30"/>
  <c r="AC119" i="30"/>
  <c r="AC118" i="30"/>
  <c r="AC117" i="30"/>
  <c r="AC116" i="30"/>
  <c r="AC115" i="30"/>
  <c r="AC114" i="30"/>
  <c r="AC113" i="30"/>
  <c r="AC112" i="30"/>
  <c r="AC111" i="30"/>
  <c r="AC110" i="30"/>
  <c r="AC109" i="30"/>
  <c r="AC108" i="30"/>
  <c r="AC107" i="30"/>
  <c r="AC106" i="30"/>
  <c r="AC105" i="30"/>
  <c r="AC104" i="30"/>
  <c r="AC103" i="30"/>
  <c r="AC102" i="30"/>
  <c r="AC101" i="30"/>
  <c r="AC100" i="30"/>
  <c r="AC99" i="30"/>
  <c r="AC98" i="30"/>
  <c r="AC97" i="30"/>
  <c r="AC96" i="30"/>
  <c r="AC95" i="30"/>
  <c r="AC94" i="30"/>
  <c r="AC93" i="30"/>
  <c r="AC70" i="30"/>
  <c r="AC69" i="30"/>
  <c r="AC68" i="30"/>
  <c r="AC92" i="30"/>
  <c r="AC91" i="30"/>
  <c r="AC90" i="30"/>
  <c r="AC89" i="30"/>
  <c r="AC88" i="30"/>
  <c r="AC87" i="30"/>
  <c r="AC86" i="30"/>
  <c r="AC85" i="30"/>
  <c r="AC84" i="30"/>
  <c r="AC83" i="30"/>
  <c r="AC82" i="30"/>
  <c r="AC81" i="30"/>
  <c r="AC80" i="30"/>
  <c r="AC79" i="30"/>
  <c r="AC78" i="30"/>
  <c r="AC77" i="30"/>
  <c r="AC76" i="30"/>
  <c r="AC75" i="30"/>
  <c r="AC74" i="30"/>
  <c r="AC73" i="30"/>
  <c r="AC72" i="30"/>
  <c r="AC71" i="30"/>
  <c r="AC67" i="30"/>
  <c r="AC65" i="30"/>
  <c r="AC64" i="30"/>
  <c r="AC61" i="30"/>
  <c r="AC60" i="30"/>
  <c r="AC59" i="30"/>
  <c r="AC58" i="30"/>
  <c r="AC57" i="30"/>
  <c r="AC56" i="30"/>
  <c r="AC55" i="30"/>
  <c r="AC54" i="30"/>
  <c r="AC53" i="30"/>
  <c r="AC52" i="30"/>
  <c r="AC51" i="30"/>
  <c r="AC50" i="30"/>
  <c r="AC49" i="30"/>
  <c r="AC48" i="30"/>
  <c r="AC47" i="30"/>
  <c r="AC46" i="30"/>
  <c r="AC45" i="30"/>
  <c r="AC44" i="30"/>
  <c r="AC43" i="30"/>
  <c r="AC42" i="30"/>
  <c r="AC41" i="30"/>
  <c r="AC40" i="30"/>
  <c r="AC39" i="30"/>
  <c r="AC38" i="30"/>
  <c r="AC37" i="30"/>
  <c r="AC36" i="30"/>
  <c r="AC35" i="30"/>
  <c r="AC34" i="30"/>
  <c r="AC33" i="30"/>
  <c r="AC32" i="30"/>
  <c r="AC31" i="30"/>
  <c r="AC30" i="30"/>
  <c r="AC29" i="30"/>
  <c r="AC28" i="30"/>
  <c r="AC27" i="30"/>
  <c r="AC26" i="30"/>
  <c r="AC25" i="30"/>
  <c r="AC24" i="30"/>
  <c r="AC23" i="30"/>
  <c r="AC22" i="30"/>
  <c r="AC21" i="30"/>
  <c r="AC20" i="30"/>
  <c r="AC19" i="30"/>
  <c r="AC18" i="30"/>
  <c r="AC17" i="30"/>
  <c r="AC16" i="30"/>
  <c r="AC15" i="30"/>
  <c r="AC14" i="30"/>
  <c r="AC13" i="30"/>
  <c r="AC12" i="30"/>
  <c r="AC11" i="30"/>
  <c r="AC10" i="30"/>
  <c r="AC9" i="30"/>
  <c r="AC8" i="30"/>
  <c r="AC7" i="30"/>
  <c r="AD6" i="30"/>
  <c r="AC5" i="30"/>
  <c r="AY27" i="30" l="1"/>
  <c r="AZ27" i="30"/>
  <c r="AX28" i="30"/>
  <c r="AD211" i="30"/>
  <c r="AD210" i="30"/>
  <c r="AD209" i="30"/>
  <c r="AD208" i="30"/>
  <c r="AD207" i="30"/>
  <c r="AD206" i="30"/>
  <c r="AD205" i="30"/>
  <c r="AD204" i="30"/>
  <c r="AD203" i="30"/>
  <c r="AD202" i="30"/>
  <c r="AD201" i="30"/>
  <c r="AD200" i="30"/>
  <c r="AD199" i="30"/>
  <c r="AD198" i="30"/>
  <c r="AD197" i="30"/>
  <c r="AD196" i="30"/>
  <c r="AD195" i="30"/>
  <c r="AD194" i="30"/>
  <c r="AD193" i="30"/>
  <c r="AD192" i="30"/>
  <c r="AD191" i="30"/>
  <c r="AD190" i="30"/>
  <c r="AD189" i="30"/>
  <c r="AD188" i="30"/>
  <c r="AD187" i="30"/>
  <c r="AD186" i="30"/>
  <c r="AD185" i="30"/>
  <c r="AD184" i="30"/>
  <c r="AD183" i="30"/>
  <c r="AD182" i="30"/>
  <c r="AD181" i="30"/>
  <c r="AD180" i="30"/>
  <c r="AD179" i="30"/>
  <c r="AD178" i="30"/>
  <c r="AD177" i="30"/>
  <c r="AD176" i="30"/>
  <c r="AD175" i="30"/>
  <c r="AD174" i="30"/>
  <c r="AD173" i="30"/>
  <c r="AD172" i="30"/>
  <c r="AD171" i="30"/>
  <c r="AD170" i="30"/>
  <c r="AD169" i="30"/>
  <c r="AD168" i="30"/>
  <c r="AD167" i="30"/>
  <c r="AD166" i="30"/>
  <c r="AD165" i="30"/>
  <c r="AD164" i="30"/>
  <c r="AD163" i="30"/>
  <c r="AD162" i="30"/>
  <c r="AD161" i="30"/>
  <c r="AD160" i="30"/>
  <c r="AD159" i="30"/>
  <c r="AD158" i="30"/>
  <c r="AD157" i="30"/>
  <c r="AD156" i="30"/>
  <c r="AD155" i="30"/>
  <c r="AD154" i="30"/>
  <c r="AD153" i="30"/>
  <c r="AD152" i="30"/>
  <c r="AD151" i="30"/>
  <c r="AD150" i="30"/>
  <c r="AD149" i="30"/>
  <c r="AD148" i="30"/>
  <c r="AD147" i="30"/>
  <c r="AD146" i="30"/>
  <c r="AD145" i="30"/>
  <c r="AD144" i="30"/>
  <c r="AD143" i="30"/>
  <c r="AD142" i="30"/>
  <c r="AD141" i="30"/>
  <c r="AD140" i="30"/>
  <c r="AD139" i="30"/>
  <c r="AD138" i="30"/>
  <c r="AD137" i="30"/>
  <c r="AD136" i="30"/>
  <c r="AD135" i="30"/>
  <c r="AD134" i="30"/>
  <c r="AD133" i="30"/>
  <c r="AD132" i="30"/>
  <c r="AD131" i="30"/>
  <c r="AD130" i="30"/>
  <c r="AD129" i="30"/>
  <c r="AD128" i="30"/>
  <c r="AD127" i="30"/>
  <c r="AD126" i="30"/>
  <c r="AD125" i="30"/>
  <c r="AD124" i="30"/>
  <c r="AD123" i="30"/>
  <c r="AD66" i="30"/>
  <c r="AD65" i="30"/>
  <c r="AD63" i="30"/>
  <c r="AD122" i="30"/>
  <c r="AD121" i="30"/>
  <c r="AD120" i="30"/>
  <c r="AD119" i="30"/>
  <c r="AD118" i="30"/>
  <c r="AD117" i="30"/>
  <c r="AD116" i="30"/>
  <c r="AD115" i="30"/>
  <c r="AD114" i="30"/>
  <c r="AD113" i="30"/>
  <c r="AD112" i="30"/>
  <c r="AD111" i="30"/>
  <c r="AD110" i="30"/>
  <c r="AD109" i="30"/>
  <c r="AD108" i="30"/>
  <c r="AD107" i="30"/>
  <c r="AD106" i="30"/>
  <c r="AD105" i="30"/>
  <c r="AD104" i="30"/>
  <c r="AD103" i="30"/>
  <c r="AD102" i="30"/>
  <c r="AD101" i="30"/>
  <c r="AD100" i="30"/>
  <c r="AD99" i="30"/>
  <c r="AD98" i="30"/>
  <c r="AD97" i="30"/>
  <c r="AD96" i="30"/>
  <c r="AD95" i="30"/>
  <c r="AD94" i="30"/>
  <c r="AD93" i="30"/>
  <c r="AD70" i="30"/>
  <c r="AD69" i="30"/>
  <c r="AD68" i="30"/>
  <c r="AD67" i="30"/>
  <c r="AD64" i="30"/>
  <c r="AD62" i="30"/>
  <c r="AD31" i="30"/>
  <c r="AD92" i="30"/>
  <c r="AD91" i="30"/>
  <c r="AD90" i="30"/>
  <c r="AD89" i="30"/>
  <c r="AD88" i="30"/>
  <c r="AD87" i="30"/>
  <c r="AD86" i="30"/>
  <c r="AD85" i="30"/>
  <c r="AD84" i="30"/>
  <c r="AD83" i="30"/>
  <c r="AD82" i="30"/>
  <c r="AD81" i="30"/>
  <c r="AD80" i="30"/>
  <c r="AD79" i="30"/>
  <c r="AD78" i="30"/>
  <c r="AD77" i="30"/>
  <c r="AD76" i="30"/>
  <c r="AD75" i="30"/>
  <c r="AD74" i="30"/>
  <c r="AD73" i="30"/>
  <c r="AD72" i="30"/>
  <c r="AD71" i="30"/>
  <c r="AD61" i="30"/>
  <c r="AD60" i="30"/>
  <c r="AD59" i="30"/>
  <c r="AD58" i="30"/>
  <c r="AD57" i="30"/>
  <c r="AD56" i="30"/>
  <c r="AD55" i="30"/>
  <c r="AD54" i="30"/>
  <c r="AD53" i="30"/>
  <c r="AD52" i="30"/>
  <c r="AD51" i="30"/>
  <c r="AD50" i="30"/>
  <c r="AD49" i="30"/>
  <c r="AD48" i="30"/>
  <c r="AD47" i="30"/>
  <c r="AD46" i="30"/>
  <c r="AD45" i="30"/>
  <c r="AD44" i="30"/>
  <c r="AD43" i="30"/>
  <c r="AD42" i="30"/>
  <c r="AD41" i="30"/>
  <c r="AD40" i="30"/>
  <c r="AD39" i="30"/>
  <c r="AD38" i="30"/>
  <c r="AD37" i="30"/>
  <c r="AD36" i="30"/>
  <c r="AD35" i="30"/>
  <c r="AD34" i="30"/>
  <c r="AD33" i="30"/>
  <c r="AD32" i="30"/>
  <c r="AD30" i="30"/>
  <c r="AD29" i="30"/>
  <c r="AD28" i="30"/>
  <c r="AD27" i="30"/>
  <c r="AD26" i="30"/>
  <c r="AD25" i="30"/>
  <c r="AD24" i="30"/>
  <c r="AD23" i="30"/>
  <c r="AD22" i="30"/>
  <c r="AD21" i="30"/>
  <c r="AD20" i="30"/>
  <c r="AD19" i="30"/>
  <c r="AD18" i="30"/>
  <c r="AD17" i="30"/>
  <c r="AD16" i="30"/>
  <c r="AD15" i="30"/>
  <c r="AD14" i="30"/>
  <c r="AD13" i="30"/>
  <c r="AD12" i="30"/>
  <c r="AD11" i="30"/>
  <c r="AD10" i="30"/>
  <c r="AD9" i="30"/>
  <c r="AD8" i="30"/>
  <c r="AD7" i="30"/>
  <c r="AE6" i="30"/>
  <c r="AD5" i="30"/>
  <c r="AY28" i="30" l="1"/>
  <c r="AZ28" i="30"/>
  <c r="AX29" i="30"/>
  <c r="AE211" i="30"/>
  <c r="AE210" i="30"/>
  <c r="AE209" i="30"/>
  <c r="AE208" i="30"/>
  <c r="AE207" i="30"/>
  <c r="AE206" i="30"/>
  <c r="AE205" i="30"/>
  <c r="AE204" i="30"/>
  <c r="AE203" i="30"/>
  <c r="AE202" i="30"/>
  <c r="AE201" i="30"/>
  <c r="AE200" i="30"/>
  <c r="AE199" i="30"/>
  <c r="AE198" i="30"/>
  <c r="AE197" i="30"/>
  <c r="AE196" i="30"/>
  <c r="AE195" i="30"/>
  <c r="AE194" i="30"/>
  <c r="AE193" i="30"/>
  <c r="AE192" i="30"/>
  <c r="AE191" i="30"/>
  <c r="AE190" i="30"/>
  <c r="AE189" i="30"/>
  <c r="AE188" i="30"/>
  <c r="AE187" i="30"/>
  <c r="AE186" i="30"/>
  <c r="AE185" i="30"/>
  <c r="AE184" i="30"/>
  <c r="AE183" i="30"/>
  <c r="AE182" i="30"/>
  <c r="AE181" i="30"/>
  <c r="AE180" i="30"/>
  <c r="AE179" i="30"/>
  <c r="AE178" i="30"/>
  <c r="AE177" i="30"/>
  <c r="AE176" i="30"/>
  <c r="AE175" i="30"/>
  <c r="AE174" i="30"/>
  <c r="AE173" i="30"/>
  <c r="AE172" i="30"/>
  <c r="AE171" i="30"/>
  <c r="AE170" i="30"/>
  <c r="AE169" i="30"/>
  <c r="AE168" i="30"/>
  <c r="AE167" i="30"/>
  <c r="AE166" i="30"/>
  <c r="AE165" i="30"/>
  <c r="AE164" i="30"/>
  <c r="AE163" i="30"/>
  <c r="AE162" i="30"/>
  <c r="AE161" i="30"/>
  <c r="AE160" i="30"/>
  <c r="AE159" i="30"/>
  <c r="AE158" i="30"/>
  <c r="AE157" i="30"/>
  <c r="AE156" i="30"/>
  <c r="AE155" i="30"/>
  <c r="AE154" i="30"/>
  <c r="AE153" i="30"/>
  <c r="AE152" i="30"/>
  <c r="AE151" i="30"/>
  <c r="AE150" i="30"/>
  <c r="AE149" i="30"/>
  <c r="AE148" i="30"/>
  <c r="AE147" i="30"/>
  <c r="AE146" i="30"/>
  <c r="AE145" i="30"/>
  <c r="AE144" i="30"/>
  <c r="AE143" i="30"/>
  <c r="AE142" i="30"/>
  <c r="AE141" i="30"/>
  <c r="AE140" i="30"/>
  <c r="AE139" i="30"/>
  <c r="AE138" i="30"/>
  <c r="AE137" i="30"/>
  <c r="AE136" i="30"/>
  <c r="AE135" i="30"/>
  <c r="AE134" i="30"/>
  <c r="AE133" i="30"/>
  <c r="AE132" i="30"/>
  <c r="AE131" i="30"/>
  <c r="AE130" i="30"/>
  <c r="AE129" i="30"/>
  <c r="AE128" i="30"/>
  <c r="AE127" i="30"/>
  <c r="AE126" i="30"/>
  <c r="AE125" i="30"/>
  <c r="AE124" i="30"/>
  <c r="AE123" i="30"/>
  <c r="AE66" i="30"/>
  <c r="AE31" i="30"/>
  <c r="AE122" i="30"/>
  <c r="AE121" i="30"/>
  <c r="AE120" i="30"/>
  <c r="AE119" i="30"/>
  <c r="AE118" i="30"/>
  <c r="AE117" i="30"/>
  <c r="AE116" i="30"/>
  <c r="AE115" i="30"/>
  <c r="AE114" i="30"/>
  <c r="AE113" i="30"/>
  <c r="AE112" i="30"/>
  <c r="AE111" i="30"/>
  <c r="AE110" i="30"/>
  <c r="AE109" i="30"/>
  <c r="AE108" i="30"/>
  <c r="AE107" i="30"/>
  <c r="AE106" i="30"/>
  <c r="AE105" i="30"/>
  <c r="AE104" i="30"/>
  <c r="AE103" i="30"/>
  <c r="AE102" i="30"/>
  <c r="AE101" i="30"/>
  <c r="AE100" i="30"/>
  <c r="AE99" i="30"/>
  <c r="AE98" i="30"/>
  <c r="AE97" i="30"/>
  <c r="AE96" i="30"/>
  <c r="AE95" i="30"/>
  <c r="AE94" i="30"/>
  <c r="AE93" i="30"/>
  <c r="AE70" i="30"/>
  <c r="AE69" i="30"/>
  <c r="AE68" i="30"/>
  <c r="AE65" i="30"/>
  <c r="AE63" i="30"/>
  <c r="AE92" i="30"/>
  <c r="AE91" i="30"/>
  <c r="AE90" i="30"/>
  <c r="AE89" i="30"/>
  <c r="AE88" i="30"/>
  <c r="AE87" i="30"/>
  <c r="AE86" i="30"/>
  <c r="AE85" i="30"/>
  <c r="AE84" i="30"/>
  <c r="AE83" i="30"/>
  <c r="AE82" i="30"/>
  <c r="AE81" i="30"/>
  <c r="AE80" i="30"/>
  <c r="AE79" i="30"/>
  <c r="AE78" i="30"/>
  <c r="AE77" i="30"/>
  <c r="AE76" i="30"/>
  <c r="AE75" i="30"/>
  <c r="AE74" i="30"/>
  <c r="AE73" i="30"/>
  <c r="AE72" i="30"/>
  <c r="AE71" i="30"/>
  <c r="AE67" i="30"/>
  <c r="AE64" i="30"/>
  <c r="AE62" i="30"/>
  <c r="AE61" i="30"/>
  <c r="AE60" i="30"/>
  <c r="AE59" i="30"/>
  <c r="AE58" i="30"/>
  <c r="AE57" i="30"/>
  <c r="AE56" i="30"/>
  <c r="AE55" i="30"/>
  <c r="AE54" i="30"/>
  <c r="AE53" i="30"/>
  <c r="AE52" i="30"/>
  <c r="AE51" i="30"/>
  <c r="AE50" i="30"/>
  <c r="AE49" i="30"/>
  <c r="AE48" i="30"/>
  <c r="AE47" i="30"/>
  <c r="AE46" i="30"/>
  <c r="AE45" i="30"/>
  <c r="AE44" i="30"/>
  <c r="AE43" i="30"/>
  <c r="AE42" i="30"/>
  <c r="AE41" i="30"/>
  <c r="AE40" i="30"/>
  <c r="AE39" i="30"/>
  <c r="AE38" i="30"/>
  <c r="AE37" i="30"/>
  <c r="AE36" i="30"/>
  <c r="AE35" i="30"/>
  <c r="AE34" i="30"/>
  <c r="AE33" i="30"/>
  <c r="AE32" i="30"/>
  <c r="AE30" i="30"/>
  <c r="AE29" i="30"/>
  <c r="AE28" i="30"/>
  <c r="AE27" i="30"/>
  <c r="AE26" i="30"/>
  <c r="AE25" i="30"/>
  <c r="AE24" i="30"/>
  <c r="AE23" i="30"/>
  <c r="AE22" i="30"/>
  <c r="AE21" i="30"/>
  <c r="AE20" i="30"/>
  <c r="AE19" i="30"/>
  <c r="AE18" i="30"/>
  <c r="AE17" i="30"/>
  <c r="AE16" i="30"/>
  <c r="AE15" i="30"/>
  <c r="AE14" i="30"/>
  <c r="AE13" i="30"/>
  <c r="AE12" i="30"/>
  <c r="AE11" i="30"/>
  <c r="AE10" i="30"/>
  <c r="AE9" i="30"/>
  <c r="AE8" i="30"/>
  <c r="AE7" i="30"/>
  <c r="AF6" i="30"/>
  <c r="AE5" i="30"/>
  <c r="AY29" i="30" l="1"/>
  <c r="AZ29" i="30"/>
  <c r="AX30" i="30"/>
  <c r="AF211" i="30"/>
  <c r="AF210" i="30"/>
  <c r="AF209" i="30"/>
  <c r="AF208" i="30"/>
  <c r="AF207" i="30"/>
  <c r="AF206" i="30"/>
  <c r="AF205" i="30"/>
  <c r="AF204" i="30"/>
  <c r="AF203" i="30"/>
  <c r="AF202" i="30"/>
  <c r="AF201" i="30"/>
  <c r="AF200" i="30"/>
  <c r="AF199" i="30"/>
  <c r="AF198" i="30"/>
  <c r="AF197" i="30"/>
  <c r="AF196" i="30"/>
  <c r="AF195" i="30"/>
  <c r="AF194" i="30"/>
  <c r="AF193" i="30"/>
  <c r="AF192" i="30"/>
  <c r="AF191" i="30"/>
  <c r="AF190" i="30"/>
  <c r="AF189" i="30"/>
  <c r="AF188" i="30"/>
  <c r="AF187" i="30"/>
  <c r="AF186" i="30"/>
  <c r="AF185" i="30"/>
  <c r="AF184" i="30"/>
  <c r="AF183" i="30"/>
  <c r="AF182" i="30"/>
  <c r="AF181" i="30"/>
  <c r="AF180" i="30"/>
  <c r="AF179" i="30"/>
  <c r="AF178" i="30"/>
  <c r="AF177" i="30"/>
  <c r="AF176" i="30"/>
  <c r="AF175" i="30"/>
  <c r="AF174" i="30"/>
  <c r="AF173" i="30"/>
  <c r="AF172" i="30"/>
  <c r="AF171" i="30"/>
  <c r="AF170" i="30"/>
  <c r="AF169" i="30"/>
  <c r="AF168" i="30"/>
  <c r="AF167" i="30"/>
  <c r="AF166" i="30"/>
  <c r="AF165" i="30"/>
  <c r="AF164" i="30"/>
  <c r="AF163" i="30"/>
  <c r="AF162" i="30"/>
  <c r="AF161" i="30"/>
  <c r="AF160" i="30"/>
  <c r="AF159" i="30"/>
  <c r="AF158" i="30"/>
  <c r="AF157" i="30"/>
  <c r="AF156" i="30"/>
  <c r="AF155" i="30"/>
  <c r="AF154" i="30"/>
  <c r="AF153" i="30"/>
  <c r="AF31" i="30"/>
  <c r="AF152" i="30"/>
  <c r="AF151" i="30"/>
  <c r="AF150" i="30"/>
  <c r="AF149" i="30"/>
  <c r="AF148" i="30"/>
  <c r="AF147" i="30"/>
  <c r="AF146" i="30"/>
  <c r="AF145" i="30"/>
  <c r="AF144" i="30"/>
  <c r="AF143" i="30"/>
  <c r="AF142" i="30"/>
  <c r="AF141" i="30"/>
  <c r="AF140" i="30"/>
  <c r="AF139" i="30"/>
  <c r="AF138" i="30"/>
  <c r="AF137" i="30"/>
  <c r="AF136" i="30"/>
  <c r="AF135" i="30"/>
  <c r="AF134" i="30"/>
  <c r="AF133" i="30"/>
  <c r="AF132" i="30"/>
  <c r="AF131" i="30"/>
  <c r="AF130" i="30"/>
  <c r="AF129" i="30"/>
  <c r="AF128" i="30"/>
  <c r="AF127" i="30"/>
  <c r="AF126" i="30"/>
  <c r="AF125" i="30"/>
  <c r="AF124" i="30"/>
  <c r="AF123" i="30"/>
  <c r="AF66" i="30"/>
  <c r="AF65" i="30"/>
  <c r="AF64" i="30"/>
  <c r="AF63" i="30"/>
  <c r="AF62" i="30"/>
  <c r="AF122" i="30"/>
  <c r="AF121" i="30"/>
  <c r="AF120" i="30"/>
  <c r="AF119" i="30"/>
  <c r="AF118" i="30"/>
  <c r="AF117" i="30"/>
  <c r="AF116" i="30"/>
  <c r="AF115" i="30"/>
  <c r="AF114" i="30"/>
  <c r="AF113" i="30"/>
  <c r="AF112" i="30"/>
  <c r="AF111" i="30"/>
  <c r="AF110" i="30"/>
  <c r="AF109" i="30"/>
  <c r="AF108" i="30"/>
  <c r="AF107" i="30"/>
  <c r="AF106" i="30"/>
  <c r="AF105" i="30"/>
  <c r="AF104" i="30"/>
  <c r="AF103" i="30"/>
  <c r="AF102" i="30"/>
  <c r="AF101" i="30"/>
  <c r="AF100" i="30"/>
  <c r="AF99" i="30"/>
  <c r="AF98" i="30"/>
  <c r="AF97" i="30"/>
  <c r="AF96" i="30"/>
  <c r="AF95" i="30"/>
  <c r="AF94" i="30"/>
  <c r="AF93" i="30"/>
  <c r="AF70" i="30"/>
  <c r="AF69" i="30"/>
  <c r="AF68" i="30"/>
  <c r="AF67" i="30"/>
  <c r="AF92" i="30"/>
  <c r="AF91" i="30"/>
  <c r="AF90" i="30"/>
  <c r="AF89" i="30"/>
  <c r="AF88" i="30"/>
  <c r="AF87" i="30"/>
  <c r="AF86" i="30"/>
  <c r="AF85" i="30"/>
  <c r="AF84" i="30"/>
  <c r="AF83" i="30"/>
  <c r="AF82" i="30"/>
  <c r="AF81" i="30"/>
  <c r="AF80" i="30"/>
  <c r="AF79" i="30"/>
  <c r="AF78" i="30"/>
  <c r="AF77" i="30"/>
  <c r="AF76" i="30"/>
  <c r="AF75" i="30"/>
  <c r="AF74" i="30"/>
  <c r="AF73" i="30"/>
  <c r="AF72" i="30"/>
  <c r="AF71" i="30"/>
  <c r="AF61" i="30"/>
  <c r="AF60" i="30"/>
  <c r="AF59" i="30"/>
  <c r="AF58" i="30"/>
  <c r="AF57" i="30"/>
  <c r="AF56" i="30"/>
  <c r="AF55" i="30"/>
  <c r="AF54" i="30"/>
  <c r="AF53" i="30"/>
  <c r="AF52" i="30"/>
  <c r="AF51" i="30"/>
  <c r="AF50" i="30"/>
  <c r="AF49" i="30"/>
  <c r="AF48" i="30"/>
  <c r="AF47" i="30"/>
  <c r="AF46" i="30"/>
  <c r="AF45" i="30"/>
  <c r="AF44" i="30"/>
  <c r="AF43" i="30"/>
  <c r="AF42" i="30"/>
  <c r="AF41" i="30"/>
  <c r="AF40" i="30"/>
  <c r="AF39" i="30"/>
  <c r="AF38" i="30"/>
  <c r="AF37" i="30"/>
  <c r="AF36" i="30"/>
  <c r="AF35" i="30"/>
  <c r="AF34" i="30"/>
  <c r="AF33" i="30"/>
  <c r="AF32" i="30"/>
  <c r="AF30" i="30"/>
  <c r="AF29" i="30"/>
  <c r="AF28" i="30"/>
  <c r="AF27" i="30"/>
  <c r="AF26" i="30"/>
  <c r="AF25" i="30"/>
  <c r="AF24" i="30"/>
  <c r="AF23" i="30"/>
  <c r="AF22" i="30"/>
  <c r="AF21" i="30"/>
  <c r="AF20" i="30"/>
  <c r="AF19" i="30"/>
  <c r="AF18" i="30"/>
  <c r="AF17" i="30"/>
  <c r="AF16" i="30"/>
  <c r="AF15" i="30"/>
  <c r="AF14" i="30"/>
  <c r="AF13" i="30"/>
  <c r="AF12" i="30"/>
  <c r="AF11" i="30"/>
  <c r="AF10" i="30"/>
  <c r="AF9" i="30"/>
  <c r="AF8" i="30"/>
  <c r="AF7" i="30"/>
  <c r="AG6" i="30"/>
  <c r="AF5" i="30"/>
  <c r="AY30" i="30" l="1"/>
  <c r="AZ30" i="30"/>
  <c r="AX31" i="30"/>
  <c r="AG211" i="30"/>
  <c r="AG210" i="30"/>
  <c r="AG209" i="30"/>
  <c r="AG208" i="30"/>
  <c r="AG207" i="30"/>
  <c r="AG206" i="30"/>
  <c r="AG205" i="30"/>
  <c r="AG204" i="30"/>
  <c r="AG203" i="30"/>
  <c r="AG202" i="30"/>
  <c r="AG201" i="30"/>
  <c r="AG200" i="30"/>
  <c r="AG199" i="30"/>
  <c r="AG198" i="30"/>
  <c r="AG197" i="30"/>
  <c r="AG196" i="30"/>
  <c r="AG195" i="30"/>
  <c r="AG194" i="30"/>
  <c r="AG193" i="30"/>
  <c r="AG192" i="30"/>
  <c r="AG191" i="30"/>
  <c r="AG190" i="30"/>
  <c r="AG189" i="30"/>
  <c r="AG188" i="30"/>
  <c r="AG187" i="30"/>
  <c r="AG186" i="30"/>
  <c r="AG185" i="30"/>
  <c r="AG184" i="30"/>
  <c r="AG183" i="30"/>
  <c r="AG182" i="30"/>
  <c r="AG181" i="30"/>
  <c r="AG180" i="30"/>
  <c r="AG179" i="30"/>
  <c r="AG178" i="30"/>
  <c r="AG177" i="30"/>
  <c r="AG176" i="30"/>
  <c r="AG175" i="30"/>
  <c r="AG174" i="30"/>
  <c r="AG173" i="30"/>
  <c r="AG172" i="30"/>
  <c r="AG171" i="30"/>
  <c r="AG170" i="30"/>
  <c r="AG169" i="30"/>
  <c r="AG168" i="30"/>
  <c r="AG167" i="30"/>
  <c r="AG166" i="30"/>
  <c r="AG165" i="30"/>
  <c r="AG164" i="30"/>
  <c r="AG163" i="30"/>
  <c r="AG162" i="30"/>
  <c r="AG161" i="30"/>
  <c r="AG160" i="30"/>
  <c r="AG159" i="30"/>
  <c r="AG158" i="30"/>
  <c r="AG157" i="30"/>
  <c r="AG156" i="30"/>
  <c r="AG155" i="30"/>
  <c r="AG154" i="30"/>
  <c r="AG153" i="30"/>
  <c r="AG64" i="30"/>
  <c r="AG63" i="30"/>
  <c r="AG62" i="30"/>
  <c r="AG152" i="30"/>
  <c r="AG151" i="30"/>
  <c r="AG150" i="30"/>
  <c r="AG149" i="30"/>
  <c r="AG148" i="30"/>
  <c r="AG147" i="30"/>
  <c r="AG146" i="30"/>
  <c r="AG145" i="30"/>
  <c r="AG144" i="30"/>
  <c r="AG143" i="30"/>
  <c r="AG142" i="30"/>
  <c r="AG141" i="30"/>
  <c r="AG140" i="30"/>
  <c r="AG139" i="30"/>
  <c r="AG138" i="30"/>
  <c r="AG137" i="30"/>
  <c r="AG136" i="30"/>
  <c r="AG135" i="30"/>
  <c r="AG134" i="30"/>
  <c r="AG133" i="30"/>
  <c r="AG132" i="30"/>
  <c r="AG131" i="30"/>
  <c r="AG130" i="30"/>
  <c r="AG129" i="30"/>
  <c r="AG128" i="30"/>
  <c r="AG127" i="30"/>
  <c r="AG126" i="30"/>
  <c r="AG125" i="30"/>
  <c r="AG124" i="30"/>
  <c r="AG123" i="30"/>
  <c r="AG66" i="30"/>
  <c r="AG122" i="30"/>
  <c r="AG121" i="30"/>
  <c r="AG120" i="30"/>
  <c r="AG119" i="30"/>
  <c r="AG118" i="30"/>
  <c r="AG117" i="30"/>
  <c r="AG116" i="30"/>
  <c r="AG115" i="30"/>
  <c r="AG114" i="30"/>
  <c r="AG113" i="30"/>
  <c r="AG112" i="30"/>
  <c r="AG111" i="30"/>
  <c r="AG110" i="30"/>
  <c r="AG109" i="30"/>
  <c r="AG108" i="30"/>
  <c r="AG107" i="30"/>
  <c r="AG106" i="30"/>
  <c r="AG105" i="30"/>
  <c r="AG104" i="30"/>
  <c r="AG103" i="30"/>
  <c r="AG102" i="30"/>
  <c r="AG101" i="30"/>
  <c r="AG100" i="30"/>
  <c r="AG99" i="30"/>
  <c r="AG98" i="30"/>
  <c r="AG97" i="30"/>
  <c r="AG96" i="30"/>
  <c r="AG95" i="30"/>
  <c r="AG94" i="30"/>
  <c r="AG93" i="30"/>
  <c r="AG70" i="30"/>
  <c r="AG69" i="30"/>
  <c r="AG68" i="30"/>
  <c r="AG65" i="30"/>
  <c r="AG31" i="30"/>
  <c r="AG92" i="30"/>
  <c r="AG91" i="30"/>
  <c r="AG90" i="30"/>
  <c r="AG89" i="30"/>
  <c r="AG88" i="30"/>
  <c r="AG87" i="30"/>
  <c r="AG86" i="30"/>
  <c r="AG85" i="30"/>
  <c r="AG84" i="30"/>
  <c r="AG83" i="30"/>
  <c r="AG82" i="30"/>
  <c r="AG81" i="30"/>
  <c r="AG80" i="30"/>
  <c r="AG79" i="30"/>
  <c r="AG78" i="30"/>
  <c r="AG77" i="30"/>
  <c r="AG76" i="30"/>
  <c r="AG75" i="30"/>
  <c r="AG74" i="30"/>
  <c r="AG73" i="30"/>
  <c r="AG72" i="30"/>
  <c r="AG71" i="30"/>
  <c r="AG67" i="30"/>
  <c r="AG61" i="30"/>
  <c r="AG60" i="30"/>
  <c r="AG59" i="30"/>
  <c r="AG58" i="30"/>
  <c r="AG57" i="30"/>
  <c r="AG56" i="30"/>
  <c r="AG55" i="30"/>
  <c r="AG54" i="30"/>
  <c r="AG53" i="30"/>
  <c r="AG52" i="30"/>
  <c r="AG51" i="30"/>
  <c r="AG50" i="30"/>
  <c r="AG49" i="30"/>
  <c r="AG48" i="30"/>
  <c r="AG47" i="30"/>
  <c r="AG46" i="30"/>
  <c r="AG45" i="30"/>
  <c r="AG44" i="30"/>
  <c r="AG43" i="30"/>
  <c r="AG42" i="30"/>
  <c r="AG41" i="30"/>
  <c r="AG40" i="30"/>
  <c r="AG39" i="30"/>
  <c r="AG38" i="30"/>
  <c r="AG37" i="30"/>
  <c r="AG36" i="30"/>
  <c r="AG35" i="30"/>
  <c r="AG34" i="30"/>
  <c r="AG33" i="30"/>
  <c r="AG32" i="30"/>
  <c r="AG30" i="30"/>
  <c r="AG29" i="30"/>
  <c r="AG28" i="30"/>
  <c r="AG27" i="30"/>
  <c r="AG26" i="30"/>
  <c r="AG25" i="30"/>
  <c r="AG24" i="30"/>
  <c r="AG23" i="30"/>
  <c r="AG22" i="30"/>
  <c r="AG21" i="30"/>
  <c r="AG20" i="30"/>
  <c r="AG19" i="30"/>
  <c r="AG18" i="30"/>
  <c r="AG17" i="30"/>
  <c r="AG16" i="30"/>
  <c r="AG15" i="30"/>
  <c r="AG14" i="30"/>
  <c r="AG13" i="30"/>
  <c r="AG12" i="30"/>
  <c r="AG11" i="30"/>
  <c r="AG10" i="30"/>
  <c r="AG9" i="30"/>
  <c r="AG8" i="30"/>
  <c r="AG7" i="30"/>
  <c r="AH6" i="30"/>
  <c r="AG5" i="30"/>
  <c r="AY31" i="30" l="1"/>
  <c r="AZ31" i="30"/>
  <c r="AX32" i="30"/>
  <c r="AH211" i="30"/>
  <c r="AH210" i="30"/>
  <c r="AH209" i="30"/>
  <c r="AH208" i="30"/>
  <c r="AH207" i="30"/>
  <c r="AH206" i="30"/>
  <c r="AH205" i="30"/>
  <c r="AH204" i="30"/>
  <c r="AH203" i="30"/>
  <c r="AH202" i="30"/>
  <c r="AH201" i="30"/>
  <c r="AH200" i="30"/>
  <c r="AH199" i="30"/>
  <c r="AH198" i="30"/>
  <c r="AH197" i="30"/>
  <c r="AH196" i="30"/>
  <c r="AH195" i="30"/>
  <c r="AH194" i="30"/>
  <c r="AH193" i="30"/>
  <c r="AH192" i="30"/>
  <c r="AH191" i="30"/>
  <c r="AH190" i="30"/>
  <c r="AH189" i="30"/>
  <c r="AH188" i="30"/>
  <c r="AH187" i="30"/>
  <c r="AH186" i="30"/>
  <c r="AH185" i="30"/>
  <c r="AH184" i="30"/>
  <c r="AH183" i="30"/>
  <c r="AH182" i="30"/>
  <c r="AH181" i="30"/>
  <c r="AH180" i="30"/>
  <c r="AH179" i="30"/>
  <c r="AH178" i="30"/>
  <c r="AH177" i="30"/>
  <c r="AH176" i="30"/>
  <c r="AH175" i="30"/>
  <c r="AH174" i="30"/>
  <c r="AH173" i="30"/>
  <c r="AH172" i="30"/>
  <c r="AH171" i="30"/>
  <c r="AH170" i="30"/>
  <c r="AH169" i="30"/>
  <c r="AH168" i="30"/>
  <c r="AH167" i="30"/>
  <c r="AH166" i="30"/>
  <c r="AH165" i="30"/>
  <c r="AH164" i="30"/>
  <c r="AH163" i="30"/>
  <c r="AH162" i="30"/>
  <c r="AH161" i="30"/>
  <c r="AH160" i="30"/>
  <c r="AH159" i="30"/>
  <c r="AH158" i="30"/>
  <c r="AH157" i="30"/>
  <c r="AH156" i="30"/>
  <c r="AH155" i="30"/>
  <c r="AH154" i="30"/>
  <c r="AH153" i="30"/>
  <c r="AH31" i="30"/>
  <c r="AH152" i="30"/>
  <c r="AH151" i="30"/>
  <c r="AH150" i="30"/>
  <c r="AH149" i="30"/>
  <c r="AH148" i="30"/>
  <c r="AH147" i="30"/>
  <c r="AH146" i="30"/>
  <c r="AH145" i="30"/>
  <c r="AH144" i="30"/>
  <c r="AH143" i="30"/>
  <c r="AH142" i="30"/>
  <c r="AH141" i="30"/>
  <c r="AH140" i="30"/>
  <c r="AH139" i="30"/>
  <c r="AH138" i="30"/>
  <c r="AH137" i="30"/>
  <c r="AH136" i="30"/>
  <c r="AH135" i="30"/>
  <c r="AH134" i="30"/>
  <c r="AH133" i="30"/>
  <c r="AH132" i="30"/>
  <c r="AH131" i="30"/>
  <c r="AH130" i="30"/>
  <c r="AH129" i="30"/>
  <c r="AH128" i="30"/>
  <c r="AH127" i="30"/>
  <c r="AH126" i="30"/>
  <c r="AH125" i="30"/>
  <c r="AH124" i="30"/>
  <c r="AH123" i="30"/>
  <c r="AH66" i="30"/>
  <c r="AH65" i="30"/>
  <c r="AH64" i="30"/>
  <c r="AH122" i="30"/>
  <c r="AH121" i="30"/>
  <c r="AH120" i="30"/>
  <c r="AH119" i="30"/>
  <c r="AH118" i="30"/>
  <c r="AH117" i="30"/>
  <c r="AH116" i="30"/>
  <c r="AH115" i="30"/>
  <c r="AH114" i="30"/>
  <c r="AH113" i="30"/>
  <c r="AH112" i="30"/>
  <c r="AH111" i="30"/>
  <c r="AH110" i="30"/>
  <c r="AH109" i="30"/>
  <c r="AH108" i="30"/>
  <c r="AH107" i="30"/>
  <c r="AH106" i="30"/>
  <c r="AH105" i="30"/>
  <c r="AH104" i="30"/>
  <c r="AH103" i="30"/>
  <c r="AH102" i="30"/>
  <c r="AH101" i="30"/>
  <c r="AH100" i="30"/>
  <c r="AH99" i="30"/>
  <c r="AH98" i="30"/>
  <c r="AH97" i="30"/>
  <c r="AH96" i="30"/>
  <c r="AH95" i="30"/>
  <c r="AH94" i="30"/>
  <c r="AH93" i="30"/>
  <c r="AH70" i="30"/>
  <c r="AH69" i="30"/>
  <c r="AH68" i="30"/>
  <c r="AH67" i="30"/>
  <c r="AH63" i="30"/>
  <c r="AH62" i="30"/>
  <c r="AH92" i="30"/>
  <c r="AH91" i="30"/>
  <c r="AH90" i="30"/>
  <c r="AH89" i="30"/>
  <c r="AH88" i="30"/>
  <c r="AH87" i="30"/>
  <c r="AH86" i="30"/>
  <c r="AH85" i="30"/>
  <c r="AH84" i="30"/>
  <c r="AH83" i="30"/>
  <c r="AH82" i="30"/>
  <c r="AH81" i="30"/>
  <c r="AH80" i="30"/>
  <c r="AH79" i="30"/>
  <c r="AH78" i="30"/>
  <c r="AH77" i="30"/>
  <c r="AH76" i="30"/>
  <c r="AH75" i="30"/>
  <c r="AH74" i="30"/>
  <c r="AH73" i="30"/>
  <c r="AH72" i="30"/>
  <c r="AH71" i="30"/>
  <c r="AH61" i="30"/>
  <c r="AH60" i="30"/>
  <c r="AH59" i="30"/>
  <c r="AH58" i="30"/>
  <c r="AH57" i="30"/>
  <c r="AH56" i="30"/>
  <c r="AH55" i="30"/>
  <c r="AH54" i="30"/>
  <c r="AH53" i="30"/>
  <c r="AH52" i="30"/>
  <c r="AH51" i="30"/>
  <c r="AH50" i="30"/>
  <c r="AH49" i="30"/>
  <c r="AH48" i="30"/>
  <c r="AH47" i="30"/>
  <c r="AH46" i="30"/>
  <c r="AH45" i="30"/>
  <c r="AH44" i="30"/>
  <c r="AH43" i="30"/>
  <c r="AH42" i="30"/>
  <c r="AH41" i="30"/>
  <c r="AH40" i="30"/>
  <c r="AH39" i="30"/>
  <c r="AH38" i="30"/>
  <c r="AH37" i="30"/>
  <c r="AH36" i="30"/>
  <c r="AH35" i="30"/>
  <c r="AH34" i="30"/>
  <c r="AH33" i="30"/>
  <c r="AH32" i="30"/>
  <c r="AH30" i="30"/>
  <c r="AH29" i="30"/>
  <c r="AH28" i="30"/>
  <c r="AH27" i="30"/>
  <c r="AH26" i="30"/>
  <c r="AH25" i="30"/>
  <c r="AH24" i="30"/>
  <c r="AH23" i="30"/>
  <c r="AH22" i="30"/>
  <c r="AH21" i="30"/>
  <c r="AH20" i="30"/>
  <c r="AH19" i="30"/>
  <c r="AH18" i="30"/>
  <c r="AH17" i="30"/>
  <c r="AH16" i="30"/>
  <c r="AH15" i="30"/>
  <c r="AH14" i="30"/>
  <c r="AH13" i="30"/>
  <c r="AH12" i="30"/>
  <c r="AH11" i="30"/>
  <c r="AH10" i="30"/>
  <c r="AH9" i="30"/>
  <c r="AH8" i="30"/>
  <c r="AH7" i="30"/>
  <c r="AH5" i="30"/>
  <c r="AK144" i="30" l="1"/>
  <c r="AJ144" i="30"/>
  <c r="AJ143" i="30"/>
  <c r="AK143" i="30"/>
  <c r="AJ142" i="30"/>
  <c r="AK142" i="30"/>
  <c r="AK141" i="30"/>
  <c r="AJ141" i="30"/>
  <c r="AJ140" i="30"/>
  <c r="AK140" i="30"/>
  <c r="AK139" i="30"/>
  <c r="AJ139" i="30"/>
  <c r="AK138" i="30"/>
  <c r="AJ138" i="30"/>
  <c r="AJ137" i="30"/>
  <c r="AK137" i="30"/>
  <c r="AK136" i="30"/>
  <c r="AJ136" i="30"/>
  <c r="AJ135" i="30"/>
  <c r="AK135" i="30"/>
  <c r="AJ134" i="30"/>
  <c r="AK134" i="30"/>
  <c r="AK129" i="30"/>
  <c r="AJ129" i="30"/>
  <c r="AJ127" i="30"/>
  <c r="AK127" i="30"/>
  <c r="AK126" i="30"/>
  <c r="AJ126" i="30"/>
  <c r="AK125" i="30"/>
  <c r="AJ125" i="30"/>
  <c r="AJ117" i="30"/>
  <c r="AK117" i="30"/>
  <c r="AK115" i="30"/>
  <c r="AJ115" i="30"/>
  <c r="AK110" i="30"/>
  <c r="AJ110" i="30"/>
  <c r="AJ109" i="30"/>
  <c r="AK109" i="30"/>
  <c r="AK108" i="30"/>
  <c r="AJ108" i="30"/>
  <c r="AJ107" i="30"/>
  <c r="AK107" i="30"/>
  <c r="AJ181" i="30"/>
  <c r="AK181" i="30"/>
  <c r="AK180" i="30"/>
  <c r="AJ180" i="30"/>
  <c r="AJ114" i="30"/>
  <c r="AK114" i="30"/>
  <c r="AJ113" i="30"/>
  <c r="AK113" i="30"/>
  <c r="AK111" i="30"/>
  <c r="AJ111" i="30"/>
  <c r="AK116" i="30"/>
  <c r="AJ116" i="30"/>
  <c r="AK160" i="30"/>
  <c r="AJ160" i="30"/>
  <c r="AK159" i="30"/>
  <c r="AJ159" i="30"/>
  <c r="AK158" i="30"/>
  <c r="AJ158" i="30"/>
  <c r="AJ157" i="30"/>
  <c r="AK157" i="30"/>
  <c r="AK156" i="30"/>
  <c r="AJ156" i="30"/>
  <c r="AK155" i="30"/>
  <c r="AJ155" i="30"/>
  <c r="AJ154" i="30"/>
  <c r="AK154" i="30"/>
  <c r="AK147" i="30"/>
  <c r="AJ147" i="30"/>
  <c r="AJ146" i="30"/>
  <c r="AK146" i="30"/>
  <c r="AJ119" i="30"/>
  <c r="AK119" i="30"/>
  <c r="AK211" i="30"/>
  <c r="AJ211" i="30"/>
  <c r="AK210" i="30"/>
  <c r="AJ210" i="30"/>
  <c r="AJ209" i="30"/>
  <c r="AK209" i="30"/>
  <c r="AJ208" i="30"/>
  <c r="AK208" i="30"/>
  <c r="AK207" i="30"/>
  <c r="AJ207" i="30"/>
  <c r="AK206" i="30"/>
  <c r="AJ206" i="30"/>
  <c r="AJ205" i="30"/>
  <c r="AK205" i="30"/>
  <c r="AK204" i="30"/>
  <c r="AJ204" i="30"/>
  <c r="AJ203" i="30"/>
  <c r="AK203" i="30"/>
  <c r="AJ202" i="30"/>
  <c r="AK202" i="30"/>
  <c r="AK201" i="30"/>
  <c r="AJ201" i="30"/>
  <c r="AK199" i="30"/>
  <c r="AJ199" i="30"/>
  <c r="AJ161" i="30"/>
  <c r="AK161" i="30"/>
  <c r="AJ124" i="30"/>
  <c r="AK124" i="30"/>
  <c r="AK123" i="30"/>
  <c r="AJ123" i="30"/>
  <c r="AY32" i="30"/>
  <c r="AZ32" i="30"/>
  <c r="AJ179" i="30"/>
  <c r="AK179" i="30"/>
  <c r="AJ178" i="30"/>
  <c r="AK178" i="30"/>
  <c r="AJ177" i="30"/>
  <c r="AK177" i="30"/>
  <c r="AK176" i="30"/>
  <c r="AJ176" i="30"/>
  <c r="AJ175" i="30"/>
  <c r="AK175" i="30"/>
  <c r="AK174" i="30"/>
  <c r="AJ174" i="30"/>
  <c r="AJ173" i="30"/>
  <c r="AK173" i="30"/>
  <c r="AJ172" i="30"/>
  <c r="AK172" i="30"/>
  <c r="AJ171" i="30"/>
  <c r="AK171" i="30"/>
  <c r="AK170" i="30"/>
  <c r="AJ170" i="30"/>
  <c r="AJ169" i="30"/>
  <c r="AK169" i="30"/>
  <c r="AJ168" i="30"/>
  <c r="AK168" i="30"/>
  <c r="AJ167" i="30"/>
  <c r="AK167" i="30"/>
  <c r="AJ166" i="30"/>
  <c r="AK166" i="30"/>
  <c r="AJ165" i="30"/>
  <c r="AK165" i="30"/>
  <c r="AJ164" i="30"/>
  <c r="AK164" i="30"/>
  <c r="AJ163" i="30"/>
  <c r="AK163" i="30"/>
  <c r="AJ162" i="30"/>
  <c r="AK162" i="30"/>
  <c r="AJ153" i="30"/>
  <c r="AK153" i="30"/>
  <c r="AJ152" i="30"/>
  <c r="AK152" i="30"/>
  <c r="AK151" i="30"/>
  <c r="AJ151" i="30"/>
  <c r="AJ150" i="30"/>
  <c r="AK150" i="30"/>
  <c r="AJ149" i="30"/>
  <c r="AK149" i="30"/>
  <c r="AJ148" i="30"/>
  <c r="AK148" i="30"/>
  <c r="AJ145" i="30"/>
  <c r="AK145" i="30"/>
  <c r="AK133" i="30"/>
  <c r="AJ133" i="30"/>
  <c r="AJ132" i="30"/>
  <c r="AK132" i="30"/>
  <c r="AJ131" i="30"/>
  <c r="AK131" i="30"/>
  <c r="AJ130" i="30"/>
  <c r="AK130" i="30"/>
  <c r="AJ128" i="30"/>
  <c r="AK128" i="30"/>
  <c r="AJ122" i="30"/>
  <c r="AK122" i="30"/>
  <c r="AJ121" i="30"/>
  <c r="AK121" i="30"/>
  <c r="AK120" i="30"/>
  <c r="AJ120" i="30"/>
  <c r="AJ118" i="30"/>
  <c r="AK118" i="30"/>
  <c r="AJ200" i="30"/>
  <c r="AK200" i="30"/>
  <c r="AJ198" i="30"/>
  <c r="AK198" i="30"/>
  <c r="AK197" i="30"/>
  <c r="AJ197" i="30"/>
  <c r="AK196" i="30"/>
  <c r="AJ196" i="30"/>
  <c r="AK195" i="30"/>
  <c r="AJ195" i="30"/>
  <c r="AJ194" i="30"/>
  <c r="AK194" i="30"/>
  <c r="AK193" i="30"/>
  <c r="AJ193" i="30"/>
  <c r="AJ192" i="30"/>
  <c r="AK192" i="30"/>
  <c r="AJ191" i="30"/>
  <c r="AK191" i="30"/>
  <c r="AK190" i="30"/>
  <c r="AJ190" i="30"/>
  <c r="AK189" i="30"/>
  <c r="AJ189" i="30"/>
  <c r="AK188" i="30"/>
  <c r="AJ188" i="30"/>
  <c r="AJ187" i="30"/>
  <c r="AK187" i="30"/>
  <c r="AK186" i="30"/>
  <c r="AJ186" i="30"/>
  <c r="AJ185" i="30"/>
  <c r="AK185" i="30"/>
  <c r="AK184" i="30"/>
  <c r="AJ184" i="30"/>
  <c r="AK183" i="30"/>
  <c r="AJ183" i="30"/>
  <c r="AJ182" i="30"/>
  <c r="AK182" i="30"/>
  <c r="AJ112" i="30"/>
  <c r="AK112" i="30"/>
  <c r="AJ105" i="30"/>
  <c r="AK105" i="30"/>
  <c r="AK104" i="30"/>
  <c r="AJ104" i="30"/>
  <c r="AK103" i="30"/>
  <c r="AJ103" i="30"/>
  <c r="AK102" i="30"/>
  <c r="AJ102" i="30"/>
  <c r="AJ101" i="30"/>
  <c r="AK101" i="30"/>
  <c r="AK100" i="30"/>
  <c r="AJ100" i="30"/>
  <c r="AJ99" i="30"/>
  <c r="AK99" i="30"/>
  <c r="AJ98" i="30"/>
  <c r="AK98" i="30"/>
  <c r="AJ97" i="30"/>
  <c r="AK97" i="30"/>
  <c r="AK96" i="30"/>
  <c r="AJ96" i="30"/>
  <c r="AK95" i="30"/>
  <c r="AJ95" i="30"/>
  <c r="AK94" i="30"/>
  <c r="AJ94" i="30"/>
  <c r="AK93" i="30"/>
  <c r="AJ93" i="30"/>
  <c r="AJ92" i="30"/>
  <c r="AK92" i="30"/>
  <c r="AK91" i="30"/>
  <c r="AJ91" i="30"/>
  <c r="AK90" i="30"/>
  <c r="AJ90" i="30"/>
  <c r="AK89" i="30"/>
  <c r="AJ89" i="30"/>
  <c r="AJ88" i="30"/>
  <c r="AK88" i="30"/>
  <c r="AJ71" i="30"/>
  <c r="AK71" i="30"/>
  <c r="AK8" i="30"/>
  <c r="AJ8" i="30"/>
  <c r="AJ6" i="30"/>
  <c r="AK6" i="30"/>
  <c r="AK87" i="30"/>
  <c r="AJ87" i="30"/>
  <c r="AJ86" i="30"/>
  <c r="AK86" i="30"/>
  <c r="AJ85" i="30"/>
  <c r="AK85" i="30"/>
  <c r="AK84" i="30"/>
  <c r="AJ84" i="30"/>
  <c r="AK83" i="30"/>
  <c r="AJ83" i="30"/>
  <c r="AJ82" i="30"/>
  <c r="AK82" i="30"/>
  <c r="AJ81" i="30"/>
  <c r="AK81" i="30"/>
  <c r="AJ80" i="30"/>
  <c r="AK80" i="30"/>
  <c r="AK79" i="30"/>
  <c r="AJ79" i="30"/>
  <c r="AK78" i="30"/>
  <c r="AJ78" i="30"/>
  <c r="AJ77" i="30"/>
  <c r="AK77" i="30"/>
  <c r="AK76" i="30"/>
  <c r="AJ76" i="30"/>
  <c r="AK75" i="30"/>
  <c r="AJ75" i="30"/>
  <c r="AJ74" i="30"/>
  <c r="AK74" i="30"/>
  <c r="AJ73" i="30"/>
  <c r="AK73" i="30"/>
  <c r="AK72" i="30"/>
  <c r="AJ72" i="30"/>
  <c r="AJ38" i="30"/>
  <c r="AK38" i="30"/>
  <c r="AJ37" i="30"/>
  <c r="AK37" i="30"/>
  <c r="AJ70" i="30"/>
  <c r="AK70" i="30"/>
  <c r="AJ69" i="30"/>
  <c r="AK69" i="30"/>
  <c r="AJ68" i="30"/>
  <c r="AK68" i="30"/>
  <c r="AJ67" i="30"/>
  <c r="AK67" i="30"/>
  <c r="AJ66" i="30"/>
  <c r="AK66" i="30"/>
  <c r="AK65" i="30"/>
  <c r="AJ65" i="30"/>
  <c r="AK64" i="30"/>
  <c r="AJ64" i="30"/>
  <c r="AK63" i="30"/>
  <c r="AJ63" i="30"/>
  <c r="AJ62" i="30"/>
  <c r="AK62" i="30"/>
  <c r="AJ61" i="30"/>
  <c r="AK61" i="30"/>
  <c r="AK60" i="30"/>
  <c r="AJ60" i="30"/>
  <c r="AJ59" i="30"/>
  <c r="AK59" i="30"/>
  <c r="AK58" i="30"/>
  <c r="AJ58" i="30"/>
  <c r="AK57" i="30"/>
  <c r="AJ57" i="30"/>
  <c r="AK56" i="30"/>
  <c r="AJ56" i="30"/>
  <c r="AK55" i="30"/>
  <c r="AJ55" i="30"/>
  <c r="AK54" i="30"/>
  <c r="AJ54" i="30"/>
  <c r="AJ7" i="30"/>
  <c r="E20" i="34" s="1"/>
  <c r="E22" i="34" s="1"/>
  <c r="AK7" i="30"/>
  <c r="E21" i="34" s="1"/>
  <c r="B41" i="34" s="1"/>
  <c r="AK53" i="30"/>
  <c r="AJ53" i="30"/>
  <c r="AK52" i="30"/>
  <c r="AJ52" i="30"/>
  <c r="AK51" i="30"/>
  <c r="AJ51" i="30"/>
  <c r="AK50" i="30"/>
  <c r="AJ50" i="30"/>
  <c r="AK49" i="30"/>
  <c r="AJ49" i="30"/>
  <c r="AK48" i="30"/>
  <c r="AJ48" i="30"/>
  <c r="AJ47" i="30"/>
  <c r="AK47" i="30"/>
  <c r="AJ46" i="30"/>
  <c r="AK46" i="30"/>
  <c r="AK45" i="30"/>
  <c r="AJ45" i="30"/>
  <c r="AK44" i="30"/>
  <c r="AJ44" i="30"/>
  <c r="AK43" i="30"/>
  <c r="AJ43" i="30"/>
  <c r="AK42" i="30"/>
  <c r="AJ42" i="30"/>
  <c r="AK41" i="30"/>
  <c r="AJ41" i="30"/>
  <c r="AJ40" i="30"/>
  <c r="AK40" i="30"/>
  <c r="AJ39" i="30"/>
  <c r="AK39" i="30"/>
  <c r="AK36" i="30"/>
  <c r="AJ36" i="30"/>
  <c r="AJ35" i="30"/>
  <c r="AK35" i="30"/>
  <c r="AJ34" i="30"/>
  <c r="AK34" i="30"/>
  <c r="AK33" i="30"/>
  <c r="AJ33" i="30"/>
  <c r="AJ32" i="30"/>
  <c r="AK32" i="30"/>
  <c r="AJ31" i="30"/>
  <c r="AK31" i="30"/>
  <c r="AJ30" i="30"/>
  <c r="AK30" i="30"/>
  <c r="AJ29" i="30"/>
  <c r="AK29" i="30"/>
  <c r="AJ28" i="30"/>
  <c r="AK28" i="30"/>
  <c r="AK27" i="30"/>
  <c r="AJ27" i="30"/>
  <c r="AK26" i="30"/>
  <c r="AJ26" i="30"/>
  <c r="AK25" i="30"/>
  <c r="AJ25" i="30"/>
  <c r="AK24" i="30"/>
  <c r="AJ24" i="30"/>
  <c r="AK23" i="30"/>
  <c r="AJ23" i="30"/>
  <c r="AJ22" i="30"/>
  <c r="AK22" i="30"/>
  <c r="AJ21" i="30"/>
  <c r="AK21" i="30"/>
  <c r="AK20" i="30"/>
  <c r="AJ20" i="30"/>
  <c r="AK19" i="30"/>
  <c r="AJ19" i="30"/>
  <c r="AJ18" i="30"/>
  <c r="AK18" i="30"/>
  <c r="AJ17" i="30"/>
  <c r="AK17" i="30"/>
  <c r="AJ16" i="30"/>
  <c r="AK16" i="30"/>
  <c r="AK15" i="30"/>
  <c r="AJ15" i="30"/>
  <c r="AK14" i="30"/>
  <c r="AJ14" i="30"/>
  <c r="AK13" i="30"/>
  <c r="AJ13" i="30"/>
  <c r="AK12" i="30"/>
  <c r="AJ12" i="30"/>
  <c r="AK11" i="30"/>
  <c r="AJ11" i="30"/>
  <c r="AK10" i="30"/>
  <c r="AJ10" i="30"/>
  <c r="AK9" i="30"/>
  <c r="AJ9" i="30"/>
  <c r="AJ106" i="30"/>
  <c r="AK106" i="30"/>
  <c r="B42" i="34" l="1"/>
  <c r="B40"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Tushar kumar</author>
  </authors>
  <commentList>
    <comment ref="Q2" authorId="0" shapeId="0" xr:uid="{B36F9CDF-24BC-4EB5-812F-BFFF9D45398D}">
      <text>
        <r>
          <rPr>
            <b/>
            <sz val="9"/>
            <color indexed="81"/>
            <rFont val="Tahoma"/>
            <family val="2"/>
          </rPr>
          <t>Tushar kumar:</t>
        </r>
        <r>
          <rPr>
            <sz val="9"/>
            <color indexed="81"/>
            <rFont val="Tahoma"/>
            <family val="2"/>
          </rPr>
          <t xml:space="preserve">
Estimated cost assumption: 70% of sales amount; implied profit is 30% of sales amount.</t>
        </r>
      </text>
    </comment>
    <comment ref="R2" authorId="0" shapeId="0" xr:uid="{7959D478-FEBE-4855-8D25-D6BA42111C8A}">
      <text>
        <r>
          <rPr>
            <b/>
            <sz val="9"/>
            <color indexed="81"/>
            <rFont val="Tahoma"/>
            <family val="2"/>
          </rPr>
          <t>Tushar kumar:</t>
        </r>
        <r>
          <rPr>
            <sz val="9"/>
            <color indexed="81"/>
            <rFont val="Tahoma"/>
            <family val="2"/>
          </rPr>
          <t xml:space="preserve">
Profit is calculated as amount less cost.</t>
        </r>
      </text>
    </comment>
    <comment ref="Q3" authorId="0" shapeId="0" xr:uid="{0F80B21F-0109-480E-AD42-B97A01E07581}">
      <text>
        <r>
          <rPr>
            <b/>
            <sz val="9"/>
            <color indexed="81"/>
            <rFont val="Tahoma"/>
            <family val="2"/>
          </rPr>
          <t>Tushar kumar:</t>
        </r>
        <r>
          <rPr>
            <sz val="9"/>
            <color indexed="81"/>
            <rFont val="Tahoma"/>
            <family val="2"/>
          </rPr>
          <t xml:space="preserve">
Estimated cost assumption: 70% of sales amount; implied profit is 30% of sales amount.</t>
        </r>
      </text>
    </comment>
    <comment ref="R3" authorId="0" shapeId="0" xr:uid="{91CA3D77-BFC6-43AC-B067-3E1361829340}">
      <text>
        <r>
          <rPr>
            <b/>
            <sz val="9"/>
            <color indexed="81"/>
            <rFont val="Tahoma"/>
            <family val="2"/>
          </rPr>
          <t>Tushar kumar:</t>
        </r>
        <r>
          <rPr>
            <sz val="9"/>
            <color indexed="81"/>
            <rFont val="Tahoma"/>
            <family val="2"/>
          </rPr>
          <t xml:space="preserve">
Profit is calculated as amount less cost.</t>
        </r>
      </text>
    </comment>
    <comment ref="Q4" authorId="0" shapeId="0" xr:uid="{25D21119-51FB-4382-AB5F-BA1915232D8E}">
      <text>
        <r>
          <rPr>
            <b/>
            <sz val="9"/>
            <color indexed="81"/>
            <rFont val="Tahoma"/>
            <family val="2"/>
          </rPr>
          <t>Tushar kumar:</t>
        </r>
        <r>
          <rPr>
            <sz val="9"/>
            <color indexed="81"/>
            <rFont val="Tahoma"/>
            <family val="2"/>
          </rPr>
          <t xml:space="preserve">
Estimated cost assumption: 70% of sales amount; implied profit is 30% of sales amount.</t>
        </r>
      </text>
    </comment>
    <comment ref="R4" authorId="0" shapeId="0" xr:uid="{52E51B17-50F5-4C3C-B7D1-E7EBF3E66379}">
      <text>
        <r>
          <rPr>
            <b/>
            <sz val="9"/>
            <color indexed="81"/>
            <rFont val="Tahoma"/>
            <family val="2"/>
          </rPr>
          <t>Tushar kumar:</t>
        </r>
        <r>
          <rPr>
            <sz val="9"/>
            <color indexed="81"/>
            <rFont val="Tahoma"/>
            <family val="2"/>
          </rPr>
          <t xml:space="preserve">
Profit is calculated as amount less cost.</t>
        </r>
      </text>
    </comment>
    <comment ref="Q5" authorId="0" shapeId="0" xr:uid="{B303D962-136B-41EB-9B47-345237E89F92}">
      <text>
        <r>
          <rPr>
            <b/>
            <sz val="9"/>
            <color indexed="81"/>
            <rFont val="Tahoma"/>
            <family val="2"/>
          </rPr>
          <t>Tushar kumar:</t>
        </r>
        <r>
          <rPr>
            <sz val="9"/>
            <color indexed="81"/>
            <rFont val="Tahoma"/>
            <family val="2"/>
          </rPr>
          <t xml:space="preserve">
Estimated cost assumption: 70% of sales amount; implied profit is 30% of sales amount.</t>
        </r>
      </text>
    </comment>
    <comment ref="R5" authorId="0" shapeId="0" xr:uid="{E607F7A1-1477-4B87-807B-D51677EE223C}">
      <text>
        <r>
          <rPr>
            <b/>
            <sz val="9"/>
            <color indexed="81"/>
            <rFont val="Tahoma"/>
            <family val="2"/>
          </rPr>
          <t>Tushar kumar:</t>
        </r>
        <r>
          <rPr>
            <sz val="9"/>
            <color indexed="81"/>
            <rFont val="Tahoma"/>
            <family val="2"/>
          </rPr>
          <t xml:space="preserve">
Profit is calculated as amount less cost.</t>
        </r>
      </text>
    </comment>
    <comment ref="Q6" authorId="0" shapeId="0" xr:uid="{3BD959AC-559C-4E2F-94F7-166520CA9F0A}">
      <text>
        <r>
          <rPr>
            <b/>
            <sz val="9"/>
            <color indexed="81"/>
            <rFont val="Tahoma"/>
            <family val="2"/>
          </rPr>
          <t>Tushar kumar:</t>
        </r>
        <r>
          <rPr>
            <sz val="9"/>
            <color indexed="81"/>
            <rFont val="Tahoma"/>
            <family val="2"/>
          </rPr>
          <t xml:space="preserve">
Estimated cost assumption: 70% of sales amount; implied profit is 30% of sales amount.</t>
        </r>
      </text>
    </comment>
    <comment ref="R6" authorId="0" shapeId="0" xr:uid="{90FE2498-3E50-4FAB-9EB9-20BFD70702BF}">
      <text>
        <r>
          <rPr>
            <b/>
            <sz val="9"/>
            <color indexed="81"/>
            <rFont val="Tahoma"/>
            <family val="2"/>
          </rPr>
          <t>Tushar kumar:</t>
        </r>
        <r>
          <rPr>
            <sz val="9"/>
            <color indexed="81"/>
            <rFont val="Tahoma"/>
            <family val="2"/>
          </rPr>
          <t xml:space="preserve">
Profit is calculated as amount less cost.</t>
        </r>
      </text>
    </comment>
    <comment ref="Q7" authorId="0" shapeId="0" xr:uid="{C3B0111E-00B8-4019-B51F-E0D7E11B5A21}">
      <text>
        <r>
          <rPr>
            <b/>
            <sz val="9"/>
            <color indexed="81"/>
            <rFont val="Tahoma"/>
            <family val="2"/>
          </rPr>
          <t>Tushar kumar:</t>
        </r>
        <r>
          <rPr>
            <sz val="9"/>
            <color indexed="81"/>
            <rFont val="Tahoma"/>
            <family val="2"/>
          </rPr>
          <t xml:space="preserve">
Estimated cost assumption: 70% of sales amount; implied profit is 30% of sales amount.</t>
        </r>
      </text>
    </comment>
    <comment ref="R7" authorId="0" shapeId="0" xr:uid="{4112CF2E-286E-4538-A821-D7F15692E133}">
      <text>
        <r>
          <rPr>
            <b/>
            <sz val="9"/>
            <color indexed="81"/>
            <rFont val="Tahoma"/>
            <family val="2"/>
          </rPr>
          <t>Tushar kumar:</t>
        </r>
        <r>
          <rPr>
            <sz val="9"/>
            <color indexed="81"/>
            <rFont val="Tahoma"/>
            <family val="2"/>
          </rPr>
          <t xml:space="preserve">
Profit is calculated as amount less cost.</t>
        </r>
      </text>
    </comment>
    <comment ref="Q8" authorId="0" shapeId="0" xr:uid="{4C6C1BAB-008B-497A-8FB3-B7E98D6027DE}">
      <text>
        <r>
          <rPr>
            <b/>
            <sz val="9"/>
            <color indexed="81"/>
            <rFont val="Tahoma"/>
            <family val="2"/>
          </rPr>
          <t>Tushar kumar:</t>
        </r>
        <r>
          <rPr>
            <sz val="9"/>
            <color indexed="81"/>
            <rFont val="Tahoma"/>
            <family val="2"/>
          </rPr>
          <t xml:space="preserve">
Estimated cost assumption: 70% of sales amount; implied profit is 30% of sales amount.</t>
        </r>
      </text>
    </comment>
    <comment ref="R8" authorId="0" shapeId="0" xr:uid="{EFABC85F-F8A6-4E07-B032-9FC76BE02C23}">
      <text>
        <r>
          <rPr>
            <b/>
            <sz val="9"/>
            <color indexed="81"/>
            <rFont val="Tahoma"/>
            <family val="2"/>
          </rPr>
          <t>Tushar kumar:</t>
        </r>
        <r>
          <rPr>
            <sz val="9"/>
            <color indexed="81"/>
            <rFont val="Tahoma"/>
            <family val="2"/>
          </rPr>
          <t xml:space="preserve">
Profit is calculated as amount less cost.</t>
        </r>
      </text>
    </comment>
    <comment ref="Q9" authorId="0" shapeId="0" xr:uid="{472B5F54-19E1-497E-AA57-0E1AB913908B}">
      <text>
        <r>
          <rPr>
            <b/>
            <sz val="9"/>
            <color indexed="81"/>
            <rFont val="Tahoma"/>
            <family val="2"/>
          </rPr>
          <t>Tushar kumar:</t>
        </r>
        <r>
          <rPr>
            <sz val="9"/>
            <color indexed="81"/>
            <rFont val="Tahoma"/>
            <family val="2"/>
          </rPr>
          <t xml:space="preserve">
Estimated cost assumption: 70% of sales amount; implied profit is 30% of sales amount.</t>
        </r>
      </text>
    </comment>
    <comment ref="R9" authorId="0" shapeId="0" xr:uid="{7B06F2C2-E320-4047-A841-DAA3FE1CB4E5}">
      <text>
        <r>
          <rPr>
            <b/>
            <sz val="9"/>
            <color indexed="81"/>
            <rFont val="Tahoma"/>
            <family val="2"/>
          </rPr>
          <t>Tushar kumar:</t>
        </r>
        <r>
          <rPr>
            <sz val="9"/>
            <color indexed="81"/>
            <rFont val="Tahoma"/>
            <family val="2"/>
          </rPr>
          <t xml:space="preserve">
Profit is calculated as amount less cost.</t>
        </r>
      </text>
    </comment>
    <comment ref="Q10" authorId="0" shapeId="0" xr:uid="{A1F12C31-99D9-4DF7-96AF-89F92B5F517D}">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 authorId="0" shapeId="0" xr:uid="{07FD294C-C107-486D-9267-6B5C3393974F}">
      <text>
        <r>
          <rPr>
            <b/>
            <sz val="9"/>
            <color indexed="81"/>
            <rFont val="Tahoma"/>
            <family val="2"/>
          </rPr>
          <t>Tushar kumar:</t>
        </r>
        <r>
          <rPr>
            <sz val="9"/>
            <color indexed="81"/>
            <rFont val="Tahoma"/>
            <family val="2"/>
          </rPr>
          <t xml:space="preserve">
Profit is calculated as amount less cost.</t>
        </r>
      </text>
    </comment>
    <comment ref="Q11" authorId="0" shapeId="0" xr:uid="{7B03AD05-1816-4E09-B9E1-C15EBB91CEA6}">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 authorId="0" shapeId="0" xr:uid="{83008381-059C-45D6-9DC7-FBECB08BC7D5}">
      <text>
        <r>
          <rPr>
            <b/>
            <sz val="9"/>
            <color indexed="81"/>
            <rFont val="Tahoma"/>
            <family val="2"/>
          </rPr>
          <t>Tushar kumar:</t>
        </r>
        <r>
          <rPr>
            <sz val="9"/>
            <color indexed="81"/>
            <rFont val="Tahoma"/>
            <family val="2"/>
          </rPr>
          <t xml:space="preserve">
Profit is calculated as amount less cost.</t>
        </r>
      </text>
    </comment>
    <comment ref="Q12" authorId="0" shapeId="0" xr:uid="{485EE5AC-601B-4384-9049-08F96C93B39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 authorId="0" shapeId="0" xr:uid="{D0670C0F-4942-4839-875D-560C58ED7C2E}">
      <text>
        <r>
          <rPr>
            <b/>
            <sz val="9"/>
            <color indexed="81"/>
            <rFont val="Tahoma"/>
            <family val="2"/>
          </rPr>
          <t>Tushar kumar:</t>
        </r>
        <r>
          <rPr>
            <sz val="9"/>
            <color indexed="81"/>
            <rFont val="Tahoma"/>
            <family val="2"/>
          </rPr>
          <t xml:space="preserve">
Profit is calculated as amount less cost.</t>
        </r>
      </text>
    </comment>
    <comment ref="Q13" authorId="0" shapeId="0" xr:uid="{4CC4E7E4-35A2-472A-8FE4-762D8EF4E8B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 authorId="0" shapeId="0" xr:uid="{C7A7C6FA-AA35-40EA-96ED-BDEC4567CBC2}">
      <text>
        <r>
          <rPr>
            <b/>
            <sz val="9"/>
            <color indexed="81"/>
            <rFont val="Tahoma"/>
            <family val="2"/>
          </rPr>
          <t>Tushar kumar:</t>
        </r>
        <r>
          <rPr>
            <sz val="9"/>
            <color indexed="81"/>
            <rFont val="Tahoma"/>
            <family val="2"/>
          </rPr>
          <t xml:space="preserve">
Profit is calculated as amount less cost.</t>
        </r>
      </text>
    </comment>
    <comment ref="Q14" authorId="0" shapeId="0" xr:uid="{B637DE9E-8457-4222-899E-DA87F08AEA9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 authorId="0" shapeId="0" xr:uid="{930E943A-B48E-464F-AEF8-3CE4EAC0D894}">
      <text>
        <r>
          <rPr>
            <b/>
            <sz val="9"/>
            <color indexed="81"/>
            <rFont val="Tahoma"/>
            <family val="2"/>
          </rPr>
          <t>Tushar kumar:</t>
        </r>
        <r>
          <rPr>
            <sz val="9"/>
            <color indexed="81"/>
            <rFont val="Tahoma"/>
            <family val="2"/>
          </rPr>
          <t xml:space="preserve">
Profit is calculated as amount less cost.</t>
        </r>
      </text>
    </comment>
    <comment ref="Q15" authorId="0" shapeId="0" xr:uid="{596DC6BB-980C-4E36-ADD4-EC881E89D596}">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 authorId="0" shapeId="0" xr:uid="{99EA1A61-FC47-4985-A38B-3581B0C8B309}">
      <text>
        <r>
          <rPr>
            <b/>
            <sz val="9"/>
            <color indexed="81"/>
            <rFont val="Tahoma"/>
            <family val="2"/>
          </rPr>
          <t>Tushar kumar:</t>
        </r>
        <r>
          <rPr>
            <sz val="9"/>
            <color indexed="81"/>
            <rFont val="Tahoma"/>
            <family val="2"/>
          </rPr>
          <t xml:space="preserve">
Profit is calculated as amount less cost.</t>
        </r>
      </text>
    </comment>
    <comment ref="Q16" authorId="0" shapeId="0" xr:uid="{89153F58-5721-41DA-860D-A7C1766F71E1}">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 authorId="0" shapeId="0" xr:uid="{5609A285-9F8B-4E42-A1AC-C984182B3F81}">
      <text>
        <r>
          <rPr>
            <b/>
            <sz val="9"/>
            <color indexed="81"/>
            <rFont val="Tahoma"/>
            <family val="2"/>
          </rPr>
          <t>Tushar kumar:</t>
        </r>
        <r>
          <rPr>
            <sz val="9"/>
            <color indexed="81"/>
            <rFont val="Tahoma"/>
            <family val="2"/>
          </rPr>
          <t xml:space="preserve">
Profit is calculated as amount less cost.</t>
        </r>
      </text>
    </comment>
    <comment ref="Q17" authorId="0" shapeId="0" xr:uid="{CC1F5001-AA5A-40BA-8FE3-596D94EFE3BF}">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 authorId="0" shapeId="0" xr:uid="{DD9EA89D-D554-4165-82C3-DA65856865B5}">
      <text>
        <r>
          <rPr>
            <b/>
            <sz val="9"/>
            <color indexed="81"/>
            <rFont val="Tahoma"/>
            <family val="2"/>
          </rPr>
          <t>Tushar kumar:</t>
        </r>
        <r>
          <rPr>
            <sz val="9"/>
            <color indexed="81"/>
            <rFont val="Tahoma"/>
            <family val="2"/>
          </rPr>
          <t xml:space="preserve">
Profit is calculated as amount less cost.</t>
        </r>
      </text>
    </comment>
    <comment ref="Q18" authorId="0" shapeId="0" xr:uid="{9F0947AB-2115-44FC-AFC3-A94F764C14A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8" authorId="0" shapeId="0" xr:uid="{DB70E2CA-B0D9-4CAD-BF2F-F31930D176FB}">
      <text>
        <r>
          <rPr>
            <b/>
            <sz val="9"/>
            <color indexed="81"/>
            <rFont val="Tahoma"/>
            <family val="2"/>
          </rPr>
          <t>Tushar kumar:</t>
        </r>
        <r>
          <rPr>
            <sz val="9"/>
            <color indexed="81"/>
            <rFont val="Tahoma"/>
            <family val="2"/>
          </rPr>
          <t xml:space="preserve">
Profit is calculated as amount less cost.</t>
        </r>
      </text>
    </comment>
    <comment ref="Q19" authorId="0" shapeId="0" xr:uid="{3545593C-CA7C-47D4-B9B2-3BAC86E5F5F3}">
      <text>
        <r>
          <rPr>
            <b/>
            <sz val="9"/>
            <color indexed="81"/>
            <rFont val="Tahoma"/>
            <family val="2"/>
          </rPr>
          <t>Tushar kumar:</t>
        </r>
        <r>
          <rPr>
            <sz val="9"/>
            <color indexed="81"/>
            <rFont val="Tahoma"/>
            <family val="2"/>
          </rPr>
          <t xml:space="preserve">
Estimated cost assumption: 70% of sales amount; implied profit is 30% of sales amount.</t>
        </r>
      </text>
    </comment>
    <comment ref="R19" authorId="0" shapeId="0" xr:uid="{AA457008-4768-4040-9E14-545EE4EE2823}">
      <text>
        <r>
          <rPr>
            <b/>
            <sz val="9"/>
            <color indexed="81"/>
            <rFont val="Tahoma"/>
            <family val="2"/>
          </rPr>
          <t>Tushar kumar:</t>
        </r>
        <r>
          <rPr>
            <sz val="9"/>
            <color indexed="81"/>
            <rFont val="Tahoma"/>
            <family val="2"/>
          </rPr>
          <t xml:space="preserve">
Profit is calculated as amount less cost.</t>
        </r>
      </text>
    </comment>
    <comment ref="Q20" authorId="0" shapeId="0" xr:uid="{72FC9F2F-8185-4A54-B731-276CAEBCE52B}">
      <text>
        <r>
          <rPr>
            <b/>
            <sz val="9"/>
            <color indexed="81"/>
            <rFont val="Tahoma"/>
            <family val="2"/>
          </rPr>
          <t>Tushar kumar:</t>
        </r>
        <r>
          <rPr>
            <sz val="9"/>
            <color indexed="81"/>
            <rFont val="Tahoma"/>
            <family val="2"/>
          </rPr>
          <t xml:space="preserve">
Estimated cost assumption: 70% of sales amount; implied profit is 30% of sales amount.</t>
        </r>
      </text>
    </comment>
    <comment ref="R20" authorId="0" shapeId="0" xr:uid="{3A5007D7-BEEC-4E79-BEE4-7535891F6F3D}">
      <text>
        <r>
          <rPr>
            <b/>
            <sz val="9"/>
            <color indexed="81"/>
            <rFont val="Tahoma"/>
            <family val="2"/>
          </rPr>
          <t>Tushar kumar:</t>
        </r>
        <r>
          <rPr>
            <sz val="9"/>
            <color indexed="81"/>
            <rFont val="Tahoma"/>
            <family val="2"/>
          </rPr>
          <t xml:space="preserve">
Profit is calculated as amount less cost.</t>
        </r>
      </text>
    </comment>
    <comment ref="Q21" authorId="0" shapeId="0" xr:uid="{C9C24251-30BE-4C32-A4E9-E56034AD13AD}">
      <text>
        <r>
          <rPr>
            <b/>
            <sz val="9"/>
            <color indexed="81"/>
            <rFont val="Tahoma"/>
            <family val="2"/>
          </rPr>
          <t>Tushar kumar:</t>
        </r>
        <r>
          <rPr>
            <sz val="9"/>
            <color indexed="81"/>
            <rFont val="Tahoma"/>
            <family val="2"/>
          </rPr>
          <t xml:space="preserve">
Estimated cost assumption: 70% of sales amount; implied profit is 30% of sales amount.</t>
        </r>
      </text>
    </comment>
    <comment ref="R21" authorId="0" shapeId="0" xr:uid="{3A3943F5-0B1A-48C3-9A59-E71CFD373FA9}">
      <text>
        <r>
          <rPr>
            <b/>
            <sz val="9"/>
            <color indexed="81"/>
            <rFont val="Tahoma"/>
            <family val="2"/>
          </rPr>
          <t>Tushar kumar:</t>
        </r>
        <r>
          <rPr>
            <sz val="9"/>
            <color indexed="81"/>
            <rFont val="Tahoma"/>
            <family val="2"/>
          </rPr>
          <t xml:space="preserve">
Profit is calculated as amount less cost.</t>
        </r>
      </text>
    </comment>
    <comment ref="Q22" authorId="0" shapeId="0" xr:uid="{DA73B2B7-554C-409E-8D0F-7E17CE58B5CC}">
      <text>
        <r>
          <rPr>
            <b/>
            <sz val="9"/>
            <color indexed="81"/>
            <rFont val="Tahoma"/>
            <family val="2"/>
          </rPr>
          <t>Tushar kumar:</t>
        </r>
        <r>
          <rPr>
            <sz val="9"/>
            <color indexed="81"/>
            <rFont val="Tahoma"/>
            <family val="2"/>
          </rPr>
          <t xml:space="preserve">
Estimated cost assumption: 70% of sales amount; implied profit is 30% of sales amount.</t>
        </r>
      </text>
    </comment>
    <comment ref="R22" authorId="0" shapeId="0" xr:uid="{0FFEE548-E5D7-478A-9043-9E40942254FF}">
      <text>
        <r>
          <rPr>
            <b/>
            <sz val="9"/>
            <color indexed="81"/>
            <rFont val="Tahoma"/>
            <family val="2"/>
          </rPr>
          <t>Tushar kumar:</t>
        </r>
        <r>
          <rPr>
            <sz val="9"/>
            <color indexed="81"/>
            <rFont val="Tahoma"/>
            <family val="2"/>
          </rPr>
          <t xml:space="preserve">
Profit is calculated as amount less cost.</t>
        </r>
      </text>
    </comment>
    <comment ref="Q23" authorId="0" shapeId="0" xr:uid="{3A4ABC09-76E6-44AC-AF25-6182206BB52A}">
      <text>
        <r>
          <rPr>
            <b/>
            <sz val="9"/>
            <color indexed="81"/>
            <rFont val="Tahoma"/>
            <family val="2"/>
          </rPr>
          <t>Tushar kumar:</t>
        </r>
        <r>
          <rPr>
            <sz val="9"/>
            <color indexed="81"/>
            <rFont val="Tahoma"/>
            <family val="2"/>
          </rPr>
          <t xml:space="preserve">
Estimated cost assumption: 70% of sales amount; implied profit is 30% of sales amount.</t>
        </r>
      </text>
    </comment>
    <comment ref="R23" authorId="0" shapeId="0" xr:uid="{6DCF258E-B8A3-43AD-BB6A-3A72E114E150}">
      <text>
        <r>
          <rPr>
            <b/>
            <sz val="9"/>
            <color indexed="81"/>
            <rFont val="Tahoma"/>
            <family val="2"/>
          </rPr>
          <t>Tushar kumar:</t>
        </r>
        <r>
          <rPr>
            <sz val="9"/>
            <color indexed="81"/>
            <rFont val="Tahoma"/>
            <family val="2"/>
          </rPr>
          <t xml:space="preserve">
Profit is calculated as amount less cost.</t>
        </r>
      </text>
    </comment>
    <comment ref="Q24" authorId="0" shapeId="0" xr:uid="{AB7D40FF-5F57-42EE-88C1-5C43E6DACFB5}">
      <text>
        <r>
          <rPr>
            <b/>
            <sz val="9"/>
            <color indexed="81"/>
            <rFont val="Tahoma"/>
            <family val="2"/>
          </rPr>
          <t>Tushar kumar:</t>
        </r>
        <r>
          <rPr>
            <sz val="9"/>
            <color indexed="81"/>
            <rFont val="Tahoma"/>
            <family val="2"/>
          </rPr>
          <t xml:space="preserve">
Estimated cost assumption: 70% of sales amount; implied profit is 30% of sales amount.</t>
        </r>
      </text>
    </comment>
    <comment ref="R24" authorId="0" shapeId="0" xr:uid="{CC108BB6-5C20-451A-86A1-FC3A1C8E13FD}">
      <text>
        <r>
          <rPr>
            <b/>
            <sz val="9"/>
            <color indexed="81"/>
            <rFont val="Tahoma"/>
            <family val="2"/>
          </rPr>
          <t>Tushar kumar:</t>
        </r>
        <r>
          <rPr>
            <sz val="9"/>
            <color indexed="81"/>
            <rFont val="Tahoma"/>
            <family val="2"/>
          </rPr>
          <t xml:space="preserve">
Profit is calculated as amount less cost.</t>
        </r>
      </text>
    </comment>
    <comment ref="Q25" authorId="0" shapeId="0" xr:uid="{B15CC46C-67BA-4625-BD8F-6A2783DB9870}">
      <text>
        <r>
          <rPr>
            <b/>
            <sz val="9"/>
            <color indexed="81"/>
            <rFont val="Tahoma"/>
            <family val="2"/>
          </rPr>
          <t>Tushar kumar:</t>
        </r>
        <r>
          <rPr>
            <sz val="9"/>
            <color indexed="81"/>
            <rFont val="Tahoma"/>
            <family val="2"/>
          </rPr>
          <t xml:space="preserve">
Estimated cost assumption: 70% of sales amount; implied profit is 30% of sales amount.</t>
        </r>
      </text>
    </comment>
    <comment ref="R25" authorId="0" shapeId="0" xr:uid="{D16E0F88-39DE-462B-A759-59E30A1F872C}">
      <text>
        <r>
          <rPr>
            <b/>
            <sz val="9"/>
            <color indexed="81"/>
            <rFont val="Tahoma"/>
            <family val="2"/>
          </rPr>
          <t>Tushar kumar:</t>
        </r>
        <r>
          <rPr>
            <sz val="9"/>
            <color indexed="81"/>
            <rFont val="Tahoma"/>
            <family val="2"/>
          </rPr>
          <t xml:space="preserve">
Profit is calculated as amount less cost.</t>
        </r>
      </text>
    </comment>
    <comment ref="Q26" authorId="0" shapeId="0" xr:uid="{FF1FD063-DD8F-42A2-998F-4643C23E94D9}">
      <text>
        <r>
          <rPr>
            <b/>
            <sz val="9"/>
            <color indexed="81"/>
            <rFont val="Tahoma"/>
            <family val="2"/>
          </rPr>
          <t>Tushar kumar:</t>
        </r>
        <r>
          <rPr>
            <sz val="9"/>
            <color indexed="81"/>
            <rFont val="Tahoma"/>
            <family val="2"/>
          </rPr>
          <t xml:space="preserve">
Estimated cost assumption: 70% of sales amount; implied profit is 30% of sales amount.</t>
        </r>
      </text>
    </comment>
    <comment ref="R26" authorId="0" shapeId="0" xr:uid="{8251501B-5FAD-4599-B7FB-576646F3EB0B}">
      <text>
        <r>
          <rPr>
            <b/>
            <sz val="9"/>
            <color indexed="81"/>
            <rFont val="Tahoma"/>
            <family val="2"/>
          </rPr>
          <t>Tushar kumar:</t>
        </r>
        <r>
          <rPr>
            <sz val="9"/>
            <color indexed="81"/>
            <rFont val="Tahoma"/>
            <family val="2"/>
          </rPr>
          <t xml:space="preserve">
Profit is calculated as amount less cost.</t>
        </r>
      </text>
    </comment>
    <comment ref="Q27" authorId="0" shapeId="0" xr:uid="{D087EFAF-CC51-48B4-BED9-A6B35FD264A6}">
      <text>
        <r>
          <rPr>
            <b/>
            <sz val="9"/>
            <color indexed="81"/>
            <rFont val="Tahoma"/>
            <family val="2"/>
          </rPr>
          <t>Tushar kumar:</t>
        </r>
        <r>
          <rPr>
            <sz val="9"/>
            <color indexed="81"/>
            <rFont val="Tahoma"/>
            <family val="2"/>
          </rPr>
          <t xml:space="preserve">
Estimated cost assumption: 70% of sales amount; implied profit is 30% of sales amount.</t>
        </r>
      </text>
    </comment>
    <comment ref="R27" authorId="0" shapeId="0" xr:uid="{0346BA24-7F81-4CB5-902C-6684CF3BC449}">
      <text>
        <r>
          <rPr>
            <b/>
            <sz val="9"/>
            <color indexed="81"/>
            <rFont val="Tahoma"/>
            <family val="2"/>
          </rPr>
          <t>Tushar kumar:</t>
        </r>
        <r>
          <rPr>
            <sz val="9"/>
            <color indexed="81"/>
            <rFont val="Tahoma"/>
            <family val="2"/>
          </rPr>
          <t xml:space="preserve">
Profit is calculated as amount less cost.</t>
        </r>
      </text>
    </comment>
    <comment ref="Q28" authorId="0" shapeId="0" xr:uid="{06AB3C97-D9FC-4610-A4A2-B817D8B956DC}">
      <text>
        <r>
          <rPr>
            <b/>
            <sz val="9"/>
            <color indexed="81"/>
            <rFont val="Tahoma"/>
            <family val="2"/>
          </rPr>
          <t>Tushar kumar:</t>
        </r>
        <r>
          <rPr>
            <sz val="9"/>
            <color indexed="81"/>
            <rFont val="Tahoma"/>
            <family val="2"/>
          </rPr>
          <t xml:space="preserve">
Estimated cost assumption: 70% of sales amount; implied profit is 30% of sales amount.</t>
        </r>
      </text>
    </comment>
    <comment ref="R28" authorId="0" shapeId="0" xr:uid="{4F84B9AE-D718-4594-B26F-7763BA40BE2B}">
      <text>
        <r>
          <rPr>
            <b/>
            <sz val="9"/>
            <color indexed="81"/>
            <rFont val="Tahoma"/>
            <family val="2"/>
          </rPr>
          <t>Tushar kumar:</t>
        </r>
        <r>
          <rPr>
            <sz val="9"/>
            <color indexed="81"/>
            <rFont val="Tahoma"/>
            <family val="2"/>
          </rPr>
          <t xml:space="preserve">
Profit is calculated as amount less cost.</t>
        </r>
      </text>
    </comment>
    <comment ref="Q29" authorId="0" shapeId="0" xr:uid="{1BEEAF52-7C3E-4E36-8B9B-93112C701A60}">
      <text>
        <r>
          <rPr>
            <b/>
            <sz val="9"/>
            <color indexed="81"/>
            <rFont val="Tahoma"/>
            <family val="2"/>
          </rPr>
          <t>Tushar kumar:</t>
        </r>
        <r>
          <rPr>
            <sz val="9"/>
            <color indexed="81"/>
            <rFont val="Tahoma"/>
            <family val="2"/>
          </rPr>
          <t xml:space="preserve">
Estimated cost assumption: 70% of sales amount; implied profit is 30% of sales amount.</t>
        </r>
      </text>
    </comment>
    <comment ref="R29" authorId="0" shapeId="0" xr:uid="{C078A880-A2DB-4A0B-9EB8-44D43A2D133F}">
      <text>
        <r>
          <rPr>
            <b/>
            <sz val="9"/>
            <color indexed="81"/>
            <rFont val="Tahoma"/>
            <family val="2"/>
          </rPr>
          <t>Tushar kumar:</t>
        </r>
        <r>
          <rPr>
            <sz val="9"/>
            <color indexed="81"/>
            <rFont val="Tahoma"/>
            <family val="2"/>
          </rPr>
          <t xml:space="preserve">
Profit is calculated as amount less cost.</t>
        </r>
      </text>
    </comment>
    <comment ref="Q30" authorId="0" shapeId="0" xr:uid="{1C8C2B5F-B196-4834-AB72-F8187580A89D}">
      <text>
        <r>
          <rPr>
            <b/>
            <sz val="9"/>
            <color indexed="81"/>
            <rFont val="Tahoma"/>
            <family val="2"/>
          </rPr>
          <t>Tushar kumar:</t>
        </r>
        <r>
          <rPr>
            <sz val="9"/>
            <color indexed="81"/>
            <rFont val="Tahoma"/>
            <family val="2"/>
          </rPr>
          <t xml:space="preserve">
Estimated cost assumption: 70% of sales amount; implied profit is 30% of sales amount.</t>
        </r>
      </text>
    </comment>
    <comment ref="R30" authorId="0" shapeId="0" xr:uid="{2BD922C9-7AC1-436C-8711-529200D2604B}">
      <text>
        <r>
          <rPr>
            <b/>
            <sz val="9"/>
            <color indexed="81"/>
            <rFont val="Tahoma"/>
            <family val="2"/>
          </rPr>
          <t>Tushar kumar:</t>
        </r>
        <r>
          <rPr>
            <sz val="9"/>
            <color indexed="81"/>
            <rFont val="Tahoma"/>
            <family val="2"/>
          </rPr>
          <t xml:space="preserve">
Profit is calculated as amount less cost.</t>
        </r>
      </text>
    </comment>
    <comment ref="Q31" authorId="0" shapeId="0" xr:uid="{3D36E07E-940D-4848-9ED6-70265D455AE5}">
      <text>
        <r>
          <rPr>
            <b/>
            <sz val="9"/>
            <color indexed="81"/>
            <rFont val="Tahoma"/>
            <family val="2"/>
          </rPr>
          <t>Tushar kumar:</t>
        </r>
        <r>
          <rPr>
            <sz val="9"/>
            <color indexed="81"/>
            <rFont val="Tahoma"/>
            <family val="2"/>
          </rPr>
          <t xml:space="preserve">
Estimated cost assumption: 70% of sales amount; implied profit is 30% of sales amount.</t>
        </r>
      </text>
    </comment>
    <comment ref="R31" authorId="0" shapeId="0" xr:uid="{90FC3B72-C508-4981-81C2-51FAD595F3D1}">
      <text>
        <r>
          <rPr>
            <b/>
            <sz val="9"/>
            <color indexed="81"/>
            <rFont val="Tahoma"/>
            <family val="2"/>
          </rPr>
          <t>Tushar kumar:</t>
        </r>
        <r>
          <rPr>
            <sz val="9"/>
            <color indexed="81"/>
            <rFont val="Tahoma"/>
            <family val="2"/>
          </rPr>
          <t xml:space="preserve">
Profit is calculated as amount less cost.</t>
        </r>
      </text>
    </comment>
    <comment ref="Q32" authorId="0" shapeId="0" xr:uid="{B206C6DC-4EC2-430B-8AC9-87C767080302}">
      <text>
        <r>
          <rPr>
            <b/>
            <sz val="9"/>
            <color indexed="81"/>
            <rFont val="Tahoma"/>
            <family val="2"/>
          </rPr>
          <t>Tushar kumar:</t>
        </r>
        <r>
          <rPr>
            <sz val="9"/>
            <color indexed="81"/>
            <rFont val="Tahoma"/>
            <family val="2"/>
          </rPr>
          <t xml:space="preserve">
Estimated cost assumption: 70% of sales amount; implied profit is 30% of sales amount.</t>
        </r>
      </text>
    </comment>
    <comment ref="R32" authorId="0" shapeId="0" xr:uid="{B25E6B1E-36E4-4B02-8582-D0686C4C1060}">
      <text>
        <r>
          <rPr>
            <b/>
            <sz val="9"/>
            <color indexed="81"/>
            <rFont val="Tahoma"/>
            <family val="2"/>
          </rPr>
          <t>Tushar kumar:</t>
        </r>
        <r>
          <rPr>
            <sz val="9"/>
            <color indexed="81"/>
            <rFont val="Tahoma"/>
            <family val="2"/>
          </rPr>
          <t xml:space="preserve">
Profit is calculated as amount less cost.</t>
        </r>
      </text>
    </comment>
    <comment ref="Q33" authorId="0" shapeId="0" xr:uid="{FF691628-5151-4DD4-A5DC-7C8E39C33EF8}">
      <text>
        <r>
          <rPr>
            <b/>
            <sz val="9"/>
            <color indexed="81"/>
            <rFont val="Tahoma"/>
            <family val="2"/>
          </rPr>
          <t>Tushar kumar:</t>
        </r>
        <r>
          <rPr>
            <sz val="9"/>
            <color indexed="81"/>
            <rFont val="Tahoma"/>
            <family val="2"/>
          </rPr>
          <t xml:space="preserve">
Estimated cost assumption: 70% of sales amount; implied profit is 30% of sales amount.</t>
        </r>
      </text>
    </comment>
    <comment ref="R33" authorId="0" shapeId="0" xr:uid="{139F617A-09D5-4A02-B278-61E3BCC7B2FD}">
      <text>
        <r>
          <rPr>
            <b/>
            <sz val="9"/>
            <color indexed="81"/>
            <rFont val="Tahoma"/>
            <family val="2"/>
          </rPr>
          <t>Tushar kumar:</t>
        </r>
        <r>
          <rPr>
            <sz val="9"/>
            <color indexed="81"/>
            <rFont val="Tahoma"/>
            <family val="2"/>
          </rPr>
          <t xml:space="preserve">
Profit is calculated as amount less cost.</t>
        </r>
      </text>
    </comment>
    <comment ref="Q34" authorId="0" shapeId="0" xr:uid="{507071DA-BD82-40C0-948C-6786D5B8AE62}">
      <text>
        <r>
          <rPr>
            <b/>
            <sz val="9"/>
            <color indexed="81"/>
            <rFont val="Tahoma"/>
            <family val="2"/>
          </rPr>
          <t>Tushar kumar:</t>
        </r>
        <r>
          <rPr>
            <sz val="9"/>
            <color indexed="81"/>
            <rFont val="Tahoma"/>
            <family val="2"/>
          </rPr>
          <t xml:space="preserve">
Estimated cost assumption: 70% of sales amount; implied profit is 30% of sales amount.</t>
        </r>
      </text>
    </comment>
    <comment ref="R34" authorId="0" shapeId="0" xr:uid="{F121AA3C-9CCC-4813-AFF9-0AD8838412D9}">
      <text>
        <r>
          <rPr>
            <b/>
            <sz val="9"/>
            <color indexed="81"/>
            <rFont val="Tahoma"/>
            <family val="2"/>
          </rPr>
          <t>Tushar kumar:</t>
        </r>
        <r>
          <rPr>
            <sz val="9"/>
            <color indexed="81"/>
            <rFont val="Tahoma"/>
            <family val="2"/>
          </rPr>
          <t xml:space="preserve">
Profit is calculated as amount less cost.</t>
        </r>
      </text>
    </comment>
    <comment ref="Q35" authorId="0" shapeId="0" xr:uid="{1E410D5F-4879-43CF-A431-C2944AC09B16}">
      <text>
        <r>
          <rPr>
            <b/>
            <sz val="9"/>
            <color indexed="81"/>
            <rFont val="Tahoma"/>
            <family val="2"/>
          </rPr>
          <t>Tushar kumar:</t>
        </r>
        <r>
          <rPr>
            <sz val="9"/>
            <color indexed="81"/>
            <rFont val="Tahoma"/>
            <family val="2"/>
          </rPr>
          <t xml:space="preserve">
Estimated cost assumption: 70% of sales amount; implied profit is 30% of sales amount.</t>
        </r>
      </text>
    </comment>
    <comment ref="R35" authorId="0" shapeId="0" xr:uid="{70B7503C-7252-4256-BD34-5FC1B6B5046D}">
      <text>
        <r>
          <rPr>
            <b/>
            <sz val="9"/>
            <color indexed="81"/>
            <rFont val="Tahoma"/>
            <family val="2"/>
          </rPr>
          <t>Tushar kumar:</t>
        </r>
        <r>
          <rPr>
            <sz val="9"/>
            <color indexed="81"/>
            <rFont val="Tahoma"/>
            <family val="2"/>
          </rPr>
          <t xml:space="preserve">
Profit is calculated as amount less cost.</t>
        </r>
      </text>
    </comment>
    <comment ref="Q36" authorId="0" shapeId="0" xr:uid="{72DAE26A-B24A-48E7-BE51-CBD15D9D7BFD}">
      <text>
        <r>
          <rPr>
            <b/>
            <sz val="9"/>
            <color indexed="81"/>
            <rFont val="Tahoma"/>
            <family val="2"/>
          </rPr>
          <t>Tushar kumar:</t>
        </r>
        <r>
          <rPr>
            <sz val="9"/>
            <color indexed="81"/>
            <rFont val="Tahoma"/>
            <family val="2"/>
          </rPr>
          <t xml:space="preserve">
Estimated cost assumption: 70% of sales amount; implied profit is 30% of sales amount.</t>
        </r>
      </text>
    </comment>
    <comment ref="R36" authorId="0" shapeId="0" xr:uid="{E836803A-4630-4F2F-8CC3-6FB8867860DE}">
      <text>
        <r>
          <rPr>
            <b/>
            <sz val="9"/>
            <color indexed="81"/>
            <rFont val="Tahoma"/>
            <family val="2"/>
          </rPr>
          <t>Tushar kumar:</t>
        </r>
        <r>
          <rPr>
            <sz val="9"/>
            <color indexed="81"/>
            <rFont val="Tahoma"/>
            <family val="2"/>
          </rPr>
          <t xml:space="preserve">
Profit is calculated as amount less cost.</t>
        </r>
      </text>
    </comment>
    <comment ref="Q37" authorId="0" shapeId="0" xr:uid="{7B52B5DC-5983-4408-A46E-A94B514D4312}">
      <text>
        <r>
          <rPr>
            <b/>
            <sz val="9"/>
            <color indexed="81"/>
            <rFont val="Tahoma"/>
            <family val="2"/>
          </rPr>
          <t>Tushar kumar:</t>
        </r>
        <r>
          <rPr>
            <sz val="9"/>
            <color indexed="81"/>
            <rFont val="Tahoma"/>
            <family val="2"/>
          </rPr>
          <t xml:space="preserve">
Estimated cost assumption: 70% of sales amount; implied profit is 30% of sales amount.</t>
        </r>
      </text>
    </comment>
    <comment ref="R37" authorId="0" shapeId="0" xr:uid="{0BFBF92B-BDA0-4E7C-B016-52FB78F1F295}">
      <text>
        <r>
          <rPr>
            <b/>
            <sz val="9"/>
            <color indexed="81"/>
            <rFont val="Tahoma"/>
            <family val="2"/>
          </rPr>
          <t>Tushar kumar:</t>
        </r>
        <r>
          <rPr>
            <sz val="9"/>
            <color indexed="81"/>
            <rFont val="Tahoma"/>
            <family val="2"/>
          </rPr>
          <t xml:space="preserve">
Profit is calculated as amount less cost.</t>
        </r>
      </text>
    </comment>
    <comment ref="Q38" authorId="0" shapeId="0" xr:uid="{4CE42688-1558-4415-B002-4DB4B59D8144}">
      <text>
        <r>
          <rPr>
            <b/>
            <sz val="9"/>
            <color indexed="81"/>
            <rFont val="Tahoma"/>
            <family val="2"/>
          </rPr>
          <t>Tushar kumar:</t>
        </r>
        <r>
          <rPr>
            <sz val="9"/>
            <color indexed="81"/>
            <rFont val="Tahoma"/>
            <family val="2"/>
          </rPr>
          <t xml:space="preserve">
Estimated cost assumption: 70% of sales amount; implied profit is 30% of sales amount.</t>
        </r>
      </text>
    </comment>
    <comment ref="R38" authorId="0" shapeId="0" xr:uid="{06B2C350-9B76-469B-9CB6-02B68CD5124E}">
      <text>
        <r>
          <rPr>
            <b/>
            <sz val="9"/>
            <color indexed="81"/>
            <rFont val="Tahoma"/>
            <family val="2"/>
          </rPr>
          <t>Tushar kumar:</t>
        </r>
        <r>
          <rPr>
            <sz val="9"/>
            <color indexed="81"/>
            <rFont val="Tahoma"/>
            <family val="2"/>
          </rPr>
          <t xml:space="preserve">
Profit is calculated as amount less cost.</t>
        </r>
      </text>
    </comment>
    <comment ref="Q39" authorId="0" shapeId="0" xr:uid="{00E710F7-B20A-4B24-A6C0-F8DF7C954B67}">
      <text>
        <r>
          <rPr>
            <b/>
            <sz val="9"/>
            <color indexed="81"/>
            <rFont val="Tahoma"/>
            <family val="2"/>
          </rPr>
          <t>Tushar kumar:</t>
        </r>
        <r>
          <rPr>
            <sz val="9"/>
            <color indexed="81"/>
            <rFont val="Tahoma"/>
            <family val="2"/>
          </rPr>
          <t xml:space="preserve">
Estimated cost assumption: 70% of sales amount; implied profit is 30% of sales amount.</t>
        </r>
      </text>
    </comment>
    <comment ref="R39" authorId="0" shapeId="0" xr:uid="{189463D2-0A55-4B92-A643-067B7DE79677}">
      <text>
        <r>
          <rPr>
            <b/>
            <sz val="9"/>
            <color indexed="81"/>
            <rFont val="Tahoma"/>
            <family val="2"/>
          </rPr>
          <t>Tushar kumar:</t>
        </r>
        <r>
          <rPr>
            <sz val="9"/>
            <color indexed="81"/>
            <rFont val="Tahoma"/>
            <family val="2"/>
          </rPr>
          <t xml:space="preserve">
Profit is calculated as amount less cost.</t>
        </r>
      </text>
    </comment>
    <comment ref="Q40" authorId="0" shapeId="0" xr:uid="{8D68EB30-5051-45DB-974D-54E488D57436}">
      <text>
        <r>
          <rPr>
            <b/>
            <sz val="9"/>
            <color indexed="81"/>
            <rFont val="Tahoma"/>
            <family val="2"/>
          </rPr>
          <t>Tushar kumar:</t>
        </r>
        <r>
          <rPr>
            <sz val="9"/>
            <color indexed="81"/>
            <rFont val="Tahoma"/>
            <family val="2"/>
          </rPr>
          <t xml:space="preserve">
Estimated cost assumption: 70% of sales amount; implied profit is 30% of sales amount.</t>
        </r>
      </text>
    </comment>
    <comment ref="R40" authorId="0" shapeId="0" xr:uid="{516B02B6-F360-4E7A-AD0F-6F9437145E9A}">
      <text>
        <r>
          <rPr>
            <b/>
            <sz val="9"/>
            <color indexed="81"/>
            <rFont val="Tahoma"/>
            <family val="2"/>
          </rPr>
          <t>Tushar kumar:</t>
        </r>
        <r>
          <rPr>
            <sz val="9"/>
            <color indexed="81"/>
            <rFont val="Tahoma"/>
            <family val="2"/>
          </rPr>
          <t xml:space="preserve">
Profit is calculated as amount less cost.</t>
        </r>
      </text>
    </comment>
    <comment ref="Q41" authorId="0" shapeId="0" xr:uid="{64713B82-C3E9-4386-8F1A-CDB3650E0718}">
      <text>
        <r>
          <rPr>
            <b/>
            <sz val="9"/>
            <color indexed="81"/>
            <rFont val="Tahoma"/>
            <family val="2"/>
          </rPr>
          <t>Tushar kumar:</t>
        </r>
        <r>
          <rPr>
            <sz val="9"/>
            <color indexed="81"/>
            <rFont val="Tahoma"/>
            <family val="2"/>
          </rPr>
          <t xml:space="preserve">
Estimated cost assumption: 70% of sales amount; implied profit is 30% of sales amount.</t>
        </r>
      </text>
    </comment>
    <comment ref="R41" authorId="0" shapeId="0" xr:uid="{2A10681F-760F-4C2D-B696-18F8610E40BE}">
      <text>
        <r>
          <rPr>
            <b/>
            <sz val="9"/>
            <color indexed="81"/>
            <rFont val="Tahoma"/>
            <family val="2"/>
          </rPr>
          <t>Tushar kumar:</t>
        </r>
        <r>
          <rPr>
            <sz val="9"/>
            <color indexed="81"/>
            <rFont val="Tahoma"/>
            <family val="2"/>
          </rPr>
          <t xml:space="preserve">
Profit is calculated as amount less cost.</t>
        </r>
      </text>
    </comment>
    <comment ref="Q42" authorId="0" shapeId="0" xr:uid="{03484B05-D629-4809-BBCC-100942A62936}">
      <text>
        <r>
          <rPr>
            <b/>
            <sz val="9"/>
            <color indexed="81"/>
            <rFont val="Tahoma"/>
            <family val="2"/>
          </rPr>
          <t>Tushar kumar:</t>
        </r>
        <r>
          <rPr>
            <sz val="9"/>
            <color indexed="81"/>
            <rFont val="Tahoma"/>
            <family val="2"/>
          </rPr>
          <t xml:space="preserve">
Estimated cost assumption: 70% of sales amount; implied profit is 30% of sales amount.</t>
        </r>
      </text>
    </comment>
    <comment ref="R42" authorId="0" shapeId="0" xr:uid="{5EEBB6A1-03CB-4742-8251-7456E3C762DE}">
      <text>
        <r>
          <rPr>
            <b/>
            <sz val="9"/>
            <color indexed="81"/>
            <rFont val="Tahoma"/>
            <family val="2"/>
          </rPr>
          <t>Tushar kumar:</t>
        </r>
        <r>
          <rPr>
            <sz val="9"/>
            <color indexed="81"/>
            <rFont val="Tahoma"/>
            <family val="2"/>
          </rPr>
          <t xml:space="preserve">
Profit is calculated as amount less cost.</t>
        </r>
      </text>
    </comment>
    <comment ref="Q43" authorId="0" shapeId="0" xr:uid="{E7472F0A-A37D-4BB8-B663-9A9E5945087A}">
      <text>
        <r>
          <rPr>
            <b/>
            <sz val="9"/>
            <color indexed="81"/>
            <rFont val="Tahoma"/>
            <family val="2"/>
          </rPr>
          <t>Tushar kumar:</t>
        </r>
        <r>
          <rPr>
            <sz val="9"/>
            <color indexed="81"/>
            <rFont val="Tahoma"/>
            <family val="2"/>
          </rPr>
          <t xml:space="preserve">
Estimated cost assumption: 70% of sales amount; implied profit is 30% of sales amount.</t>
        </r>
      </text>
    </comment>
    <comment ref="R43" authorId="0" shapeId="0" xr:uid="{B7CDB7A9-C133-4689-8477-3EA148A4820B}">
      <text>
        <r>
          <rPr>
            <b/>
            <sz val="9"/>
            <color indexed="81"/>
            <rFont val="Tahoma"/>
            <family val="2"/>
          </rPr>
          <t>Tushar kumar:</t>
        </r>
        <r>
          <rPr>
            <sz val="9"/>
            <color indexed="81"/>
            <rFont val="Tahoma"/>
            <family val="2"/>
          </rPr>
          <t xml:space="preserve">
Profit is calculated as amount less cost.</t>
        </r>
      </text>
    </comment>
    <comment ref="Q44" authorId="0" shapeId="0" xr:uid="{CF36B5F0-4AA3-4224-A89A-07172D5F1A2E}">
      <text>
        <r>
          <rPr>
            <b/>
            <sz val="9"/>
            <color indexed="81"/>
            <rFont val="Tahoma"/>
            <family val="2"/>
          </rPr>
          <t>Tushar kumar:</t>
        </r>
        <r>
          <rPr>
            <sz val="9"/>
            <color indexed="81"/>
            <rFont val="Tahoma"/>
            <family val="2"/>
          </rPr>
          <t xml:space="preserve">
Estimated cost assumption: 70% of sales amount; implied profit is 30% of sales amount.</t>
        </r>
      </text>
    </comment>
    <comment ref="R44" authorId="0" shapeId="0" xr:uid="{5F97C9D5-259D-4CF2-90D2-3B0690CE5575}">
      <text>
        <r>
          <rPr>
            <b/>
            <sz val="9"/>
            <color indexed="81"/>
            <rFont val="Tahoma"/>
            <family val="2"/>
          </rPr>
          <t>Tushar kumar:</t>
        </r>
        <r>
          <rPr>
            <sz val="9"/>
            <color indexed="81"/>
            <rFont val="Tahoma"/>
            <family val="2"/>
          </rPr>
          <t xml:space="preserve">
Profit is calculated as amount less cost.</t>
        </r>
      </text>
    </comment>
    <comment ref="Q45" authorId="0" shapeId="0" xr:uid="{B4F64D36-9445-4714-9F28-4CAC9EB03F81}">
      <text>
        <r>
          <rPr>
            <b/>
            <sz val="9"/>
            <color indexed="81"/>
            <rFont val="Tahoma"/>
            <family val="2"/>
          </rPr>
          <t>Tushar kumar:</t>
        </r>
        <r>
          <rPr>
            <sz val="9"/>
            <color indexed="81"/>
            <rFont val="Tahoma"/>
            <family val="2"/>
          </rPr>
          <t xml:space="preserve">
Estimated cost assumption: 70% of sales amount; implied profit is 30% of sales amount.</t>
        </r>
      </text>
    </comment>
    <comment ref="R45" authorId="0" shapeId="0" xr:uid="{51A30259-06F4-49DC-B47F-001C45E507C0}">
      <text>
        <r>
          <rPr>
            <b/>
            <sz val="9"/>
            <color indexed="81"/>
            <rFont val="Tahoma"/>
            <family val="2"/>
          </rPr>
          <t>Tushar kumar:</t>
        </r>
        <r>
          <rPr>
            <sz val="9"/>
            <color indexed="81"/>
            <rFont val="Tahoma"/>
            <family val="2"/>
          </rPr>
          <t xml:space="preserve">
Profit is calculated as amount less cost.</t>
        </r>
      </text>
    </comment>
    <comment ref="Q46" authorId="0" shapeId="0" xr:uid="{C82F0591-618F-4B3D-AB72-EEB74BE276EE}">
      <text>
        <r>
          <rPr>
            <b/>
            <sz val="9"/>
            <color indexed="81"/>
            <rFont val="Tahoma"/>
            <family val="2"/>
          </rPr>
          <t>Tushar kumar:</t>
        </r>
        <r>
          <rPr>
            <sz val="9"/>
            <color indexed="81"/>
            <rFont val="Tahoma"/>
            <family val="2"/>
          </rPr>
          <t xml:space="preserve">
Estimated cost assumption: 70% of sales amount; implied profit is 30% of sales amount.</t>
        </r>
      </text>
    </comment>
    <comment ref="R46" authorId="0" shapeId="0" xr:uid="{AF0659A6-7792-4960-8E0F-A074448ABD3A}">
      <text>
        <r>
          <rPr>
            <b/>
            <sz val="9"/>
            <color indexed="81"/>
            <rFont val="Tahoma"/>
            <family val="2"/>
          </rPr>
          <t>Tushar kumar:</t>
        </r>
        <r>
          <rPr>
            <sz val="9"/>
            <color indexed="81"/>
            <rFont val="Tahoma"/>
            <family val="2"/>
          </rPr>
          <t xml:space="preserve">
Profit is calculated as amount less cost.</t>
        </r>
      </text>
    </comment>
    <comment ref="Q47" authorId="0" shapeId="0" xr:uid="{0A27D914-36D3-44C5-9E5C-3CC591DFE355}">
      <text>
        <r>
          <rPr>
            <b/>
            <sz val="9"/>
            <color indexed="81"/>
            <rFont val="Tahoma"/>
            <family val="2"/>
          </rPr>
          <t>Tushar kumar:</t>
        </r>
        <r>
          <rPr>
            <sz val="9"/>
            <color indexed="81"/>
            <rFont val="Tahoma"/>
            <family val="2"/>
          </rPr>
          <t xml:space="preserve">
Estimated cost assumption: 70% of sales amount; implied profit is 30% of sales amount.</t>
        </r>
      </text>
    </comment>
    <comment ref="R47" authorId="0" shapeId="0" xr:uid="{2C44D29C-55BD-4193-81D3-651CA8890F7E}">
      <text>
        <r>
          <rPr>
            <b/>
            <sz val="9"/>
            <color indexed="81"/>
            <rFont val="Tahoma"/>
            <family val="2"/>
          </rPr>
          <t>Tushar kumar:</t>
        </r>
        <r>
          <rPr>
            <sz val="9"/>
            <color indexed="81"/>
            <rFont val="Tahoma"/>
            <family val="2"/>
          </rPr>
          <t xml:space="preserve">
Profit is calculated as amount less cost.</t>
        </r>
      </text>
    </comment>
    <comment ref="Q48" authorId="0" shapeId="0" xr:uid="{CB998F0F-B9CC-4BFF-89CD-81633A3E0B8C}">
      <text>
        <r>
          <rPr>
            <b/>
            <sz val="9"/>
            <color indexed="81"/>
            <rFont val="Tahoma"/>
            <family val="2"/>
          </rPr>
          <t>Tushar kumar:</t>
        </r>
        <r>
          <rPr>
            <sz val="9"/>
            <color indexed="81"/>
            <rFont val="Tahoma"/>
            <family val="2"/>
          </rPr>
          <t xml:space="preserve">
Estimated cost assumption: 70% of sales amount; implied profit is 30% of sales amount.</t>
        </r>
      </text>
    </comment>
    <comment ref="R48" authorId="0" shapeId="0" xr:uid="{03356DCA-2F08-42CB-A6DF-0AAB81861E44}">
      <text>
        <r>
          <rPr>
            <b/>
            <sz val="9"/>
            <color indexed="81"/>
            <rFont val="Tahoma"/>
            <family val="2"/>
          </rPr>
          <t>Tushar kumar:</t>
        </r>
        <r>
          <rPr>
            <sz val="9"/>
            <color indexed="81"/>
            <rFont val="Tahoma"/>
            <family val="2"/>
          </rPr>
          <t xml:space="preserve">
Profit is calculated as amount less cost.</t>
        </r>
      </text>
    </comment>
    <comment ref="Q49" authorId="0" shapeId="0" xr:uid="{2F912744-6AC6-4198-86DD-CC1A5AF528AD}">
      <text>
        <r>
          <rPr>
            <b/>
            <sz val="9"/>
            <color indexed="81"/>
            <rFont val="Tahoma"/>
            <family val="2"/>
          </rPr>
          <t>Tushar kumar:</t>
        </r>
        <r>
          <rPr>
            <sz val="9"/>
            <color indexed="81"/>
            <rFont val="Tahoma"/>
            <family val="2"/>
          </rPr>
          <t xml:space="preserve">
Estimated cost assumption: 70% of sales amount; implied profit is 30% of sales amount.</t>
        </r>
      </text>
    </comment>
    <comment ref="R49" authorId="0" shapeId="0" xr:uid="{75C0F835-3319-415B-BC05-50DF5C44B581}">
      <text>
        <r>
          <rPr>
            <b/>
            <sz val="9"/>
            <color indexed="81"/>
            <rFont val="Tahoma"/>
            <family val="2"/>
          </rPr>
          <t>Tushar kumar:</t>
        </r>
        <r>
          <rPr>
            <sz val="9"/>
            <color indexed="81"/>
            <rFont val="Tahoma"/>
            <family val="2"/>
          </rPr>
          <t xml:space="preserve">
Profit is calculated as amount less cost.</t>
        </r>
      </text>
    </comment>
    <comment ref="Q50" authorId="0" shapeId="0" xr:uid="{30FBA4E1-4FC4-4AC9-9EAE-FBBE7CD0F826}">
      <text>
        <r>
          <rPr>
            <b/>
            <sz val="9"/>
            <color indexed="81"/>
            <rFont val="Tahoma"/>
            <family val="2"/>
          </rPr>
          <t>Tushar kumar:</t>
        </r>
        <r>
          <rPr>
            <sz val="9"/>
            <color indexed="81"/>
            <rFont val="Tahoma"/>
            <family val="2"/>
          </rPr>
          <t xml:space="preserve">
Estimated cost assumption: 70% of sales amount; implied profit is 30% of sales amount.</t>
        </r>
      </text>
    </comment>
    <comment ref="R50" authorId="0" shapeId="0" xr:uid="{9AED19E0-F272-480F-87BA-F0895027DE52}">
      <text>
        <r>
          <rPr>
            <b/>
            <sz val="9"/>
            <color indexed="81"/>
            <rFont val="Tahoma"/>
            <family val="2"/>
          </rPr>
          <t>Tushar kumar:</t>
        </r>
        <r>
          <rPr>
            <sz val="9"/>
            <color indexed="81"/>
            <rFont val="Tahoma"/>
            <family val="2"/>
          </rPr>
          <t xml:space="preserve">
Profit is calculated as amount less cost.</t>
        </r>
      </text>
    </comment>
    <comment ref="Q51" authorId="0" shapeId="0" xr:uid="{BB0E3E72-9665-44FD-8827-DD40BD3AA410}">
      <text>
        <r>
          <rPr>
            <b/>
            <sz val="9"/>
            <color indexed="81"/>
            <rFont val="Tahoma"/>
            <family val="2"/>
          </rPr>
          <t>Tushar kumar:</t>
        </r>
        <r>
          <rPr>
            <sz val="9"/>
            <color indexed="81"/>
            <rFont val="Tahoma"/>
            <family val="2"/>
          </rPr>
          <t xml:space="preserve">
Estimated cost assumption: 70% of sales amount; implied profit is 30% of sales amount.</t>
        </r>
      </text>
    </comment>
    <comment ref="R51" authorId="0" shapeId="0" xr:uid="{E68306A6-E696-4457-B200-2BD59154D70C}">
      <text>
        <r>
          <rPr>
            <b/>
            <sz val="9"/>
            <color indexed="81"/>
            <rFont val="Tahoma"/>
            <family val="2"/>
          </rPr>
          <t>Tushar kumar:</t>
        </r>
        <r>
          <rPr>
            <sz val="9"/>
            <color indexed="81"/>
            <rFont val="Tahoma"/>
            <family val="2"/>
          </rPr>
          <t xml:space="preserve">
Profit is calculated as amount less cost.</t>
        </r>
      </text>
    </comment>
    <comment ref="Q52" authorId="0" shapeId="0" xr:uid="{836C7DC8-7AA3-4F90-AD8D-0A35B9D9E7C8}">
      <text>
        <r>
          <rPr>
            <b/>
            <sz val="9"/>
            <color indexed="81"/>
            <rFont val="Tahoma"/>
            <family val="2"/>
          </rPr>
          <t>Tushar kumar:</t>
        </r>
        <r>
          <rPr>
            <sz val="9"/>
            <color indexed="81"/>
            <rFont val="Tahoma"/>
            <family val="2"/>
          </rPr>
          <t xml:space="preserve">
Estimated cost assumption: 70% of sales amount; implied profit is 30% of sales amount.</t>
        </r>
      </text>
    </comment>
    <comment ref="R52" authorId="0" shapeId="0" xr:uid="{EE8657DD-81C7-4E2E-9016-3E7A5B6EC94B}">
      <text>
        <r>
          <rPr>
            <b/>
            <sz val="9"/>
            <color indexed="81"/>
            <rFont val="Tahoma"/>
            <family val="2"/>
          </rPr>
          <t>Tushar kumar:</t>
        </r>
        <r>
          <rPr>
            <sz val="9"/>
            <color indexed="81"/>
            <rFont val="Tahoma"/>
            <family val="2"/>
          </rPr>
          <t xml:space="preserve">
Profit is calculated as amount less cost.</t>
        </r>
      </text>
    </comment>
    <comment ref="Q53" authorId="0" shapeId="0" xr:uid="{222ABE5C-F756-43C3-89B6-6EDEB9272B8D}">
      <text>
        <r>
          <rPr>
            <b/>
            <sz val="9"/>
            <color indexed="81"/>
            <rFont val="Tahoma"/>
            <family val="2"/>
          </rPr>
          <t>Tushar kumar:</t>
        </r>
        <r>
          <rPr>
            <sz val="9"/>
            <color indexed="81"/>
            <rFont val="Tahoma"/>
            <family val="2"/>
          </rPr>
          <t xml:space="preserve">
Estimated cost assumption: 70% of sales amount; implied profit is 30% of sales amount.</t>
        </r>
      </text>
    </comment>
    <comment ref="R53" authorId="0" shapeId="0" xr:uid="{946EE92A-91E5-41E1-8BD8-9ECB68DC8770}">
      <text>
        <r>
          <rPr>
            <b/>
            <sz val="9"/>
            <color indexed="81"/>
            <rFont val="Tahoma"/>
            <family val="2"/>
          </rPr>
          <t>Tushar kumar:</t>
        </r>
        <r>
          <rPr>
            <sz val="9"/>
            <color indexed="81"/>
            <rFont val="Tahoma"/>
            <family val="2"/>
          </rPr>
          <t xml:space="preserve">
Profit is calculated as amount less cost.</t>
        </r>
      </text>
    </comment>
    <comment ref="Q54" authorId="0" shapeId="0" xr:uid="{78E29D51-65F0-4A21-883D-A6018A95DE06}">
      <text>
        <r>
          <rPr>
            <b/>
            <sz val="9"/>
            <color indexed="81"/>
            <rFont val="Tahoma"/>
            <family val="2"/>
          </rPr>
          <t>Tushar kumar:</t>
        </r>
        <r>
          <rPr>
            <sz val="9"/>
            <color indexed="81"/>
            <rFont val="Tahoma"/>
            <family val="2"/>
          </rPr>
          <t xml:space="preserve">
Estimated cost assumption: 70% of sales amount; implied profit is 30% of sales amount.</t>
        </r>
      </text>
    </comment>
    <comment ref="R54" authorId="0" shapeId="0" xr:uid="{C558E790-1CD2-4166-9093-89E32FB86383}">
      <text>
        <r>
          <rPr>
            <b/>
            <sz val="9"/>
            <color indexed="81"/>
            <rFont val="Tahoma"/>
            <family val="2"/>
          </rPr>
          <t>Tushar kumar:</t>
        </r>
        <r>
          <rPr>
            <sz val="9"/>
            <color indexed="81"/>
            <rFont val="Tahoma"/>
            <family val="2"/>
          </rPr>
          <t xml:space="preserve">
Profit is calculated as amount less cost.</t>
        </r>
      </text>
    </comment>
    <comment ref="Q55" authorId="0" shapeId="0" xr:uid="{70D02609-7459-436E-ADA2-16F3939E7BBE}">
      <text>
        <r>
          <rPr>
            <b/>
            <sz val="9"/>
            <color indexed="81"/>
            <rFont val="Tahoma"/>
            <family val="2"/>
          </rPr>
          <t>Tushar kumar:</t>
        </r>
        <r>
          <rPr>
            <sz val="9"/>
            <color indexed="81"/>
            <rFont val="Tahoma"/>
            <family val="2"/>
          </rPr>
          <t xml:space="preserve">
Estimated cost assumption: 70% of sales amount; implied profit is 30% of sales amount.</t>
        </r>
      </text>
    </comment>
    <comment ref="R55" authorId="0" shapeId="0" xr:uid="{87F55958-AD49-4306-A709-F51A5B920AD4}">
      <text>
        <r>
          <rPr>
            <b/>
            <sz val="9"/>
            <color indexed="81"/>
            <rFont val="Tahoma"/>
            <family val="2"/>
          </rPr>
          <t>Tushar kumar:</t>
        </r>
        <r>
          <rPr>
            <sz val="9"/>
            <color indexed="81"/>
            <rFont val="Tahoma"/>
            <family val="2"/>
          </rPr>
          <t xml:space="preserve">
Profit is calculated as amount less cost.</t>
        </r>
      </text>
    </comment>
    <comment ref="Q56" authorId="0" shapeId="0" xr:uid="{2CD55701-D899-4D8B-8414-2C7400453E9E}">
      <text>
        <r>
          <rPr>
            <b/>
            <sz val="9"/>
            <color indexed="81"/>
            <rFont val="Tahoma"/>
            <family val="2"/>
          </rPr>
          <t>Tushar kumar:</t>
        </r>
        <r>
          <rPr>
            <sz val="9"/>
            <color indexed="81"/>
            <rFont val="Tahoma"/>
            <family val="2"/>
          </rPr>
          <t xml:space="preserve">
Estimated cost assumption: 70% of sales amount; implied profit is 30% of sales amount.</t>
        </r>
      </text>
    </comment>
    <comment ref="R56" authorId="0" shapeId="0" xr:uid="{309490C1-6746-4285-8774-36BAA37191FA}">
      <text>
        <r>
          <rPr>
            <b/>
            <sz val="9"/>
            <color indexed="81"/>
            <rFont val="Tahoma"/>
            <family val="2"/>
          </rPr>
          <t>Tushar kumar:</t>
        </r>
        <r>
          <rPr>
            <sz val="9"/>
            <color indexed="81"/>
            <rFont val="Tahoma"/>
            <family val="2"/>
          </rPr>
          <t xml:space="preserve">
Profit is calculated as amount less cost.</t>
        </r>
      </text>
    </comment>
    <comment ref="Q57" authorId="0" shapeId="0" xr:uid="{25ECAA74-023B-41E2-8360-422C56029EF8}">
      <text>
        <r>
          <rPr>
            <b/>
            <sz val="9"/>
            <color indexed="81"/>
            <rFont val="Tahoma"/>
            <family val="2"/>
          </rPr>
          <t>Tushar kumar:</t>
        </r>
        <r>
          <rPr>
            <sz val="9"/>
            <color indexed="81"/>
            <rFont val="Tahoma"/>
            <family val="2"/>
          </rPr>
          <t xml:space="preserve">
Estimated cost assumption: 70% of sales amount; implied profit is 30% of sales amount.</t>
        </r>
      </text>
    </comment>
    <comment ref="R57" authorId="0" shapeId="0" xr:uid="{5B83BB36-97CA-40BE-8284-05E2DF81CDFE}">
      <text>
        <r>
          <rPr>
            <b/>
            <sz val="9"/>
            <color indexed="81"/>
            <rFont val="Tahoma"/>
            <family val="2"/>
          </rPr>
          <t>Tushar kumar:</t>
        </r>
        <r>
          <rPr>
            <sz val="9"/>
            <color indexed="81"/>
            <rFont val="Tahoma"/>
            <family val="2"/>
          </rPr>
          <t xml:space="preserve">
Profit is calculated as amount less cost.</t>
        </r>
      </text>
    </comment>
    <comment ref="Q58" authorId="0" shapeId="0" xr:uid="{AF93BBF9-7444-4A07-B902-C94E32867B25}">
      <text>
        <r>
          <rPr>
            <b/>
            <sz val="9"/>
            <color indexed="81"/>
            <rFont val="Tahoma"/>
            <family val="2"/>
          </rPr>
          <t>Tushar kumar:</t>
        </r>
        <r>
          <rPr>
            <sz val="9"/>
            <color indexed="81"/>
            <rFont val="Tahoma"/>
            <family val="2"/>
          </rPr>
          <t xml:space="preserve">
Estimated cost assumption: 70% of sales amount; implied profit is 30% of sales amount.</t>
        </r>
      </text>
    </comment>
    <comment ref="R58" authorId="0" shapeId="0" xr:uid="{CF3F9606-C1F6-45FF-B751-2530383EA98A}">
      <text>
        <r>
          <rPr>
            <b/>
            <sz val="9"/>
            <color indexed="81"/>
            <rFont val="Tahoma"/>
            <family val="2"/>
          </rPr>
          <t>Tushar kumar:</t>
        </r>
        <r>
          <rPr>
            <sz val="9"/>
            <color indexed="81"/>
            <rFont val="Tahoma"/>
            <family val="2"/>
          </rPr>
          <t xml:space="preserve">
Profit is calculated as amount less cost.</t>
        </r>
      </text>
    </comment>
    <comment ref="Q59" authorId="0" shapeId="0" xr:uid="{1B89CD6B-0626-487A-9E2F-DFFC6E3BAB46}">
      <text>
        <r>
          <rPr>
            <b/>
            <sz val="9"/>
            <color indexed="81"/>
            <rFont val="Tahoma"/>
            <family val="2"/>
          </rPr>
          <t>Tushar kumar:</t>
        </r>
        <r>
          <rPr>
            <sz val="9"/>
            <color indexed="81"/>
            <rFont val="Tahoma"/>
            <family val="2"/>
          </rPr>
          <t xml:space="preserve">
Estimated cost assumption: 70% of sales amount; implied profit is 30% of sales amount.</t>
        </r>
      </text>
    </comment>
    <comment ref="R59" authorId="0" shapeId="0" xr:uid="{481832AB-7ED3-467A-B0AF-8A8F50CA8F41}">
      <text>
        <r>
          <rPr>
            <b/>
            <sz val="9"/>
            <color indexed="81"/>
            <rFont val="Tahoma"/>
            <family val="2"/>
          </rPr>
          <t>Tushar kumar:</t>
        </r>
        <r>
          <rPr>
            <sz val="9"/>
            <color indexed="81"/>
            <rFont val="Tahoma"/>
            <family val="2"/>
          </rPr>
          <t xml:space="preserve">
Profit is calculated as amount less cost.</t>
        </r>
      </text>
    </comment>
    <comment ref="Q60" authorId="0" shapeId="0" xr:uid="{179BD26D-E5C3-4117-B08C-A9D16AC22F1C}">
      <text>
        <r>
          <rPr>
            <b/>
            <sz val="9"/>
            <color indexed="81"/>
            <rFont val="Tahoma"/>
            <family val="2"/>
          </rPr>
          <t>Tushar kumar:</t>
        </r>
        <r>
          <rPr>
            <sz val="9"/>
            <color indexed="81"/>
            <rFont val="Tahoma"/>
            <family val="2"/>
          </rPr>
          <t xml:space="preserve">
Estimated cost assumption: 70% of sales amount; implied profit is 30% of sales amount.</t>
        </r>
      </text>
    </comment>
    <comment ref="R60" authorId="0" shapeId="0" xr:uid="{D582FF7A-5E04-450F-ADA7-27103E1192A0}">
      <text>
        <r>
          <rPr>
            <b/>
            <sz val="9"/>
            <color indexed="81"/>
            <rFont val="Tahoma"/>
            <family val="2"/>
          </rPr>
          <t>Tushar kumar:</t>
        </r>
        <r>
          <rPr>
            <sz val="9"/>
            <color indexed="81"/>
            <rFont val="Tahoma"/>
            <family val="2"/>
          </rPr>
          <t xml:space="preserve">
Profit is calculated as amount less cost.</t>
        </r>
      </text>
    </comment>
    <comment ref="Q61" authorId="0" shapeId="0" xr:uid="{9704BA0F-DE11-4883-90F2-4ECB4D9A031F}">
      <text>
        <r>
          <rPr>
            <b/>
            <sz val="9"/>
            <color indexed="81"/>
            <rFont val="Tahoma"/>
            <family val="2"/>
          </rPr>
          <t>Tushar kumar:</t>
        </r>
        <r>
          <rPr>
            <sz val="9"/>
            <color indexed="81"/>
            <rFont val="Tahoma"/>
            <family val="2"/>
          </rPr>
          <t xml:space="preserve">
Estimated cost assumption: 70% of sales amount; implied profit is 30% of sales amount.</t>
        </r>
      </text>
    </comment>
    <comment ref="R61" authorId="0" shapeId="0" xr:uid="{5B05D663-F293-436E-BDE3-62C23F844109}">
      <text>
        <r>
          <rPr>
            <b/>
            <sz val="9"/>
            <color indexed="81"/>
            <rFont val="Tahoma"/>
            <family val="2"/>
          </rPr>
          <t>Tushar kumar:</t>
        </r>
        <r>
          <rPr>
            <sz val="9"/>
            <color indexed="81"/>
            <rFont val="Tahoma"/>
            <family val="2"/>
          </rPr>
          <t xml:space="preserve">
Profit is calculated as amount less cost.</t>
        </r>
      </text>
    </comment>
    <comment ref="Q62" authorId="0" shapeId="0" xr:uid="{DF0768D6-4D74-477B-9840-71EF58B79146}">
      <text>
        <r>
          <rPr>
            <b/>
            <sz val="9"/>
            <color indexed="81"/>
            <rFont val="Tahoma"/>
            <family val="2"/>
          </rPr>
          <t>Tushar kumar:</t>
        </r>
        <r>
          <rPr>
            <sz val="9"/>
            <color indexed="81"/>
            <rFont val="Tahoma"/>
            <family val="2"/>
          </rPr>
          <t xml:space="preserve">
Estimated cost assumption: 70% of sales amount; implied profit is 30% of sales amount.</t>
        </r>
      </text>
    </comment>
    <comment ref="R62" authorId="0" shapeId="0" xr:uid="{549D6016-4842-4CEE-A343-5A28C6F7F1B2}">
      <text>
        <r>
          <rPr>
            <b/>
            <sz val="9"/>
            <color indexed="81"/>
            <rFont val="Tahoma"/>
            <family val="2"/>
          </rPr>
          <t>Tushar kumar:</t>
        </r>
        <r>
          <rPr>
            <sz val="9"/>
            <color indexed="81"/>
            <rFont val="Tahoma"/>
            <family val="2"/>
          </rPr>
          <t xml:space="preserve">
Profit is calculated as amount less cost.</t>
        </r>
      </text>
    </comment>
    <comment ref="Q63" authorId="0" shapeId="0" xr:uid="{3A4D2456-2170-4589-8152-AA9C8D3CD0B0}">
      <text>
        <r>
          <rPr>
            <b/>
            <sz val="9"/>
            <color indexed="81"/>
            <rFont val="Tahoma"/>
            <family val="2"/>
          </rPr>
          <t>Tushar kumar:</t>
        </r>
        <r>
          <rPr>
            <sz val="9"/>
            <color indexed="81"/>
            <rFont val="Tahoma"/>
            <family val="2"/>
          </rPr>
          <t xml:space="preserve">
Estimated cost assumption: 70% of sales amount; implied profit is 30% of sales amount.</t>
        </r>
      </text>
    </comment>
    <comment ref="R63" authorId="0" shapeId="0" xr:uid="{C0AA0DC9-55B3-4030-9690-C5BB81BA3E6F}">
      <text>
        <r>
          <rPr>
            <b/>
            <sz val="9"/>
            <color indexed="81"/>
            <rFont val="Tahoma"/>
            <family val="2"/>
          </rPr>
          <t>Tushar kumar:</t>
        </r>
        <r>
          <rPr>
            <sz val="9"/>
            <color indexed="81"/>
            <rFont val="Tahoma"/>
            <family val="2"/>
          </rPr>
          <t xml:space="preserve">
Profit is calculated as amount less cost.</t>
        </r>
      </text>
    </comment>
    <comment ref="Q64" authorId="0" shapeId="0" xr:uid="{FCC2A9F3-9535-4D99-9AF8-51A3A7DB7140}">
      <text>
        <r>
          <rPr>
            <b/>
            <sz val="9"/>
            <color indexed="81"/>
            <rFont val="Tahoma"/>
            <family val="2"/>
          </rPr>
          <t>Tushar kumar:</t>
        </r>
        <r>
          <rPr>
            <sz val="9"/>
            <color indexed="81"/>
            <rFont val="Tahoma"/>
            <family val="2"/>
          </rPr>
          <t xml:space="preserve">
Estimated cost assumption: 70% of sales amount; implied profit is 30% of sales amount.</t>
        </r>
      </text>
    </comment>
    <comment ref="R64" authorId="0" shapeId="0" xr:uid="{73DCC4B9-8BF2-4916-BB9E-5B0E108088F0}">
      <text>
        <r>
          <rPr>
            <b/>
            <sz val="9"/>
            <color indexed="81"/>
            <rFont val="Tahoma"/>
            <family val="2"/>
          </rPr>
          <t>Tushar kumar:</t>
        </r>
        <r>
          <rPr>
            <sz val="9"/>
            <color indexed="81"/>
            <rFont val="Tahoma"/>
            <family val="2"/>
          </rPr>
          <t xml:space="preserve">
Profit is calculated as amount less cost.</t>
        </r>
      </text>
    </comment>
    <comment ref="Q65" authorId="0" shapeId="0" xr:uid="{B14AB96C-89D7-4B58-BB4F-522788DBFBEB}">
      <text>
        <r>
          <rPr>
            <b/>
            <sz val="9"/>
            <color indexed="81"/>
            <rFont val="Tahoma"/>
            <family val="2"/>
          </rPr>
          <t>Tushar kumar:</t>
        </r>
        <r>
          <rPr>
            <sz val="9"/>
            <color indexed="81"/>
            <rFont val="Tahoma"/>
            <family val="2"/>
          </rPr>
          <t xml:space="preserve">
Estimated cost assumption: 70% of sales amount; implied profit is 30% of sales amount.</t>
        </r>
      </text>
    </comment>
    <comment ref="R65" authorId="0" shapeId="0" xr:uid="{3948E709-E36A-4854-9D58-423A826833C4}">
      <text>
        <r>
          <rPr>
            <b/>
            <sz val="9"/>
            <color indexed="81"/>
            <rFont val="Tahoma"/>
            <family val="2"/>
          </rPr>
          <t>Tushar kumar:</t>
        </r>
        <r>
          <rPr>
            <sz val="9"/>
            <color indexed="81"/>
            <rFont val="Tahoma"/>
            <family val="2"/>
          </rPr>
          <t xml:space="preserve">
Profit is calculated as amount less cost.</t>
        </r>
      </text>
    </comment>
    <comment ref="Q66" authorId="0" shapeId="0" xr:uid="{F2D3EE62-246A-4FCF-9865-2D1A4341B2C1}">
      <text>
        <r>
          <rPr>
            <b/>
            <sz val="9"/>
            <color indexed="81"/>
            <rFont val="Tahoma"/>
            <family val="2"/>
          </rPr>
          <t>Tushar kumar:</t>
        </r>
        <r>
          <rPr>
            <sz val="9"/>
            <color indexed="81"/>
            <rFont val="Tahoma"/>
            <family val="2"/>
          </rPr>
          <t xml:space="preserve">
Estimated cost assumption: 70% of sales amount; implied profit is 30% of sales amount.</t>
        </r>
      </text>
    </comment>
    <comment ref="R66" authorId="0" shapeId="0" xr:uid="{E360590C-C105-437D-B878-64529D4F3618}">
      <text>
        <r>
          <rPr>
            <b/>
            <sz val="9"/>
            <color indexed="81"/>
            <rFont val="Tahoma"/>
            <family val="2"/>
          </rPr>
          <t>Tushar kumar:</t>
        </r>
        <r>
          <rPr>
            <sz val="9"/>
            <color indexed="81"/>
            <rFont val="Tahoma"/>
            <family val="2"/>
          </rPr>
          <t xml:space="preserve">
Profit is calculated as amount less cost.</t>
        </r>
      </text>
    </comment>
    <comment ref="Q67" authorId="0" shapeId="0" xr:uid="{80C0260F-A7CE-44E3-AA6B-44938F3AA685}">
      <text>
        <r>
          <rPr>
            <b/>
            <sz val="9"/>
            <color indexed="81"/>
            <rFont val="Tahoma"/>
            <family val="2"/>
          </rPr>
          <t>Tushar kumar:</t>
        </r>
        <r>
          <rPr>
            <sz val="9"/>
            <color indexed="81"/>
            <rFont val="Tahoma"/>
            <family val="2"/>
          </rPr>
          <t xml:space="preserve">
Estimated cost assumption: 70% of sales amount; implied profit is 30% of sales amount.</t>
        </r>
      </text>
    </comment>
    <comment ref="R67" authorId="0" shapeId="0" xr:uid="{DCD41B45-4A90-449D-99BA-46900A134489}">
      <text>
        <r>
          <rPr>
            <b/>
            <sz val="9"/>
            <color indexed="81"/>
            <rFont val="Tahoma"/>
            <family val="2"/>
          </rPr>
          <t>Tushar kumar:</t>
        </r>
        <r>
          <rPr>
            <sz val="9"/>
            <color indexed="81"/>
            <rFont val="Tahoma"/>
            <family val="2"/>
          </rPr>
          <t xml:space="preserve">
Profit is calculated as amount less cost.</t>
        </r>
      </text>
    </comment>
    <comment ref="Q68" authorId="0" shapeId="0" xr:uid="{4CE24A14-FC90-408E-A955-817EA7240883}">
      <text>
        <r>
          <rPr>
            <b/>
            <sz val="9"/>
            <color indexed="81"/>
            <rFont val="Tahoma"/>
            <family val="2"/>
          </rPr>
          <t>Tushar kumar:</t>
        </r>
        <r>
          <rPr>
            <sz val="9"/>
            <color indexed="81"/>
            <rFont val="Tahoma"/>
            <family val="2"/>
          </rPr>
          <t xml:space="preserve">
Estimated cost assumption: 70% of sales amount; implied profit is 30% of sales amount.</t>
        </r>
      </text>
    </comment>
    <comment ref="R68" authorId="0" shapeId="0" xr:uid="{A4BB1436-DAF2-4AF4-A825-E08FA60882E2}">
      <text>
        <r>
          <rPr>
            <b/>
            <sz val="9"/>
            <color indexed="81"/>
            <rFont val="Tahoma"/>
            <family val="2"/>
          </rPr>
          <t>Tushar kumar:</t>
        </r>
        <r>
          <rPr>
            <sz val="9"/>
            <color indexed="81"/>
            <rFont val="Tahoma"/>
            <family val="2"/>
          </rPr>
          <t xml:space="preserve">
Profit is calculated as amount less cost.</t>
        </r>
      </text>
    </comment>
    <comment ref="Q69" authorId="0" shapeId="0" xr:uid="{9861DFDC-BC45-4B27-A56E-DCE827217C4A}">
      <text>
        <r>
          <rPr>
            <b/>
            <sz val="9"/>
            <color indexed="81"/>
            <rFont val="Tahoma"/>
            <family val="2"/>
          </rPr>
          <t>Tushar kumar:</t>
        </r>
        <r>
          <rPr>
            <sz val="9"/>
            <color indexed="81"/>
            <rFont val="Tahoma"/>
            <family val="2"/>
          </rPr>
          <t xml:space="preserve">
Estimated cost assumption: 70% of sales amount; implied profit is 30% of sales amount.</t>
        </r>
      </text>
    </comment>
    <comment ref="R69" authorId="0" shapeId="0" xr:uid="{6F322E9B-4CBA-4D8F-BA65-BCF01D9A8CBA}">
      <text>
        <r>
          <rPr>
            <b/>
            <sz val="9"/>
            <color indexed="81"/>
            <rFont val="Tahoma"/>
            <family val="2"/>
          </rPr>
          <t>Tushar kumar:</t>
        </r>
        <r>
          <rPr>
            <sz val="9"/>
            <color indexed="81"/>
            <rFont val="Tahoma"/>
            <family val="2"/>
          </rPr>
          <t xml:space="preserve">
Profit is calculated as amount less cost.</t>
        </r>
      </text>
    </comment>
    <comment ref="Q70" authorId="0" shapeId="0" xr:uid="{D9676C05-2783-42C5-8D79-3721C809D393}">
      <text>
        <r>
          <rPr>
            <b/>
            <sz val="9"/>
            <color indexed="81"/>
            <rFont val="Tahoma"/>
            <family val="2"/>
          </rPr>
          <t>Tushar kumar:</t>
        </r>
        <r>
          <rPr>
            <sz val="9"/>
            <color indexed="81"/>
            <rFont val="Tahoma"/>
            <family val="2"/>
          </rPr>
          <t xml:space="preserve">
Estimated cost assumption: 70% of sales amount; implied profit is 30% of sales amount.</t>
        </r>
      </text>
    </comment>
    <comment ref="R70" authorId="0" shapeId="0" xr:uid="{F42ED844-FB95-4DB2-BDAB-A7E547C3C934}">
      <text>
        <r>
          <rPr>
            <b/>
            <sz val="9"/>
            <color indexed="81"/>
            <rFont val="Tahoma"/>
            <family val="2"/>
          </rPr>
          <t>Tushar kumar:</t>
        </r>
        <r>
          <rPr>
            <sz val="9"/>
            <color indexed="81"/>
            <rFont val="Tahoma"/>
            <family val="2"/>
          </rPr>
          <t xml:space="preserve">
Profit is calculated as amount less cost.</t>
        </r>
      </text>
    </comment>
    <comment ref="Q71" authorId="0" shapeId="0" xr:uid="{356DA752-AAB9-442A-A7DB-CB92F542C175}">
      <text>
        <r>
          <rPr>
            <b/>
            <sz val="9"/>
            <color indexed="81"/>
            <rFont val="Tahoma"/>
            <family val="2"/>
          </rPr>
          <t>Tushar kumar:</t>
        </r>
        <r>
          <rPr>
            <sz val="9"/>
            <color indexed="81"/>
            <rFont val="Tahoma"/>
            <family val="2"/>
          </rPr>
          <t xml:space="preserve">
Estimated cost assumption: 70% of sales amount; implied profit is 30% of sales amount.</t>
        </r>
      </text>
    </comment>
    <comment ref="R71" authorId="0" shapeId="0" xr:uid="{BB119D8C-D6BA-4313-AEA0-85D2D1F26614}">
      <text>
        <r>
          <rPr>
            <b/>
            <sz val="9"/>
            <color indexed="81"/>
            <rFont val="Tahoma"/>
            <family val="2"/>
          </rPr>
          <t>Tushar kumar:</t>
        </r>
        <r>
          <rPr>
            <sz val="9"/>
            <color indexed="81"/>
            <rFont val="Tahoma"/>
            <family val="2"/>
          </rPr>
          <t xml:space="preserve">
Profit is calculated as amount less cost.</t>
        </r>
      </text>
    </comment>
    <comment ref="Q72" authorId="0" shapeId="0" xr:uid="{3C712519-C20D-4E59-AF73-1792D49C9099}">
      <text>
        <r>
          <rPr>
            <b/>
            <sz val="9"/>
            <color indexed="81"/>
            <rFont val="Tahoma"/>
            <family val="2"/>
          </rPr>
          <t>Tushar kumar:</t>
        </r>
        <r>
          <rPr>
            <sz val="9"/>
            <color indexed="81"/>
            <rFont val="Tahoma"/>
            <family val="2"/>
          </rPr>
          <t xml:space="preserve">
Estimated cost assumption: 70% of sales amount; implied profit is 30% of sales amount.</t>
        </r>
      </text>
    </comment>
    <comment ref="R72" authorId="0" shapeId="0" xr:uid="{272BAF62-6BFE-4432-8EFF-608EC73FD0BD}">
      <text>
        <r>
          <rPr>
            <b/>
            <sz val="9"/>
            <color indexed="81"/>
            <rFont val="Tahoma"/>
            <family val="2"/>
          </rPr>
          <t>Tushar kumar:</t>
        </r>
        <r>
          <rPr>
            <sz val="9"/>
            <color indexed="81"/>
            <rFont val="Tahoma"/>
            <family val="2"/>
          </rPr>
          <t xml:space="preserve">
Profit is calculated as amount less cost.</t>
        </r>
      </text>
    </comment>
    <comment ref="Q73" authorId="0" shapeId="0" xr:uid="{9E1CCDB9-1E86-42DB-B768-144085C5F257}">
      <text>
        <r>
          <rPr>
            <b/>
            <sz val="9"/>
            <color indexed="81"/>
            <rFont val="Tahoma"/>
            <family val="2"/>
          </rPr>
          <t>Tushar kumar:</t>
        </r>
        <r>
          <rPr>
            <sz val="9"/>
            <color indexed="81"/>
            <rFont val="Tahoma"/>
            <family val="2"/>
          </rPr>
          <t xml:space="preserve">
Estimated cost assumption: 70% of sales amount; implied profit is 30% of sales amount.</t>
        </r>
      </text>
    </comment>
    <comment ref="R73" authorId="0" shapeId="0" xr:uid="{C068F215-59CA-4C45-8803-E9024C6AE1C0}">
      <text>
        <r>
          <rPr>
            <b/>
            <sz val="9"/>
            <color indexed="81"/>
            <rFont val="Tahoma"/>
            <family val="2"/>
          </rPr>
          <t>Tushar kumar:</t>
        </r>
        <r>
          <rPr>
            <sz val="9"/>
            <color indexed="81"/>
            <rFont val="Tahoma"/>
            <family val="2"/>
          </rPr>
          <t xml:space="preserve">
Profit is calculated as amount less cost.</t>
        </r>
      </text>
    </comment>
    <comment ref="Q74" authorId="0" shapeId="0" xr:uid="{B94D2C2D-B0A8-4C51-8564-16808FBC30BF}">
      <text>
        <r>
          <rPr>
            <b/>
            <sz val="9"/>
            <color indexed="81"/>
            <rFont val="Tahoma"/>
            <family val="2"/>
          </rPr>
          <t>Tushar kumar:</t>
        </r>
        <r>
          <rPr>
            <sz val="9"/>
            <color indexed="81"/>
            <rFont val="Tahoma"/>
            <family val="2"/>
          </rPr>
          <t xml:space="preserve">
Estimated cost assumption: 70% of sales amount; implied profit is 30% of sales amount.</t>
        </r>
      </text>
    </comment>
    <comment ref="R74" authorId="0" shapeId="0" xr:uid="{DC0DBBFC-AD0A-4123-9156-AADFCE0BDE49}">
      <text>
        <r>
          <rPr>
            <b/>
            <sz val="9"/>
            <color indexed="81"/>
            <rFont val="Tahoma"/>
            <family val="2"/>
          </rPr>
          <t>Tushar kumar:</t>
        </r>
        <r>
          <rPr>
            <sz val="9"/>
            <color indexed="81"/>
            <rFont val="Tahoma"/>
            <family val="2"/>
          </rPr>
          <t xml:space="preserve">
Profit is calculated as amount less cost.</t>
        </r>
      </text>
    </comment>
    <comment ref="Q75" authorId="0" shapeId="0" xr:uid="{7573B86C-5F89-424F-A06D-F1C7F1202DBD}">
      <text>
        <r>
          <rPr>
            <b/>
            <sz val="9"/>
            <color indexed="81"/>
            <rFont val="Tahoma"/>
            <family val="2"/>
          </rPr>
          <t>Tushar kumar:</t>
        </r>
        <r>
          <rPr>
            <sz val="9"/>
            <color indexed="81"/>
            <rFont val="Tahoma"/>
            <family val="2"/>
          </rPr>
          <t xml:space="preserve">
Estimated cost assumption: 70% of sales amount; implied profit is 30% of sales amount.</t>
        </r>
      </text>
    </comment>
    <comment ref="R75" authorId="0" shapeId="0" xr:uid="{0F5E6CA0-6B1E-476F-8E14-6C2800E30EA4}">
      <text>
        <r>
          <rPr>
            <b/>
            <sz val="9"/>
            <color indexed="81"/>
            <rFont val="Tahoma"/>
            <family val="2"/>
          </rPr>
          <t>Tushar kumar:</t>
        </r>
        <r>
          <rPr>
            <sz val="9"/>
            <color indexed="81"/>
            <rFont val="Tahoma"/>
            <family val="2"/>
          </rPr>
          <t xml:space="preserve">
Profit is calculated as amount less cost.</t>
        </r>
      </text>
    </comment>
    <comment ref="Q76" authorId="0" shapeId="0" xr:uid="{3939B600-4B84-46D3-BD79-D1A5D15A9A07}">
      <text>
        <r>
          <rPr>
            <b/>
            <sz val="9"/>
            <color indexed="81"/>
            <rFont val="Tahoma"/>
            <family val="2"/>
          </rPr>
          <t>Tushar kumar:</t>
        </r>
        <r>
          <rPr>
            <sz val="9"/>
            <color indexed="81"/>
            <rFont val="Tahoma"/>
            <family val="2"/>
          </rPr>
          <t xml:space="preserve">
Estimated cost assumption: 70% of sales amount; implied profit is 30% of sales amount.</t>
        </r>
      </text>
    </comment>
    <comment ref="R76" authorId="0" shapeId="0" xr:uid="{089D085A-01D5-49BC-B5BE-4DA0F56D5CC0}">
      <text>
        <r>
          <rPr>
            <b/>
            <sz val="9"/>
            <color indexed="81"/>
            <rFont val="Tahoma"/>
            <family val="2"/>
          </rPr>
          <t>Tushar kumar:</t>
        </r>
        <r>
          <rPr>
            <sz val="9"/>
            <color indexed="81"/>
            <rFont val="Tahoma"/>
            <family val="2"/>
          </rPr>
          <t xml:space="preserve">
Profit is calculated as amount less cost.</t>
        </r>
      </text>
    </comment>
    <comment ref="Q77" authorId="0" shapeId="0" xr:uid="{CD3A0615-ADC6-44DC-AC44-40BC7C4995AD}">
      <text>
        <r>
          <rPr>
            <b/>
            <sz val="9"/>
            <color indexed="81"/>
            <rFont val="Tahoma"/>
            <family val="2"/>
          </rPr>
          <t>Tushar kumar:</t>
        </r>
        <r>
          <rPr>
            <sz val="9"/>
            <color indexed="81"/>
            <rFont val="Tahoma"/>
            <family val="2"/>
          </rPr>
          <t xml:space="preserve">
Estimated cost assumption: 70% of sales amount; implied profit is 30% of sales amount.</t>
        </r>
      </text>
    </comment>
    <comment ref="R77" authorId="0" shapeId="0" xr:uid="{0F9F2E65-CB52-455F-ADF9-47D23DCF27FD}">
      <text>
        <r>
          <rPr>
            <b/>
            <sz val="9"/>
            <color indexed="81"/>
            <rFont val="Tahoma"/>
            <family val="2"/>
          </rPr>
          <t>Tushar kumar:</t>
        </r>
        <r>
          <rPr>
            <sz val="9"/>
            <color indexed="81"/>
            <rFont val="Tahoma"/>
            <family val="2"/>
          </rPr>
          <t xml:space="preserve">
Profit is calculated as amount less cost.</t>
        </r>
      </text>
    </comment>
    <comment ref="Q78" authorId="0" shapeId="0" xr:uid="{5331716D-005C-4FBC-A892-1C69F036A78E}">
      <text>
        <r>
          <rPr>
            <b/>
            <sz val="9"/>
            <color indexed="81"/>
            <rFont val="Tahoma"/>
            <family val="2"/>
          </rPr>
          <t>Tushar kumar:</t>
        </r>
        <r>
          <rPr>
            <sz val="9"/>
            <color indexed="81"/>
            <rFont val="Tahoma"/>
            <family val="2"/>
          </rPr>
          <t xml:space="preserve">
Estimated cost assumption: 70% of sales amount; implied profit is 30% of sales amount.</t>
        </r>
      </text>
    </comment>
    <comment ref="R78" authorId="0" shapeId="0" xr:uid="{99A4BA78-0C71-4AB1-873E-59BC59768316}">
      <text>
        <r>
          <rPr>
            <b/>
            <sz val="9"/>
            <color indexed="81"/>
            <rFont val="Tahoma"/>
            <family val="2"/>
          </rPr>
          <t>Tushar kumar:</t>
        </r>
        <r>
          <rPr>
            <sz val="9"/>
            <color indexed="81"/>
            <rFont val="Tahoma"/>
            <family val="2"/>
          </rPr>
          <t xml:space="preserve">
Profit is calculated as amount less cost.</t>
        </r>
      </text>
    </comment>
    <comment ref="Q79" authorId="0" shapeId="0" xr:uid="{A6F45BA2-B7E0-47E3-B2D1-0B9805C11C19}">
      <text>
        <r>
          <rPr>
            <b/>
            <sz val="9"/>
            <color indexed="81"/>
            <rFont val="Tahoma"/>
            <family val="2"/>
          </rPr>
          <t>Tushar kumar:</t>
        </r>
        <r>
          <rPr>
            <sz val="9"/>
            <color indexed="81"/>
            <rFont val="Tahoma"/>
            <family val="2"/>
          </rPr>
          <t xml:space="preserve">
Estimated cost assumption: 70% of sales amount; implied profit is 30% of sales amount.</t>
        </r>
      </text>
    </comment>
    <comment ref="R79" authorId="0" shapeId="0" xr:uid="{D04E2E48-0DAB-4302-B413-BA5AFC22B99D}">
      <text>
        <r>
          <rPr>
            <b/>
            <sz val="9"/>
            <color indexed="81"/>
            <rFont val="Tahoma"/>
            <family val="2"/>
          </rPr>
          <t>Tushar kumar:</t>
        </r>
        <r>
          <rPr>
            <sz val="9"/>
            <color indexed="81"/>
            <rFont val="Tahoma"/>
            <family val="2"/>
          </rPr>
          <t xml:space="preserve">
Profit is calculated as amount less cost.</t>
        </r>
      </text>
    </comment>
    <comment ref="Q80" authorId="0" shapeId="0" xr:uid="{92A8E56C-B23B-4F4D-9627-CEE1CC222F65}">
      <text>
        <r>
          <rPr>
            <b/>
            <sz val="9"/>
            <color indexed="81"/>
            <rFont val="Tahoma"/>
            <family val="2"/>
          </rPr>
          <t>Tushar kumar:</t>
        </r>
        <r>
          <rPr>
            <sz val="9"/>
            <color indexed="81"/>
            <rFont val="Tahoma"/>
            <family val="2"/>
          </rPr>
          <t xml:space="preserve">
Estimated cost assumption: 70% of sales amount; implied profit is 30% of sales amount.</t>
        </r>
      </text>
    </comment>
    <comment ref="R80" authorId="0" shapeId="0" xr:uid="{8AC08AB6-FF94-4150-A033-9DC0E4566D28}">
      <text>
        <r>
          <rPr>
            <b/>
            <sz val="9"/>
            <color indexed="81"/>
            <rFont val="Tahoma"/>
            <family val="2"/>
          </rPr>
          <t>Tushar kumar:</t>
        </r>
        <r>
          <rPr>
            <sz val="9"/>
            <color indexed="81"/>
            <rFont val="Tahoma"/>
            <family val="2"/>
          </rPr>
          <t xml:space="preserve">
Profit is calculated as amount less cost.</t>
        </r>
      </text>
    </comment>
    <comment ref="Q81" authorId="0" shapeId="0" xr:uid="{1B711952-23D3-4C27-A03B-B7822E21599D}">
      <text>
        <r>
          <rPr>
            <b/>
            <sz val="9"/>
            <color indexed="81"/>
            <rFont val="Tahoma"/>
            <family val="2"/>
          </rPr>
          <t>Tushar kumar:</t>
        </r>
        <r>
          <rPr>
            <sz val="9"/>
            <color indexed="81"/>
            <rFont val="Tahoma"/>
            <family val="2"/>
          </rPr>
          <t xml:space="preserve">
Estimated cost assumption: 70% of sales amount; implied profit is 30% of sales amount.</t>
        </r>
      </text>
    </comment>
    <comment ref="R81" authorId="0" shapeId="0" xr:uid="{577EB11F-4F78-4A0E-ABE7-698E54168B0A}">
      <text>
        <r>
          <rPr>
            <b/>
            <sz val="9"/>
            <color indexed="81"/>
            <rFont val="Tahoma"/>
            <family val="2"/>
          </rPr>
          <t>Tushar kumar:</t>
        </r>
        <r>
          <rPr>
            <sz val="9"/>
            <color indexed="81"/>
            <rFont val="Tahoma"/>
            <family val="2"/>
          </rPr>
          <t xml:space="preserve">
Profit is calculated as amount less cost.</t>
        </r>
      </text>
    </comment>
    <comment ref="Q82" authorId="0" shapeId="0" xr:uid="{93AEB9C6-0994-44F2-B0B1-8F9284ABFACB}">
      <text>
        <r>
          <rPr>
            <b/>
            <sz val="9"/>
            <color indexed="81"/>
            <rFont val="Tahoma"/>
            <family val="2"/>
          </rPr>
          <t>Tushar kumar:</t>
        </r>
        <r>
          <rPr>
            <sz val="9"/>
            <color indexed="81"/>
            <rFont val="Tahoma"/>
            <family val="2"/>
          </rPr>
          <t xml:space="preserve">
Estimated cost assumption: 70% of sales amount; implied profit is 30% of sales amount.</t>
        </r>
      </text>
    </comment>
    <comment ref="R82" authorId="0" shapeId="0" xr:uid="{36536630-9D9B-40F4-9B73-4053116A0F63}">
      <text>
        <r>
          <rPr>
            <b/>
            <sz val="9"/>
            <color indexed="81"/>
            <rFont val="Tahoma"/>
            <family val="2"/>
          </rPr>
          <t>Tushar kumar:</t>
        </r>
        <r>
          <rPr>
            <sz val="9"/>
            <color indexed="81"/>
            <rFont val="Tahoma"/>
            <family val="2"/>
          </rPr>
          <t xml:space="preserve">
Profit is calculated as amount less cost.</t>
        </r>
      </text>
    </comment>
    <comment ref="Q83" authorId="0" shapeId="0" xr:uid="{390CC931-AB1B-4E60-A328-F2200BE14A54}">
      <text>
        <r>
          <rPr>
            <b/>
            <sz val="9"/>
            <color indexed="81"/>
            <rFont val="Tahoma"/>
            <family val="2"/>
          </rPr>
          <t>Tushar kumar:</t>
        </r>
        <r>
          <rPr>
            <sz val="9"/>
            <color indexed="81"/>
            <rFont val="Tahoma"/>
            <family val="2"/>
          </rPr>
          <t xml:space="preserve">
Estimated cost assumption: 70% of sales amount; implied profit is 30% of sales amount.</t>
        </r>
      </text>
    </comment>
    <comment ref="R83" authorId="0" shapeId="0" xr:uid="{610AB76D-AB77-449F-9539-2C3703E95A19}">
      <text>
        <r>
          <rPr>
            <b/>
            <sz val="9"/>
            <color indexed="81"/>
            <rFont val="Tahoma"/>
            <family val="2"/>
          </rPr>
          <t>Tushar kumar:</t>
        </r>
        <r>
          <rPr>
            <sz val="9"/>
            <color indexed="81"/>
            <rFont val="Tahoma"/>
            <family val="2"/>
          </rPr>
          <t xml:space="preserve">
Profit is calculated as amount less cost.</t>
        </r>
      </text>
    </comment>
    <comment ref="Q84" authorId="0" shapeId="0" xr:uid="{BD6FA60A-925A-4A3F-8DE7-712B48236C53}">
      <text>
        <r>
          <rPr>
            <b/>
            <sz val="9"/>
            <color indexed="81"/>
            <rFont val="Tahoma"/>
            <family val="2"/>
          </rPr>
          <t>Tushar kumar:</t>
        </r>
        <r>
          <rPr>
            <sz val="9"/>
            <color indexed="81"/>
            <rFont val="Tahoma"/>
            <family val="2"/>
          </rPr>
          <t xml:space="preserve">
Estimated cost assumption: 70% of sales amount; implied profit is 30% of sales amount.</t>
        </r>
      </text>
    </comment>
    <comment ref="R84" authorId="0" shapeId="0" xr:uid="{2D6185C2-EFF3-45CE-8DA1-5A630A4B970C}">
      <text>
        <r>
          <rPr>
            <b/>
            <sz val="9"/>
            <color indexed="81"/>
            <rFont val="Tahoma"/>
            <family val="2"/>
          </rPr>
          <t>Tushar kumar:</t>
        </r>
        <r>
          <rPr>
            <sz val="9"/>
            <color indexed="81"/>
            <rFont val="Tahoma"/>
            <family val="2"/>
          </rPr>
          <t xml:space="preserve">
Profit is calculated as amount less cost.</t>
        </r>
      </text>
    </comment>
    <comment ref="Q85" authorId="0" shapeId="0" xr:uid="{EB35F302-D406-45BD-8253-ABBB5EF57923}">
      <text>
        <r>
          <rPr>
            <b/>
            <sz val="9"/>
            <color indexed="81"/>
            <rFont val="Tahoma"/>
            <family val="2"/>
          </rPr>
          <t>Tushar kumar:</t>
        </r>
        <r>
          <rPr>
            <sz val="9"/>
            <color indexed="81"/>
            <rFont val="Tahoma"/>
            <family val="2"/>
          </rPr>
          <t xml:space="preserve">
Estimated cost assumption: 70% of sales amount; implied profit is 30% of sales amount.</t>
        </r>
      </text>
    </comment>
    <comment ref="R85" authorId="0" shapeId="0" xr:uid="{ED580AE5-45A9-4A06-9A01-7A16E420EC56}">
      <text>
        <r>
          <rPr>
            <b/>
            <sz val="9"/>
            <color indexed="81"/>
            <rFont val="Tahoma"/>
            <family val="2"/>
          </rPr>
          <t>Tushar kumar:</t>
        </r>
        <r>
          <rPr>
            <sz val="9"/>
            <color indexed="81"/>
            <rFont val="Tahoma"/>
            <family val="2"/>
          </rPr>
          <t xml:space="preserve">
Profit is calculated as amount less cost.</t>
        </r>
      </text>
    </comment>
    <comment ref="Q86" authorId="0" shapeId="0" xr:uid="{E7555CEE-384B-4427-9733-3BDA7421E8D6}">
      <text>
        <r>
          <rPr>
            <b/>
            <sz val="9"/>
            <color indexed="81"/>
            <rFont val="Tahoma"/>
            <family val="2"/>
          </rPr>
          <t>Tushar kumar:</t>
        </r>
        <r>
          <rPr>
            <sz val="9"/>
            <color indexed="81"/>
            <rFont val="Tahoma"/>
            <family val="2"/>
          </rPr>
          <t xml:space="preserve">
Estimated cost assumption: 70% of sales amount; implied profit is 30% of sales amount.</t>
        </r>
      </text>
    </comment>
    <comment ref="R86" authorId="0" shapeId="0" xr:uid="{B7A82635-500F-48EC-8BCE-EB68D520AA5E}">
      <text>
        <r>
          <rPr>
            <b/>
            <sz val="9"/>
            <color indexed="81"/>
            <rFont val="Tahoma"/>
            <family val="2"/>
          </rPr>
          <t>Tushar kumar:</t>
        </r>
        <r>
          <rPr>
            <sz val="9"/>
            <color indexed="81"/>
            <rFont val="Tahoma"/>
            <family val="2"/>
          </rPr>
          <t xml:space="preserve">
Profit is calculated as amount less cost.</t>
        </r>
      </text>
    </comment>
    <comment ref="Q87" authorId="0" shapeId="0" xr:uid="{8EE3127B-15FB-4138-BB00-D0F948E3725E}">
      <text>
        <r>
          <rPr>
            <b/>
            <sz val="9"/>
            <color indexed="81"/>
            <rFont val="Tahoma"/>
            <family val="2"/>
          </rPr>
          <t>Tushar kumar:</t>
        </r>
        <r>
          <rPr>
            <sz val="9"/>
            <color indexed="81"/>
            <rFont val="Tahoma"/>
            <family val="2"/>
          </rPr>
          <t xml:space="preserve">
Estimated cost assumption: 70% of sales amount; implied profit is 30% of sales amount.</t>
        </r>
      </text>
    </comment>
    <comment ref="R87" authorId="0" shapeId="0" xr:uid="{4191AD26-3D11-42F7-8441-9C368A0AD721}">
      <text>
        <r>
          <rPr>
            <b/>
            <sz val="9"/>
            <color indexed="81"/>
            <rFont val="Tahoma"/>
            <family val="2"/>
          </rPr>
          <t>Tushar kumar:</t>
        </r>
        <r>
          <rPr>
            <sz val="9"/>
            <color indexed="81"/>
            <rFont val="Tahoma"/>
            <family val="2"/>
          </rPr>
          <t xml:space="preserve">
Profit is calculated as amount less cost.</t>
        </r>
      </text>
    </comment>
    <comment ref="Q88" authorId="0" shapeId="0" xr:uid="{5C032EB9-0179-43EF-8D08-4D60A3092BB1}">
      <text>
        <r>
          <rPr>
            <b/>
            <sz val="9"/>
            <color indexed="81"/>
            <rFont val="Tahoma"/>
            <family val="2"/>
          </rPr>
          <t>Tushar kumar:</t>
        </r>
        <r>
          <rPr>
            <sz val="9"/>
            <color indexed="81"/>
            <rFont val="Tahoma"/>
            <family val="2"/>
          </rPr>
          <t xml:space="preserve">
Estimated cost assumption: 70% of sales amount; implied profit is 30% of sales amount.</t>
        </r>
      </text>
    </comment>
    <comment ref="R88" authorId="0" shapeId="0" xr:uid="{2BEC2228-7C5C-41F1-BE96-904F269FD46C}">
      <text>
        <r>
          <rPr>
            <b/>
            <sz val="9"/>
            <color indexed="81"/>
            <rFont val="Tahoma"/>
            <family val="2"/>
          </rPr>
          <t>Tushar kumar:</t>
        </r>
        <r>
          <rPr>
            <sz val="9"/>
            <color indexed="81"/>
            <rFont val="Tahoma"/>
            <family val="2"/>
          </rPr>
          <t xml:space="preserve">
Profit is calculated as amount less cost.</t>
        </r>
      </text>
    </comment>
    <comment ref="Q89" authorId="0" shapeId="0" xr:uid="{5B00B4B5-1259-4AF7-A5C8-7C0862BE1486}">
      <text>
        <r>
          <rPr>
            <b/>
            <sz val="9"/>
            <color indexed="81"/>
            <rFont val="Tahoma"/>
            <family val="2"/>
          </rPr>
          <t>Tushar kumar:</t>
        </r>
        <r>
          <rPr>
            <sz val="9"/>
            <color indexed="81"/>
            <rFont val="Tahoma"/>
            <family val="2"/>
          </rPr>
          <t xml:space="preserve">
Estimated cost assumption: 70% of sales amount; implied profit is 30% of sales amount.</t>
        </r>
      </text>
    </comment>
    <comment ref="R89" authorId="0" shapeId="0" xr:uid="{0A9A7F99-A4EF-4D21-9DCF-AD5BACD62BFD}">
      <text>
        <r>
          <rPr>
            <b/>
            <sz val="9"/>
            <color indexed="81"/>
            <rFont val="Tahoma"/>
            <family val="2"/>
          </rPr>
          <t>Tushar kumar:</t>
        </r>
        <r>
          <rPr>
            <sz val="9"/>
            <color indexed="81"/>
            <rFont val="Tahoma"/>
            <family val="2"/>
          </rPr>
          <t xml:space="preserve">
Profit is calculated as amount less cost.</t>
        </r>
      </text>
    </comment>
    <comment ref="Q90" authorId="0" shapeId="0" xr:uid="{1404FA78-FF86-4B5E-BB8C-8F90412AC11E}">
      <text>
        <r>
          <rPr>
            <b/>
            <sz val="9"/>
            <color indexed="81"/>
            <rFont val="Tahoma"/>
            <family val="2"/>
          </rPr>
          <t>Tushar kumar:</t>
        </r>
        <r>
          <rPr>
            <sz val="9"/>
            <color indexed="81"/>
            <rFont val="Tahoma"/>
            <family val="2"/>
          </rPr>
          <t xml:space="preserve">
Estimated cost assumption: 70% of sales amount; implied profit is 30% of sales amount.</t>
        </r>
      </text>
    </comment>
    <comment ref="R90" authorId="0" shapeId="0" xr:uid="{35B7042D-4C61-40E8-B25D-E05649FB8E6C}">
      <text>
        <r>
          <rPr>
            <b/>
            <sz val="9"/>
            <color indexed="81"/>
            <rFont val="Tahoma"/>
            <family val="2"/>
          </rPr>
          <t>Tushar kumar:</t>
        </r>
        <r>
          <rPr>
            <sz val="9"/>
            <color indexed="81"/>
            <rFont val="Tahoma"/>
            <family val="2"/>
          </rPr>
          <t xml:space="preserve">
Profit is calculated as amount less cost.</t>
        </r>
      </text>
    </comment>
    <comment ref="Q91" authorId="0" shapeId="0" xr:uid="{275F62C9-7715-4E89-89D3-9312FB38DB23}">
      <text>
        <r>
          <rPr>
            <b/>
            <sz val="9"/>
            <color indexed="81"/>
            <rFont val="Tahoma"/>
            <family val="2"/>
          </rPr>
          <t>Tushar kumar:</t>
        </r>
        <r>
          <rPr>
            <sz val="9"/>
            <color indexed="81"/>
            <rFont val="Tahoma"/>
            <family val="2"/>
          </rPr>
          <t xml:space="preserve">
Estimated cost assumption: 70% of sales amount; implied profit is 30% of sales amount.</t>
        </r>
      </text>
    </comment>
    <comment ref="R91" authorId="0" shapeId="0" xr:uid="{B9F61955-81AB-4D44-8BB3-9CE87008FADC}">
      <text>
        <r>
          <rPr>
            <b/>
            <sz val="9"/>
            <color indexed="81"/>
            <rFont val="Tahoma"/>
            <family val="2"/>
          </rPr>
          <t>Tushar kumar:</t>
        </r>
        <r>
          <rPr>
            <sz val="9"/>
            <color indexed="81"/>
            <rFont val="Tahoma"/>
            <family val="2"/>
          </rPr>
          <t xml:space="preserve">
Profit is calculated as amount less cost.</t>
        </r>
      </text>
    </comment>
    <comment ref="Q92" authorId="0" shapeId="0" xr:uid="{E62D52F3-FB17-42E3-A428-4ADC93BA3D14}">
      <text>
        <r>
          <rPr>
            <b/>
            <sz val="9"/>
            <color indexed="81"/>
            <rFont val="Tahoma"/>
            <family val="2"/>
          </rPr>
          <t>Tushar kumar:</t>
        </r>
        <r>
          <rPr>
            <sz val="9"/>
            <color indexed="81"/>
            <rFont val="Tahoma"/>
            <family val="2"/>
          </rPr>
          <t xml:space="preserve">
Estimated cost assumption: 70% of sales amount; implied profit is 30% of sales amount.</t>
        </r>
      </text>
    </comment>
    <comment ref="R92" authorId="0" shapeId="0" xr:uid="{DB0D296E-EADE-4BCD-979A-4D0A65794907}">
      <text>
        <r>
          <rPr>
            <b/>
            <sz val="9"/>
            <color indexed="81"/>
            <rFont val="Tahoma"/>
            <family val="2"/>
          </rPr>
          <t>Tushar kumar:</t>
        </r>
        <r>
          <rPr>
            <sz val="9"/>
            <color indexed="81"/>
            <rFont val="Tahoma"/>
            <family val="2"/>
          </rPr>
          <t xml:space="preserve">
Profit is calculated as amount less cost.</t>
        </r>
      </text>
    </comment>
    <comment ref="Q93" authorId="0" shapeId="0" xr:uid="{721E96E5-30AF-4719-B6EA-DFB0C1CE212A}">
      <text>
        <r>
          <rPr>
            <b/>
            <sz val="9"/>
            <color indexed="81"/>
            <rFont val="Tahoma"/>
            <family val="2"/>
          </rPr>
          <t>Tushar kumar:</t>
        </r>
        <r>
          <rPr>
            <sz val="9"/>
            <color indexed="81"/>
            <rFont val="Tahoma"/>
            <family val="2"/>
          </rPr>
          <t xml:space="preserve">
Estimated cost assumption: 70% of sales amount; implied profit is 30% of sales amount.</t>
        </r>
      </text>
    </comment>
    <comment ref="R93" authorId="0" shapeId="0" xr:uid="{C342ADB4-033C-49A0-A62E-543627E19166}">
      <text>
        <r>
          <rPr>
            <b/>
            <sz val="9"/>
            <color indexed="81"/>
            <rFont val="Tahoma"/>
            <family val="2"/>
          </rPr>
          <t>Tushar kumar:</t>
        </r>
        <r>
          <rPr>
            <sz val="9"/>
            <color indexed="81"/>
            <rFont val="Tahoma"/>
            <family val="2"/>
          </rPr>
          <t xml:space="preserve">
Profit is calculated as amount less cost.</t>
        </r>
      </text>
    </comment>
    <comment ref="Q94" authorId="0" shapeId="0" xr:uid="{6AA43FBC-930C-4644-AEFB-B9D099BC5AEA}">
      <text>
        <r>
          <rPr>
            <b/>
            <sz val="9"/>
            <color indexed="81"/>
            <rFont val="Tahoma"/>
            <family val="2"/>
          </rPr>
          <t>Tushar kumar:</t>
        </r>
        <r>
          <rPr>
            <sz val="9"/>
            <color indexed="81"/>
            <rFont val="Tahoma"/>
            <family val="2"/>
          </rPr>
          <t xml:space="preserve">
Estimated cost assumption: 70% of sales amount; implied profit is 30% of sales amount.</t>
        </r>
      </text>
    </comment>
    <comment ref="R94" authorId="0" shapeId="0" xr:uid="{AFA0C7C1-A65E-4025-B46E-CBF934B738D4}">
      <text>
        <r>
          <rPr>
            <b/>
            <sz val="9"/>
            <color indexed="81"/>
            <rFont val="Tahoma"/>
            <family val="2"/>
          </rPr>
          <t>Tushar kumar:</t>
        </r>
        <r>
          <rPr>
            <sz val="9"/>
            <color indexed="81"/>
            <rFont val="Tahoma"/>
            <family val="2"/>
          </rPr>
          <t xml:space="preserve">
Profit is calculated as amount less cost.</t>
        </r>
      </text>
    </comment>
    <comment ref="Q95" authorId="0" shapeId="0" xr:uid="{6F9514D9-FA30-44F4-B5B6-D1D3CDDE66E1}">
      <text>
        <r>
          <rPr>
            <b/>
            <sz val="9"/>
            <color indexed="81"/>
            <rFont val="Tahoma"/>
            <family val="2"/>
          </rPr>
          <t>Tushar kumar:</t>
        </r>
        <r>
          <rPr>
            <sz val="9"/>
            <color indexed="81"/>
            <rFont val="Tahoma"/>
            <family val="2"/>
          </rPr>
          <t xml:space="preserve">
Estimated cost assumption: 70% of sales amount; implied profit is 30% of sales amount.</t>
        </r>
      </text>
    </comment>
    <comment ref="R95" authorId="0" shapeId="0" xr:uid="{A45B614E-D7BD-44ED-AD2D-D6DD325F3161}">
      <text>
        <r>
          <rPr>
            <b/>
            <sz val="9"/>
            <color indexed="81"/>
            <rFont val="Tahoma"/>
            <family val="2"/>
          </rPr>
          <t>Tushar kumar:</t>
        </r>
        <r>
          <rPr>
            <sz val="9"/>
            <color indexed="81"/>
            <rFont val="Tahoma"/>
            <family val="2"/>
          </rPr>
          <t xml:space="preserve">
Profit is calculated as amount less cost.</t>
        </r>
      </text>
    </comment>
    <comment ref="Q96" authorId="0" shapeId="0" xr:uid="{9E52EC9B-787C-4109-8214-D51A803E6CB7}">
      <text>
        <r>
          <rPr>
            <b/>
            <sz val="9"/>
            <color indexed="81"/>
            <rFont val="Tahoma"/>
            <family val="2"/>
          </rPr>
          <t>Tushar kumar:</t>
        </r>
        <r>
          <rPr>
            <sz val="9"/>
            <color indexed="81"/>
            <rFont val="Tahoma"/>
            <family val="2"/>
          </rPr>
          <t xml:space="preserve">
Estimated cost assumption: 70% of sales amount; implied profit is 30% of sales amount.</t>
        </r>
      </text>
    </comment>
    <comment ref="R96" authorId="0" shapeId="0" xr:uid="{6925D8BF-F65E-4C78-9899-78ED2C50B9BD}">
      <text>
        <r>
          <rPr>
            <b/>
            <sz val="9"/>
            <color indexed="81"/>
            <rFont val="Tahoma"/>
            <family val="2"/>
          </rPr>
          <t>Tushar kumar:</t>
        </r>
        <r>
          <rPr>
            <sz val="9"/>
            <color indexed="81"/>
            <rFont val="Tahoma"/>
            <family val="2"/>
          </rPr>
          <t xml:space="preserve">
Profit is calculated as amount less cost.</t>
        </r>
      </text>
    </comment>
    <comment ref="Q97" authorId="0" shapeId="0" xr:uid="{E8DC57A8-2D95-4036-9088-6AFEE3D75585}">
      <text>
        <r>
          <rPr>
            <b/>
            <sz val="9"/>
            <color indexed="81"/>
            <rFont val="Tahoma"/>
            <family val="2"/>
          </rPr>
          <t>Tushar kumar:</t>
        </r>
        <r>
          <rPr>
            <sz val="9"/>
            <color indexed="81"/>
            <rFont val="Tahoma"/>
            <family val="2"/>
          </rPr>
          <t xml:space="preserve">
Estimated cost assumption: 70% of sales amount; implied profit is 30% of sales amount.</t>
        </r>
      </text>
    </comment>
    <comment ref="R97" authorId="0" shapeId="0" xr:uid="{D04CE59C-DF15-44C8-99EA-AB54C5A5C3DC}">
      <text>
        <r>
          <rPr>
            <b/>
            <sz val="9"/>
            <color indexed="81"/>
            <rFont val="Tahoma"/>
            <family val="2"/>
          </rPr>
          <t>Tushar kumar:</t>
        </r>
        <r>
          <rPr>
            <sz val="9"/>
            <color indexed="81"/>
            <rFont val="Tahoma"/>
            <family val="2"/>
          </rPr>
          <t xml:space="preserve">
Profit is calculated as amount less cost.</t>
        </r>
      </text>
    </comment>
    <comment ref="Q98" authorId="0" shapeId="0" xr:uid="{AE559534-C46B-4C7B-8F50-80E5DF9BC2A5}">
      <text>
        <r>
          <rPr>
            <b/>
            <sz val="9"/>
            <color indexed="81"/>
            <rFont val="Tahoma"/>
            <family val="2"/>
          </rPr>
          <t>Tushar kumar:</t>
        </r>
        <r>
          <rPr>
            <sz val="9"/>
            <color indexed="81"/>
            <rFont val="Tahoma"/>
            <family val="2"/>
          </rPr>
          <t xml:space="preserve">
Estimated cost assumption: 70% of sales amount; implied profit is 30% of sales amount.</t>
        </r>
      </text>
    </comment>
    <comment ref="R98" authorId="0" shapeId="0" xr:uid="{E5B6C7E9-0A0C-45CD-8024-813183A7F7CC}">
      <text>
        <r>
          <rPr>
            <b/>
            <sz val="9"/>
            <color indexed="81"/>
            <rFont val="Tahoma"/>
            <family val="2"/>
          </rPr>
          <t>Tushar kumar:</t>
        </r>
        <r>
          <rPr>
            <sz val="9"/>
            <color indexed="81"/>
            <rFont val="Tahoma"/>
            <family val="2"/>
          </rPr>
          <t xml:space="preserve">
Profit is calculated as amount less cost.</t>
        </r>
      </text>
    </comment>
    <comment ref="Q99" authorId="0" shapeId="0" xr:uid="{59F1A76C-E48B-4137-A3BA-B15E2EEA6276}">
      <text>
        <r>
          <rPr>
            <b/>
            <sz val="9"/>
            <color indexed="81"/>
            <rFont val="Tahoma"/>
            <family val="2"/>
          </rPr>
          <t>Tushar kumar:</t>
        </r>
        <r>
          <rPr>
            <sz val="9"/>
            <color indexed="81"/>
            <rFont val="Tahoma"/>
            <family val="2"/>
          </rPr>
          <t xml:space="preserve">
Estimated cost assumption: 70% of sales amount; implied profit is 30% of sales amount.</t>
        </r>
      </text>
    </comment>
    <comment ref="R99" authorId="0" shapeId="0" xr:uid="{3AC2A85C-BE8C-460D-868A-0211C366EA5F}">
      <text>
        <r>
          <rPr>
            <b/>
            <sz val="9"/>
            <color indexed="81"/>
            <rFont val="Tahoma"/>
            <family val="2"/>
          </rPr>
          <t>Tushar kumar:</t>
        </r>
        <r>
          <rPr>
            <sz val="9"/>
            <color indexed="81"/>
            <rFont val="Tahoma"/>
            <family val="2"/>
          </rPr>
          <t xml:space="preserve">
Profit is calculated as amount less cost.</t>
        </r>
      </text>
    </comment>
    <comment ref="Q100" authorId="0" shapeId="0" xr:uid="{4705CCDC-A4F3-4DD3-AC78-8CA2CED7037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0" authorId="0" shapeId="0" xr:uid="{D5E1F6A2-E6D3-43B5-A37F-57133A2E8D89}">
      <text>
        <r>
          <rPr>
            <b/>
            <sz val="9"/>
            <color indexed="81"/>
            <rFont val="Tahoma"/>
            <family val="2"/>
          </rPr>
          <t>Tushar kumar:</t>
        </r>
        <r>
          <rPr>
            <sz val="9"/>
            <color indexed="81"/>
            <rFont val="Tahoma"/>
            <family val="2"/>
          </rPr>
          <t xml:space="preserve">
Profit is calculated as amount less cost.</t>
        </r>
      </text>
    </comment>
    <comment ref="Q101" authorId="0" shapeId="0" xr:uid="{197A2E22-D527-4EA5-BC46-58790E870A78}">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1" authorId="0" shapeId="0" xr:uid="{B3CBD3ED-51E9-4688-B5D4-CCF20CAB4D8D}">
      <text>
        <r>
          <rPr>
            <b/>
            <sz val="9"/>
            <color indexed="81"/>
            <rFont val="Tahoma"/>
            <family val="2"/>
          </rPr>
          <t>Tushar kumar:</t>
        </r>
        <r>
          <rPr>
            <sz val="9"/>
            <color indexed="81"/>
            <rFont val="Tahoma"/>
            <family val="2"/>
          </rPr>
          <t xml:space="preserve">
Profit is calculated as amount less cost.</t>
        </r>
      </text>
    </comment>
    <comment ref="Q102" authorId="0" shapeId="0" xr:uid="{18308D6D-FC72-4F94-B9FC-457A6C3861C2}">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2" authorId="0" shapeId="0" xr:uid="{DB674D19-8988-43CF-90A3-257AA30CF0F6}">
      <text>
        <r>
          <rPr>
            <b/>
            <sz val="9"/>
            <color indexed="81"/>
            <rFont val="Tahoma"/>
            <family val="2"/>
          </rPr>
          <t>Tushar kumar:</t>
        </r>
        <r>
          <rPr>
            <sz val="9"/>
            <color indexed="81"/>
            <rFont val="Tahoma"/>
            <family val="2"/>
          </rPr>
          <t xml:space="preserve">
Profit is calculated as amount less cost.</t>
        </r>
      </text>
    </comment>
    <comment ref="Q103" authorId="0" shapeId="0" xr:uid="{1CAAC2C9-C671-4150-8594-217B53E512E8}">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3" authorId="0" shapeId="0" xr:uid="{97B68C00-DDC7-4B4C-8BCA-9B0C379C3A65}">
      <text>
        <r>
          <rPr>
            <b/>
            <sz val="9"/>
            <color indexed="81"/>
            <rFont val="Tahoma"/>
            <family val="2"/>
          </rPr>
          <t>Tushar kumar:</t>
        </r>
        <r>
          <rPr>
            <sz val="9"/>
            <color indexed="81"/>
            <rFont val="Tahoma"/>
            <family val="2"/>
          </rPr>
          <t xml:space="preserve">
Profit is calculated as amount less cost.</t>
        </r>
      </text>
    </comment>
    <comment ref="Q104" authorId="0" shapeId="0" xr:uid="{12FAFF1F-B981-4C0E-B79A-C25769A7FB1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4" authorId="0" shapeId="0" xr:uid="{FCBB8FAA-3FA0-4ABC-99A6-41E6D05201B8}">
      <text>
        <r>
          <rPr>
            <b/>
            <sz val="9"/>
            <color indexed="81"/>
            <rFont val="Tahoma"/>
            <family val="2"/>
          </rPr>
          <t>Tushar kumar:</t>
        </r>
        <r>
          <rPr>
            <sz val="9"/>
            <color indexed="81"/>
            <rFont val="Tahoma"/>
            <family val="2"/>
          </rPr>
          <t xml:space="preserve">
Profit is calculated as amount less cost.</t>
        </r>
      </text>
    </comment>
    <comment ref="Q105" authorId="0" shapeId="0" xr:uid="{3FF24F99-9F6D-433F-ACB1-3FC61F1356FE}">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5" authorId="0" shapeId="0" xr:uid="{6C6C32E6-8387-41DE-9CAD-A70422E0F90E}">
      <text>
        <r>
          <rPr>
            <b/>
            <sz val="9"/>
            <color indexed="81"/>
            <rFont val="Tahoma"/>
            <family val="2"/>
          </rPr>
          <t>Tushar kumar:</t>
        </r>
        <r>
          <rPr>
            <sz val="9"/>
            <color indexed="81"/>
            <rFont val="Tahoma"/>
            <family val="2"/>
          </rPr>
          <t xml:space="preserve">
Profit is calculated as amount less cost.</t>
        </r>
      </text>
    </comment>
    <comment ref="Q106" authorId="0" shapeId="0" xr:uid="{7FAD49F3-4AD6-4E1E-94B5-497994B29B0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6" authorId="0" shapeId="0" xr:uid="{D4608DC5-81B5-4380-B9EB-D9FEC3ECEB5F}">
      <text>
        <r>
          <rPr>
            <b/>
            <sz val="9"/>
            <color indexed="81"/>
            <rFont val="Tahoma"/>
            <family val="2"/>
          </rPr>
          <t>Tushar kumar:</t>
        </r>
        <r>
          <rPr>
            <sz val="9"/>
            <color indexed="81"/>
            <rFont val="Tahoma"/>
            <family val="2"/>
          </rPr>
          <t xml:space="preserve">
Profit is calculated as amount less cost.</t>
        </r>
      </text>
    </comment>
    <comment ref="Q107" authorId="0" shapeId="0" xr:uid="{9FE29485-83D5-492C-9042-2965565FB016}">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7" authorId="0" shapeId="0" xr:uid="{4733EEF6-CC83-431F-BDC0-F2CD8BC6CE89}">
      <text>
        <r>
          <rPr>
            <b/>
            <sz val="9"/>
            <color indexed="81"/>
            <rFont val="Tahoma"/>
            <family val="2"/>
          </rPr>
          <t>Tushar kumar:</t>
        </r>
        <r>
          <rPr>
            <sz val="9"/>
            <color indexed="81"/>
            <rFont val="Tahoma"/>
            <family val="2"/>
          </rPr>
          <t xml:space="preserve">
Profit is calculated as amount less cost.</t>
        </r>
      </text>
    </comment>
    <comment ref="Q108" authorId="0" shapeId="0" xr:uid="{059B1433-E2CD-4CFD-B853-F1621FBA1D1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8" authorId="0" shapeId="0" xr:uid="{5DF175D4-1E46-47EC-99D5-CC1ADCA218DF}">
      <text>
        <r>
          <rPr>
            <b/>
            <sz val="9"/>
            <color indexed="81"/>
            <rFont val="Tahoma"/>
            <family val="2"/>
          </rPr>
          <t>Tushar kumar:</t>
        </r>
        <r>
          <rPr>
            <sz val="9"/>
            <color indexed="81"/>
            <rFont val="Tahoma"/>
            <family val="2"/>
          </rPr>
          <t xml:space="preserve">
Profit is calculated as amount less cost.</t>
        </r>
      </text>
    </comment>
    <comment ref="Q109" authorId="0" shapeId="0" xr:uid="{071B114C-761C-4DBE-B344-16435FE88C3E}">
      <text>
        <r>
          <rPr>
            <b/>
            <sz val="9"/>
            <color indexed="81"/>
            <rFont val="Tahoma"/>
            <family val="2"/>
          </rPr>
          <t>Tushar kumar:</t>
        </r>
        <r>
          <rPr>
            <sz val="9"/>
            <color indexed="81"/>
            <rFont val="Tahoma"/>
            <family val="2"/>
          </rPr>
          <t xml:space="preserve">
Estimated cost assumption: 70% of sales amount; implied profit is 30% of sales amount.</t>
        </r>
      </text>
    </comment>
    <comment ref="R109" authorId="0" shapeId="0" xr:uid="{8EB3D329-6E74-4F8F-9DE6-2F7F76527179}">
      <text>
        <r>
          <rPr>
            <b/>
            <sz val="9"/>
            <color indexed="81"/>
            <rFont val="Tahoma"/>
            <family val="2"/>
          </rPr>
          <t>Tushar kumar:</t>
        </r>
        <r>
          <rPr>
            <sz val="9"/>
            <color indexed="81"/>
            <rFont val="Tahoma"/>
            <family val="2"/>
          </rPr>
          <t xml:space="preserve">
Profit is calculated as amount less cost.</t>
        </r>
      </text>
    </comment>
    <comment ref="Q110" authorId="0" shapeId="0" xr:uid="{FFF3C90D-E145-40A4-ACE9-3FA1C4D0A95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0" authorId="0" shapeId="0" xr:uid="{0E183167-7742-4788-B902-08161FC5BBEF}">
      <text>
        <r>
          <rPr>
            <b/>
            <sz val="9"/>
            <color indexed="81"/>
            <rFont val="Tahoma"/>
            <family val="2"/>
          </rPr>
          <t>Tushar kumar:</t>
        </r>
        <r>
          <rPr>
            <sz val="9"/>
            <color indexed="81"/>
            <rFont val="Tahoma"/>
            <family val="2"/>
          </rPr>
          <t xml:space="preserve">
Profit is calculated as amount less cost.</t>
        </r>
      </text>
    </comment>
    <comment ref="Q111" authorId="0" shapeId="0" xr:uid="{491DFAF8-82FB-4ECF-B008-281B841B609A}">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1" authorId="0" shapeId="0" xr:uid="{89BD1DAB-AEF6-459D-9D28-18BFC184C490}">
      <text>
        <r>
          <rPr>
            <b/>
            <sz val="9"/>
            <color indexed="81"/>
            <rFont val="Tahoma"/>
            <family val="2"/>
          </rPr>
          <t>Tushar kumar:</t>
        </r>
        <r>
          <rPr>
            <sz val="9"/>
            <color indexed="81"/>
            <rFont val="Tahoma"/>
            <family val="2"/>
          </rPr>
          <t xml:space="preserve">
Profit is calculated as amount less cost.</t>
        </r>
      </text>
    </comment>
    <comment ref="Q112" authorId="0" shapeId="0" xr:uid="{88CA2796-BD6E-4939-A5EA-384CCD87F89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2" authorId="0" shapeId="0" xr:uid="{38D4B297-FD40-4EFC-A912-2049EE5AB183}">
      <text>
        <r>
          <rPr>
            <b/>
            <sz val="9"/>
            <color indexed="81"/>
            <rFont val="Tahoma"/>
            <family val="2"/>
          </rPr>
          <t>Tushar kumar:</t>
        </r>
        <r>
          <rPr>
            <sz val="9"/>
            <color indexed="81"/>
            <rFont val="Tahoma"/>
            <family val="2"/>
          </rPr>
          <t xml:space="preserve">
Profit is calculated as amount less cost.</t>
        </r>
      </text>
    </comment>
    <comment ref="Q113" authorId="0" shapeId="0" xr:uid="{7DF21F0C-14A2-49CB-872A-67C7FAB1E5EE}">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3" authorId="0" shapeId="0" xr:uid="{9A86E331-8222-4817-A569-2C9BC59E3C2A}">
      <text>
        <r>
          <rPr>
            <b/>
            <sz val="9"/>
            <color indexed="81"/>
            <rFont val="Tahoma"/>
            <family val="2"/>
          </rPr>
          <t>Tushar kumar:</t>
        </r>
        <r>
          <rPr>
            <sz val="9"/>
            <color indexed="81"/>
            <rFont val="Tahoma"/>
            <family val="2"/>
          </rPr>
          <t xml:space="preserve">
Profit is calculated as amount less cost.</t>
        </r>
      </text>
    </comment>
    <comment ref="Q114" authorId="0" shapeId="0" xr:uid="{7B5E5C0E-721F-45CB-AC58-A80B8C1E85CF}">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4" authorId="0" shapeId="0" xr:uid="{62CAC75E-8CA4-42FB-90EC-CEE814A407B8}">
      <text>
        <r>
          <rPr>
            <b/>
            <sz val="9"/>
            <color indexed="81"/>
            <rFont val="Tahoma"/>
            <family val="2"/>
          </rPr>
          <t>Tushar kumar:</t>
        </r>
        <r>
          <rPr>
            <sz val="9"/>
            <color indexed="81"/>
            <rFont val="Tahoma"/>
            <family val="2"/>
          </rPr>
          <t xml:space="preserve">
Profit is calculated as amount less cost.</t>
        </r>
      </text>
    </comment>
    <comment ref="Q115" authorId="0" shapeId="0" xr:uid="{FA7D2821-4BDD-4B77-9CA2-A9E8E3AE4ED8}">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5" authorId="0" shapeId="0" xr:uid="{E5EFD3F5-DD90-411E-AD8D-F15477AFA1FB}">
      <text>
        <r>
          <rPr>
            <b/>
            <sz val="9"/>
            <color indexed="81"/>
            <rFont val="Tahoma"/>
            <family val="2"/>
          </rPr>
          <t>Tushar kumar:</t>
        </r>
        <r>
          <rPr>
            <sz val="9"/>
            <color indexed="81"/>
            <rFont val="Tahoma"/>
            <family val="2"/>
          </rPr>
          <t xml:space="preserve">
Profit is calculated as amount less cost.</t>
        </r>
      </text>
    </comment>
    <comment ref="Q116" authorId="0" shapeId="0" xr:uid="{FC81885C-A307-4F2B-81EE-FC647B229E25}">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6" authorId="0" shapeId="0" xr:uid="{353DE5A0-26CB-4337-B38F-DF415A882FBD}">
      <text>
        <r>
          <rPr>
            <b/>
            <sz val="9"/>
            <color indexed="81"/>
            <rFont val="Tahoma"/>
            <family val="2"/>
          </rPr>
          <t>Tushar kumar:</t>
        </r>
        <r>
          <rPr>
            <sz val="9"/>
            <color indexed="81"/>
            <rFont val="Tahoma"/>
            <family val="2"/>
          </rPr>
          <t xml:space="preserve">
Profit is calculated as amount less cost.</t>
        </r>
      </text>
    </comment>
    <comment ref="Q117" authorId="0" shapeId="0" xr:uid="{013F3563-0F6A-43AC-A181-A90E9044AE01}">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7" authorId="0" shapeId="0" xr:uid="{7EAED1F4-65D7-4D61-9ADF-3B4D6D2D256F}">
      <text>
        <r>
          <rPr>
            <b/>
            <sz val="9"/>
            <color indexed="81"/>
            <rFont val="Tahoma"/>
            <family val="2"/>
          </rPr>
          <t>Tushar kumar:</t>
        </r>
        <r>
          <rPr>
            <sz val="9"/>
            <color indexed="81"/>
            <rFont val="Tahoma"/>
            <family val="2"/>
          </rPr>
          <t xml:space="preserve">
Profit is calculated as amount less cost.</t>
        </r>
      </text>
    </comment>
    <comment ref="Q118" authorId="0" shapeId="0" xr:uid="{1ABB70F3-7C69-4434-95B1-8DA8D4AB2931}">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8" authorId="0" shapeId="0" xr:uid="{6EA95876-D4A3-4648-A89C-92B59C2DA56E}">
      <text>
        <r>
          <rPr>
            <b/>
            <sz val="9"/>
            <color indexed="81"/>
            <rFont val="Tahoma"/>
            <family val="2"/>
          </rPr>
          <t>Tushar kumar:</t>
        </r>
        <r>
          <rPr>
            <sz val="9"/>
            <color indexed="81"/>
            <rFont val="Tahoma"/>
            <family val="2"/>
          </rPr>
          <t xml:space="preserve">
Profit is calculated as amount less cost.</t>
        </r>
      </text>
    </comment>
    <comment ref="Q119" authorId="0" shapeId="0" xr:uid="{21645A83-B75F-4A9F-949E-49D3119CB5D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19" authorId="0" shapeId="0" xr:uid="{BBC461A4-0CD3-445A-8E35-A4DC2FDAE683}">
      <text>
        <r>
          <rPr>
            <b/>
            <sz val="9"/>
            <color indexed="81"/>
            <rFont val="Tahoma"/>
            <family val="2"/>
          </rPr>
          <t>Tushar kumar:</t>
        </r>
        <r>
          <rPr>
            <sz val="9"/>
            <color indexed="81"/>
            <rFont val="Tahoma"/>
            <family val="2"/>
          </rPr>
          <t xml:space="preserve">
Profit is calculated as amount less cost.</t>
        </r>
      </text>
    </comment>
    <comment ref="Q120" authorId="0" shapeId="0" xr:uid="{0A80B062-6ABD-4108-A9C8-BAA88AF6D86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0" authorId="0" shapeId="0" xr:uid="{9ADAB5B2-AA39-4FA7-8FAB-172A56A058E9}">
      <text>
        <r>
          <rPr>
            <b/>
            <sz val="9"/>
            <color indexed="81"/>
            <rFont val="Tahoma"/>
            <family val="2"/>
          </rPr>
          <t>Tushar kumar:</t>
        </r>
        <r>
          <rPr>
            <sz val="9"/>
            <color indexed="81"/>
            <rFont val="Tahoma"/>
            <family val="2"/>
          </rPr>
          <t xml:space="preserve">
Profit is calculated as amount less cost.</t>
        </r>
      </text>
    </comment>
    <comment ref="Q121" authorId="0" shapeId="0" xr:uid="{706DFF82-B4D9-4D26-9C6B-1BEF5903DC3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1" authorId="0" shapeId="0" xr:uid="{6B2C4A2A-0E13-447F-92F8-807AD3799C75}">
      <text>
        <r>
          <rPr>
            <b/>
            <sz val="9"/>
            <color indexed="81"/>
            <rFont val="Tahoma"/>
            <family val="2"/>
          </rPr>
          <t>Tushar kumar:</t>
        </r>
        <r>
          <rPr>
            <sz val="9"/>
            <color indexed="81"/>
            <rFont val="Tahoma"/>
            <family val="2"/>
          </rPr>
          <t xml:space="preserve">
Profit is calculated as amount less cost.</t>
        </r>
      </text>
    </comment>
    <comment ref="Q122" authorId="0" shapeId="0" xr:uid="{1053EC58-8A6F-402C-B1B8-840280A6861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2" authorId="0" shapeId="0" xr:uid="{942E2DDD-1756-434E-98A1-64606C2DFADF}">
      <text>
        <r>
          <rPr>
            <b/>
            <sz val="9"/>
            <color indexed="81"/>
            <rFont val="Tahoma"/>
            <family val="2"/>
          </rPr>
          <t>Tushar kumar:</t>
        </r>
        <r>
          <rPr>
            <sz val="9"/>
            <color indexed="81"/>
            <rFont val="Tahoma"/>
            <family val="2"/>
          </rPr>
          <t xml:space="preserve">
Profit is calculated as amount less cost.</t>
        </r>
      </text>
    </comment>
    <comment ref="Q123" authorId="0" shapeId="0" xr:uid="{5ACCA1A7-2BC9-4CF0-B622-EF98463311E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3" authorId="0" shapeId="0" xr:uid="{47A3BDC4-8DEE-4244-BD1C-EDEFF9DF4EF6}">
      <text>
        <r>
          <rPr>
            <b/>
            <sz val="9"/>
            <color indexed="81"/>
            <rFont val="Tahoma"/>
            <family val="2"/>
          </rPr>
          <t>Tushar kumar:</t>
        </r>
        <r>
          <rPr>
            <sz val="9"/>
            <color indexed="81"/>
            <rFont val="Tahoma"/>
            <family val="2"/>
          </rPr>
          <t xml:space="preserve">
Profit is calculated as amount less cost.</t>
        </r>
      </text>
    </comment>
    <comment ref="Q124" authorId="0" shapeId="0" xr:uid="{B35F38A5-2CC8-498A-9F59-308E5EC1079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4" authorId="0" shapeId="0" xr:uid="{2267B2FC-1AA3-437E-8433-BEC219B9B72A}">
      <text>
        <r>
          <rPr>
            <b/>
            <sz val="9"/>
            <color indexed="81"/>
            <rFont val="Tahoma"/>
            <family val="2"/>
          </rPr>
          <t>Tushar kumar:</t>
        </r>
        <r>
          <rPr>
            <sz val="9"/>
            <color indexed="81"/>
            <rFont val="Tahoma"/>
            <family val="2"/>
          </rPr>
          <t xml:space="preserve">
Profit is calculated as amount less cost.</t>
        </r>
      </text>
    </comment>
    <comment ref="Q125" authorId="0" shapeId="0" xr:uid="{48F4D855-EF3C-45A3-9C61-53F2171ADCDF}">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5" authorId="0" shapeId="0" xr:uid="{07401086-0BFF-41D9-807D-3C6685DE2FC3}">
      <text>
        <r>
          <rPr>
            <b/>
            <sz val="9"/>
            <color indexed="81"/>
            <rFont val="Tahoma"/>
            <family val="2"/>
          </rPr>
          <t>Tushar kumar:</t>
        </r>
        <r>
          <rPr>
            <sz val="9"/>
            <color indexed="81"/>
            <rFont val="Tahoma"/>
            <family val="2"/>
          </rPr>
          <t xml:space="preserve">
Profit is calculated as amount less cost.</t>
        </r>
      </text>
    </comment>
    <comment ref="Q126" authorId="0" shapeId="0" xr:uid="{3AB5FDB6-F615-4154-8967-1649E0D14106}">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6" authorId="0" shapeId="0" xr:uid="{B8CAB6EF-2EE0-435D-9352-9B4E4B2A7BFD}">
      <text>
        <r>
          <rPr>
            <b/>
            <sz val="9"/>
            <color indexed="81"/>
            <rFont val="Tahoma"/>
            <family val="2"/>
          </rPr>
          <t>Tushar kumar:</t>
        </r>
        <r>
          <rPr>
            <sz val="9"/>
            <color indexed="81"/>
            <rFont val="Tahoma"/>
            <family val="2"/>
          </rPr>
          <t xml:space="preserve">
Profit is calculated as amount less cost.</t>
        </r>
      </text>
    </comment>
    <comment ref="Q127" authorId="0" shapeId="0" xr:uid="{D44123B8-D3AA-4F7A-9F7E-CA8B4F19C794}">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7" authorId="0" shapeId="0" xr:uid="{E9E15D01-43BE-405E-AC6B-6F732A6AB70C}">
      <text>
        <r>
          <rPr>
            <b/>
            <sz val="9"/>
            <color indexed="81"/>
            <rFont val="Tahoma"/>
            <family val="2"/>
          </rPr>
          <t>Tushar kumar:</t>
        </r>
        <r>
          <rPr>
            <sz val="9"/>
            <color indexed="81"/>
            <rFont val="Tahoma"/>
            <family val="2"/>
          </rPr>
          <t xml:space="preserve">
Profit is calculated as amount less cost.</t>
        </r>
      </text>
    </comment>
    <comment ref="Q128" authorId="0" shapeId="0" xr:uid="{8ACA152C-0EAD-4D88-BA5C-355ABB5228A5}">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8" authorId="0" shapeId="0" xr:uid="{B34A1CBE-D950-4DF1-9CD1-187FD37C38EE}">
      <text>
        <r>
          <rPr>
            <b/>
            <sz val="9"/>
            <color indexed="81"/>
            <rFont val="Tahoma"/>
            <family val="2"/>
          </rPr>
          <t>Tushar kumar:</t>
        </r>
        <r>
          <rPr>
            <sz val="9"/>
            <color indexed="81"/>
            <rFont val="Tahoma"/>
            <family val="2"/>
          </rPr>
          <t xml:space="preserve">
Profit is calculated as amount less cost.</t>
        </r>
      </text>
    </comment>
    <comment ref="Q129" authorId="0" shapeId="0" xr:uid="{C61F9B73-5B68-4DB5-BBB8-AA07C2E0C09F}">
      <text>
        <r>
          <rPr>
            <b/>
            <sz val="9"/>
            <color indexed="81"/>
            <rFont val="Tahoma"/>
            <family val="2"/>
          </rPr>
          <t>Tushar kumar:</t>
        </r>
        <r>
          <rPr>
            <sz val="9"/>
            <color indexed="81"/>
            <rFont val="Tahoma"/>
            <family val="2"/>
          </rPr>
          <t xml:space="preserve">
Estimated cost assumption: 70% of sales amount; implied profit is 30% of sales amount.</t>
        </r>
      </text>
    </comment>
    <comment ref="R129" authorId="0" shapeId="0" xr:uid="{89B96A2A-0606-4E6D-8252-AF48CF2FB734}">
      <text>
        <r>
          <rPr>
            <b/>
            <sz val="9"/>
            <color indexed="81"/>
            <rFont val="Tahoma"/>
            <family val="2"/>
          </rPr>
          <t>Tushar kumar:</t>
        </r>
        <r>
          <rPr>
            <sz val="9"/>
            <color indexed="81"/>
            <rFont val="Tahoma"/>
            <family val="2"/>
          </rPr>
          <t xml:space="preserve">
Profit is calculated as amount less cost.</t>
        </r>
      </text>
    </comment>
    <comment ref="Q130" authorId="0" shapeId="0" xr:uid="{81177D11-6795-4FC7-B74C-72D5B4CC74D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0" authorId="0" shapeId="0" xr:uid="{1B11A671-5CB1-4795-8A61-60A95668FE4D}">
      <text>
        <r>
          <rPr>
            <b/>
            <sz val="9"/>
            <color indexed="81"/>
            <rFont val="Tahoma"/>
            <family val="2"/>
          </rPr>
          <t>Tushar kumar:</t>
        </r>
        <r>
          <rPr>
            <sz val="9"/>
            <color indexed="81"/>
            <rFont val="Tahoma"/>
            <family val="2"/>
          </rPr>
          <t xml:space="preserve">
Profit is calculated as amount less cost.</t>
        </r>
      </text>
    </comment>
    <comment ref="Q131" authorId="0" shapeId="0" xr:uid="{49451268-C9ED-4E70-BC5D-B67D9725A2A6}">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1" authorId="0" shapeId="0" xr:uid="{FA001E37-3D61-47A4-88EC-B56C0DF0E167}">
      <text>
        <r>
          <rPr>
            <b/>
            <sz val="9"/>
            <color indexed="81"/>
            <rFont val="Tahoma"/>
            <family val="2"/>
          </rPr>
          <t>Tushar kumar:</t>
        </r>
        <r>
          <rPr>
            <sz val="9"/>
            <color indexed="81"/>
            <rFont val="Tahoma"/>
            <family val="2"/>
          </rPr>
          <t xml:space="preserve">
Profit is calculated as amount less cost.</t>
        </r>
      </text>
    </comment>
    <comment ref="Q132" authorId="0" shapeId="0" xr:uid="{9DBDCB9E-FD87-4E0D-870F-F022C34CBCF0}">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2" authorId="0" shapeId="0" xr:uid="{1340A5B4-32EE-4286-A0DA-F48537B32DC9}">
      <text>
        <r>
          <rPr>
            <b/>
            <sz val="9"/>
            <color indexed="81"/>
            <rFont val="Tahoma"/>
            <family val="2"/>
          </rPr>
          <t>Tushar kumar:</t>
        </r>
        <r>
          <rPr>
            <sz val="9"/>
            <color indexed="81"/>
            <rFont val="Tahoma"/>
            <family val="2"/>
          </rPr>
          <t xml:space="preserve">
Profit is calculated as amount less cost.</t>
        </r>
      </text>
    </comment>
    <comment ref="Q133" authorId="0" shapeId="0" xr:uid="{B447402F-2AC5-498E-9267-FD979A09A80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3" authorId="0" shapeId="0" xr:uid="{48B47511-D215-4843-9744-2C563EE2AACF}">
      <text>
        <r>
          <rPr>
            <b/>
            <sz val="9"/>
            <color indexed="81"/>
            <rFont val="Tahoma"/>
            <family val="2"/>
          </rPr>
          <t>Tushar kumar:</t>
        </r>
        <r>
          <rPr>
            <sz val="9"/>
            <color indexed="81"/>
            <rFont val="Tahoma"/>
            <family val="2"/>
          </rPr>
          <t xml:space="preserve">
Profit is calculated as amount less cost.</t>
        </r>
      </text>
    </comment>
    <comment ref="Q134" authorId="0" shapeId="0" xr:uid="{54B41D32-7C82-49A2-8478-0F3F8C23BCAA}">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4" authorId="0" shapeId="0" xr:uid="{E5C22D1C-596D-4EF9-83AB-8A4DE2450EC3}">
      <text>
        <r>
          <rPr>
            <b/>
            <sz val="9"/>
            <color indexed="81"/>
            <rFont val="Tahoma"/>
            <family val="2"/>
          </rPr>
          <t>Tushar kumar:</t>
        </r>
        <r>
          <rPr>
            <sz val="9"/>
            <color indexed="81"/>
            <rFont val="Tahoma"/>
            <family val="2"/>
          </rPr>
          <t xml:space="preserve">
Profit is calculated as amount less cost.</t>
        </r>
      </text>
    </comment>
    <comment ref="Q135" authorId="0" shapeId="0" xr:uid="{581CAA96-0622-460A-B3D3-ABB1CDD5A67F}">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5" authorId="0" shapeId="0" xr:uid="{9CE3D5B9-6F52-4307-8E23-B4B267B9D479}">
      <text>
        <r>
          <rPr>
            <b/>
            <sz val="9"/>
            <color indexed="81"/>
            <rFont val="Tahoma"/>
            <family val="2"/>
          </rPr>
          <t>Tushar kumar:</t>
        </r>
        <r>
          <rPr>
            <sz val="9"/>
            <color indexed="81"/>
            <rFont val="Tahoma"/>
            <family val="2"/>
          </rPr>
          <t xml:space="preserve">
Profit is calculated as amount less cost.</t>
        </r>
      </text>
    </comment>
    <comment ref="Q136" authorId="0" shapeId="0" xr:uid="{011256B9-C084-4EB3-8398-09E65B64F158}">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6" authorId="0" shapeId="0" xr:uid="{BB1DC392-8EC7-430C-8396-75A13FCEF3F3}">
      <text>
        <r>
          <rPr>
            <b/>
            <sz val="9"/>
            <color indexed="81"/>
            <rFont val="Tahoma"/>
            <family val="2"/>
          </rPr>
          <t>Tushar kumar:</t>
        </r>
        <r>
          <rPr>
            <sz val="9"/>
            <color indexed="81"/>
            <rFont val="Tahoma"/>
            <family val="2"/>
          </rPr>
          <t xml:space="preserve">
Profit is calculated as amount less cost.</t>
        </r>
      </text>
    </comment>
    <comment ref="Q137" authorId="0" shapeId="0" xr:uid="{0AEF1684-DB86-4439-B777-36E24521F67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7" authorId="0" shapeId="0" xr:uid="{2EAB660B-1C22-4481-BBAD-86E3C388BED3}">
      <text>
        <r>
          <rPr>
            <b/>
            <sz val="9"/>
            <color indexed="81"/>
            <rFont val="Tahoma"/>
            <family val="2"/>
          </rPr>
          <t>Tushar kumar:</t>
        </r>
        <r>
          <rPr>
            <sz val="9"/>
            <color indexed="81"/>
            <rFont val="Tahoma"/>
            <family val="2"/>
          </rPr>
          <t xml:space="preserve">
Profit is calculated as amount less cost.</t>
        </r>
      </text>
    </comment>
    <comment ref="Q138" authorId="0" shapeId="0" xr:uid="{75915F23-ED0D-4E8D-BB64-C6A2182F3341}">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8" authorId="0" shapeId="0" xr:uid="{03CE2C0F-27AD-4D20-B661-E4A89E8B1D46}">
      <text>
        <r>
          <rPr>
            <b/>
            <sz val="9"/>
            <color indexed="81"/>
            <rFont val="Tahoma"/>
            <family val="2"/>
          </rPr>
          <t>Tushar kumar:</t>
        </r>
        <r>
          <rPr>
            <sz val="9"/>
            <color indexed="81"/>
            <rFont val="Tahoma"/>
            <family val="2"/>
          </rPr>
          <t xml:space="preserve">
Profit is calculated as amount less cost.</t>
        </r>
      </text>
    </comment>
    <comment ref="Q139" authorId="0" shapeId="0" xr:uid="{AB5C154F-2D04-4DE3-AB46-EED8AC34DCAA}">
      <text>
        <r>
          <rPr>
            <b/>
            <sz val="9"/>
            <color indexed="81"/>
            <rFont val="Tahoma"/>
            <family val="2"/>
          </rPr>
          <t>Tushar kumar:</t>
        </r>
        <r>
          <rPr>
            <sz val="9"/>
            <color indexed="81"/>
            <rFont val="Tahoma"/>
            <family val="2"/>
          </rPr>
          <t xml:space="preserve">
Estimated cost assumption: 70% of sales amount; implied profit is 30% of sales amount.</t>
        </r>
      </text>
    </comment>
    <comment ref="R139" authorId="0" shapeId="0" xr:uid="{84EFB6CF-5F87-4C5C-9374-0C96FB4BA1FA}">
      <text>
        <r>
          <rPr>
            <b/>
            <sz val="9"/>
            <color indexed="81"/>
            <rFont val="Tahoma"/>
            <family val="2"/>
          </rPr>
          <t>Tushar kumar:</t>
        </r>
        <r>
          <rPr>
            <sz val="9"/>
            <color indexed="81"/>
            <rFont val="Tahoma"/>
            <family val="2"/>
          </rPr>
          <t xml:space="preserve">
Profit is calculated as amount less cost.</t>
        </r>
      </text>
    </comment>
    <comment ref="Q140" authorId="0" shapeId="0" xr:uid="{0FABF5EF-DF88-487A-96F5-14AD3C2F96F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0" authorId="0" shapeId="0" xr:uid="{9D32AD08-0E6D-4BDE-9AFC-A30E7419F3EF}">
      <text>
        <r>
          <rPr>
            <b/>
            <sz val="9"/>
            <color indexed="81"/>
            <rFont val="Tahoma"/>
            <family val="2"/>
          </rPr>
          <t>Tushar kumar:</t>
        </r>
        <r>
          <rPr>
            <sz val="9"/>
            <color indexed="81"/>
            <rFont val="Tahoma"/>
            <family val="2"/>
          </rPr>
          <t xml:space="preserve">
Profit is calculated as amount less cost.</t>
        </r>
      </text>
    </comment>
    <comment ref="Q141" authorId="0" shapeId="0" xr:uid="{443050FA-D8C5-4382-A477-64F287CC20A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1" authorId="0" shapeId="0" xr:uid="{4959CF89-FFA4-4CD2-B651-A92DF32AF426}">
      <text>
        <r>
          <rPr>
            <b/>
            <sz val="9"/>
            <color indexed="81"/>
            <rFont val="Tahoma"/>
            <family val="2"/>
          </rPr>
          <t>Tushar kumar:</t>
        </r>
        <r>
          <rPr>
            <sz val="9"/>
            <color indexed="81"/>
            <rFont val="Tahoma"/>
            <family val="2"/>
          </rPr>
          <t xml:space="preserve">
Profit is calculated as amount less cost.</t>
        </r>
      </text>
    </comment>
    <comment ref="Q142" authorId="0" shapeId="0" xr:uid="{38F59661-91AB-4B18-937A-C5D61FBFDAEA}">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2" authorId="0" shapeId="0" xr:uid="{B53F3A8F-CE12-42FE-848F-7EE1035CA4DA}">
      <text>
        <r>
          <rPr>
            <b/>
            <sz val="9"/>
            <color indexed="81"/>
            <rFont val="Tahoma"/>
            <family val="2"/>
          </rPr>
          <t>Tushar kumar:</t>
        </r>
        <r>
          <rPr>
            <sz val="9"/>
            <color indexed="81"/>
            <rFont val="Tahoma"/>
            <family val="2"/>
          </rPr>
          <t xml:space="preserve">
Profit is calculated as amount less cost.</t>
        </r>
      </text>
    </comment>
    <comment ref="Q143" authorId="0" shapeId="0" xr:uid="{A0519D77-1EC0-4F4B-B99B-C0CC5873D78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3" authorId="0" shapeId="0" xr:uid="{2B94B79A-3523-402E-B05F-5974B302767B}">
      <text>
        <r>
          <rPr>
            <b/>
            <sz val="9"/>
            <color indexed="81"/>
            <rFont val="Tahoma"/>
            <family val="2"/>
          </rPr>
          <t>Tushar kumar:</t>
        </r>
        <r>
          <rPr>
            <sz val="9"/>
            <color indexed="81"/>
            <rFont val="Tahoma"/>
            <family val="2"/>
          </rPr>
          <t xml:space="preserve">
Profit is calculated as amount less cost.</t>
        </r>
      </text>
    </comment>
    <comment ref="Q144" authorId="0" shapeId="0" xr:uid="{D5DB704A-F424-4512-9998-59530ED9AEF3}">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4" authorId="0" shapeId="0" xr:uid="{307ADB33-8D69-47B7-B3FB-0279A6F83F53}">
      <text>
        <r>
          <rPr>
            <b/>
            <sz val="9"/>
            <color indexed="81"/>
            <rFont val="Tahoma"/>
            <family val="2"/>
          </rPr>
          <t>Tushar kumar:</t>
        </r>
        <r>
          <rPr>
            <sz val="9"/>
            <color indexed="81"/>
            <rFont val="Tahoma"/>
            <family val="2"/>
          </rPr>
          <t xml:space="preserve">
Profit is calculated as amount less cost.</t>
        </r>
      </text>
    </comment>
    <comment ref="Q145" authorId="0" shapeId="0" xr:uid="{AE787B0B-F538-4504-A2C1-476E041AE25A}">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5" authorId="0" shapeId="0" xr:uid="{60D7EE8C-C861-43C5-958B-6662FFBEB78A}">
      <text>
        <r>
          <rPr>
            <b/>
            <sz val="9"/>
            <color indexed="81"/>
            <rFont val="Tahoma"/>
            <family val="2"/>
          </rPr>
          <t>Tushar kumar:</t>
        </r>
        <r>
          <rPr>
            <sz val="9"/>
            <color indexed="81"/>
            <rFont val="Tahoma"/>
            <family val="2"/>
          </rPr>
          <t xml:space="preserve">
Profit is calculated as amount less cost.</t>
        </r>
      </text>
    </comment>
    <comment ref="Q146" authorId="0" shapeId="0" xr:uid="{2264F6EC-EDF2-4A0E-BE2B-E469AEFF9C8E}">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6" authorId="0" shapeId="0" xr:uid="{3BCFBE34-1CA3-47FB-8F9D-31E3348FEC54}">
      <text>
        <r>
          <rPr>
            <b/>
            <sz val="9"/>
            <color indexed="81"/>
            <rFont val="Tahoma"/>
            <family val="2"/>
          </rPr>
          <t>Tushar kumar:</t>
        </r>
        <r>
          <rPr>
            <sz val="9"/>
            <color indexed="81"/>
            <rFont val="Tahoma"/>
            <family val="2"/>
          </rPr>
          <t xml:space="preserve">
Profit is calculated as amount less cost.</t>
        </r>
      </text>
    </comment>
    <comment ref="Q147" authorId="0" shapeId="0" xr:uid="{6300D675-C64F-481A-89E1-D78119A2ECB9}">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7" authorId="0" shapeId="0" xr:uid="{C844789E-2D52-4775-A2C1-635BE3F99614}">
      <text>
        <r>
          <rPr>
            <b/>
            <sz val="9"/>
            <color indexed="81"/>
            <rFont val="Tahoma"/>
            <family val="2"/>
          </rPr>
          <t>Tushar kumar:</t>
        </r>
        <r>
          <rPr>
            <sz val="9"/>
            <color indexed="81"/>
            <rFont val="Tahoma"/>
            <family val="2"/>
          </rPr>
          <t xml:space="preserve">
Profit is calculated as amount less cost.</t>
        </r>
      </text>
    </comment>
    <comment ref="Q148" authorId="0" shapeId="0" xr:uid="{78936C79-F5C5-4FB7-B296-9F190C961333}">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8" authorId="0" shapeId="0" xr:uid="{934D2D81-AC8A-43E3-B3A9-49A171B0E5EF}">
      <text>
        <r>
          <rPr>
            <b/>
            <sz val="9"/>
            <color indexed="81"/>
            <rFont val="Tahoma"/>
            <family val="2"/>
          </rPr>
          <t>Tushar kumar:</t>
        </r>
        <r>
          <rPr>
            <sz val="9"/>
            <color indexed="81"/>
            <rFont val="Tahoma"/>
            <family val="2"/>
          </rPr>
          <t xml:space="preserve">
Profit is calculated as amount less cost.</t>
        </r>
      </text>
    </comment>
    <comment ref="Q149" authorId="0" shapeId="0" xr:uid="{B1DB978E-161B-4BFA-93F7-3FD8F0A5711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49" authorId="0" shapeId="0" xr:uid="{D58E62B2-BC84-44D6-A234-B5320A9CDF21}">
      <text>
        <r>
          <rPr>
            <b/>
            <sz val="9"/>
            <color indexed="81"/>
            <rFont val="Tahoma"/>
            <family val="2"/>
          </rPr>
          <t>Tushar kumar:</t>
        </r>
        <r>
          <rPr>
            <sz val="9"/>
            <color indexed="81"/>
            <rFont val="Tahoma"/>
            <family val="2"/>
          </rPr>
          <t xml:space="preserve">
Profit is calculated as amount less cost.</t>
        </r>
      </text>
    </comment>
    <comment ref="Q150" authorId="0" shapeId="0" xr:uid="{4014DC58-F8E6-45C3-B89F-A9E4F7769A94}">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0" authorId="0" shapeId="0" xr:uid="{BE74F70D-4637-474F-8257-4E7F11679DCC}">
      <text>
        <r>
          <rPr>
            <b/>
            <sz val="9"/>
            <color indexed="81"/>
            <rFont val="Tahoma"/>
            <family val="2"/>
          </rPr>
          <t>Tushar kumar:</t>
        </r>
        <r>
          <rPr>
            <sz val="9"/>
            <color indexed="81"/>
            <rFont val="Tahoma"/>
            <family val="2"/>
          </rPr>
          <t xml:space="preserve">
Profit is calculated as amount less cost.</t>
        </r>
      </text>
    </comment>
    <comment ref="Q151" authorId="0" shapeId="0" xr:uid="{C8AE8DD7-F6DF-4236-872D-FAD06129D36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1" authorId="0" shapeId="0" xr:uid="{EACB4B34-DCD6-49FC-A2EC-A42D56C7F3F3}">
      <text>
        <r>
          <rPr>
            <b/>
            <sz val="9"/>
            <color indexed="81"/>
            <rFont val="Tahoma"/>
            <family val="2"/>
          </rPr>
          <t>Tushar kumar:</t>
        </r>
        <r>
          <rPr>
            <sz val="9"/>
            <color indexed="81"/>
            <rFont val="Tahoma"/>
            <family val="2"/>
          </rPr>
          <t xml:space="preserve">
Profit is calculated as amount less cost.</t>
        </r>
      </text>
    </comment>
    <comment ref="Q152" authorId="0" shapeId="0" xr:uid="{6179103F-6654-478E-B46B-26B57A2CAF2E}">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2" authorId="0" shapeId="0" xr:uid="{F2EE20E0-A826-4866-9ED4-21D82102FBD5}">
      <text>
        <r>
          <rPr>
            <b/>
            <sz val="9"/>
            <color indexed="81"/>
            <rFont val="Tahoma"/>
            <family val="2"/>
          </rPr>
          <t>Tushar kumar:</t>
        </r>
        <r>
          <rPr>
            <sz val="9"/>
            <color indexed="81"/>
            <rFont val="Tahoma"/>
            <family val="2"/>
          </rPr>
          <t xml:space="preserve">
Profit is calculated as amount less cost.</t>
        </r>
      </text>
    </comment>
    <comment ref="Q153" authorId="0" shapeId="0" xr:uid="{09B56649-E7E3-4D46-99C5-B97425D6A60F}">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3" authorId="0" shapeId="0" xr:uid="{771523D7-1456-4B9C-ACBB-14606BF4CCBF}">
      <text>
        <r>
          <rPr>
            <b/>
            <sz val="9"/>
            <color indexed="81"/>
            <rFont val="Tahoma"/>
            <family val="2"/>
          </rPr>
          <t>Tushar kumar:</t>
        </r>
        <r>
          <rPr>
            <sz val="9"/>
            <color indexed="81"/>
            <rFont val="Tahoma"/>
            <family val="2"/>
          </rPr>
          <t xml:space="preserve">
Profit is calculated as amount less cost.</t>
        </r>
      </text>
    </comment>
    <comment ref="Q154" authorId="0" shapeId="0" xr:uid="{36CCE4AE-40C9-4461-94B3-012F42CF6EC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4" authorId="0" shapeId="0" xr:uid="{F7C9E7A3-A93C-4814-9622-AFBE5BF58736}">
      <text>
        <r>
          <rPr>
            <b/>
            <sz val="9"/>
            <color indexed="81"/>
            <rFont val="Tahoma"/>
            <family val="2"/>
          </rPr>
          <t>Tushar kumar:</t>
        </r>
        <r>
          <rPr>
            <sz val="9"/>
            <color indexed="81"/>
            <rFont val="Tahoma"/>
            <family val="2"/>
          </rPr>
          <t xml:space="preserve">
Profit is calculated as amount less cost.</t>
        </r>
      </text>
    </comment>
    <comment ref="Q155" authorId="0" shapeId="0" xr:uid="{7CDB068B-9E48-4113-ACBA-84D198E5B77D}">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5" authorId="0" shapeId="0" xr:uid="{47D59BCC-B6B7-4EFB-AAF1-29ABBAF90CF5}">
      <text>
        <r>
          <rPr>
            <b/>
            <sz val="9"/>
            <color indexed="81"/>
            <rFont val="Tahoma"/>
            <family val="2"/>
          </rPr>
          <t>Tushar kumar:</t>
        </r>
        <r>
          <rPr>
            <sz val="9"/>
            <color indexed="81"/>
            <rFont val="Tahoma"/>
            <family val="2"/>
          </rPr>
          <t xml:space="preserve">
Profit is calculated as amount less cost.</t>
        </r>
      </text>
    </comment>
    <comment ref="Q156" authorId="0" shapeId="0" xr:uid="{F6241092-F47E-481D-A563-CEC8DDED9CF2}">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6" authorId="0" shapeId="0" xr:uid="{A294CC37-0C09-46C2-9482-D2411C4BA3D3}">
      <text>
        <r>
          <rPr>
            <b/>
            <sz val="9"/>
            <color indexed="81"/>
            <rFont val="Tahoma"/>
            <family val="2"/>
          </rPr>
          <t>Tushar kumar:</t>
        </r>
        <r>
          <rPr>
            <sz val="9"/>
            <color indexed="81"/>
            <rFont val="Tahoma"/>
            <family val="2"/>
          </rPr>
          <t xml:space="preserve">
Profit is calculated as amount less cost.</t>
        </r>
      </text>
    </comment>
    <comment ref="Q157" authorId="0" shapeId="0" xr:uid="{489C8FEB-1FE8-4492-B00D-D477A81D6D8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7" authorId="0" shapeId="0" xr:uid="{6A90C111-075E-4C14-9DA1-FE93CB0882B9}">
      <text>
        <r>
          <rPr>
            <b/>
            <sz val="9"/>
            <color indexed="81"/>
            <rFont val="Tahoma"/>
            <family val="2"/>
          </rPr>
          <t>Tushar kumar:</t>
        </r>
        <r>
          <rPr>
            <sz val="9"/>
            <color indexed="81"/>
            <rFont val="Tahoma"/>
            <family val="2"/>
          </rPr>
          <t xml:space="preserve">
Profit is calculated as amount less cost.</t>
        </r>
      </text>
    </comment>
    <comment ref="Q158" authorId="0" shapeId="0" xr:uid="{638BBD6A-039B-4D37-B9DB-729F6440587E}">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8" authorId="0" shapeId="0" xr:uid="{6F94B8C2-E626-4FD0-94AC-62B7E2697D7A}">
      <text>
        <r>
          <rPr>
            <b/>
            <sz val="9"/>
            <color indexed="81"/>
            <rFont val="Tahoma"/>
            <family val="2"/>
          </rPr>
          <t>Tushar kumar:</t>
        </r>
        <r>
          <rPr>
            <sz val="9"/>
            <color indexed="81"/>
            <rFont val="Tahoma"/>
            <family val="2"/>
          </rPr>
          <t xml:space="preserve">
Profit is calculated as amount less cost.</t>
        </r>
      </text>
    </comment>
    <comment ref="Q159" authorId="0" shapeId="0" xr:uid="{A78ADCE6-FEAD-4605-85B3-11B17A2AD1B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59" authorId="0" shapeId="0" xr:uid="{6F704563-7B1C-4C02-9925-ED4697B12AFA}">
      <text>
        <r>
          <rPr>
            <b/>
            <sz val="9"/>
            <color indexed="81"/>
            <rFont val="Tahoma"/>
            <family val="2"/>
          </rPr>
          <t>Tushar kumar:</t>
        </r>
        <r>
          <rPr>
            <sz val="9"/>
            <color indexed="81"/>
            <rFont val="Tahoma"/>
            <family val="2"/>
          </rPr>
          <t xml:space="preserve">
Profit is calculated as amount less cost.</t>
        </r>
      </text>
    </comment>
    <comment ref="Q160" authorId="0" shapeId="0" xr:uid="{B363D232-ACAA-4E29-BE36-DB6356770662}">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0" authorId="0" shapeId="0" xr:uid="{F57B9817-76A8-40AC-936B-E3FFF7480FAA}">
      <text>
        <r>
          <rPr>
            <b/>
            <sz val="9"/>
            <color indexed="81"/>
            <rFont val="Tahoma"/>
            <family val="2"/>
          </rPr>
          <t>Tushar kumar:</t>
        </r>
        <r>
          <rPr>
            <sz val="9"/>
            <color indexed="81"/>
            <rFont val="Tahoma"/>
            <family val="2"/>
          </rPr>
          <t xml:space="preserve">
Profit is calculated as amount less cost.</t>
        </r>
      </text>
    </comment>
    <comment ref="Q161" authorId="0" shapeId="0" xr:uid="{21B32792-ABD2-45AC-B236-2A14A87AB7CA}">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1" authorId="0" shapeId="0" xr:uid="{242BA463-C6A8-4E8C-AA46-F559F737E8FB}">
      <text>
        <r>
          <rPr>
            <b/>
            <sz val="9"/>
            <color indexed="81"/>
            <rFont val="Tahoma"/>
            <family val="2"/>
          </rPr>
          <t>Tushar kumar:</t>
        </r>
        <r>
          <rPr>
            <sz val="9"/>
            <color indexed="81"/>
            <rFont val="Tahoma"/>
            <family val="2"/>
          </rPr>
          <t xml:space="preserve">
Profit is calculated as amount less cost.</t>
        </r>
      </text>
    </comment>
    <comment ref="Q162" authorId="0" shapeId="0" xr:uid="{E8D5C9C0-56C1-46D4-8D45-CFE016EE6151}">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2" authorId="0" shapeId="0" xr:uid="{8D481514-19F6-4E8D-A0F5-EC7747889CBA}">
      <text>
        <r>
          <rPr>
            <b/>
            <sz val="9"/>
            <color indexed="81"/>
            <rFont val="Tahoma"/>
            <family val="2"/>
          </rPr>
          <t>Tushar kumar:</t>
        </r>
        <r>
          <rPr>
            <sz val="9"/>
            <color indexed="81"/>
            <rFont val="Tahoma"/>
            <family val="2"/>
          </rPr>
          <t xml:space="preserve">
Profit is calculated as amount less cost.</t>
        </r>
      </text>
    </comment>
    <comment ref="Q163" authorId="0" shapeId="0" xr:uid="{F5437D5B-BBB1-454E-B255-6D24C66C52E6}">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3" authorId="0" shapeId="0" xr:uid="{CEA30F21-970C-412B-9BF5-742F3CB31522}">
      <text>
        <r>
          <rPr>
            <b/>
            <sz val="9"/>
            <color indexed="81"/>
            <rFont val="Tahoma"/>
            <family val="2"/>
          </rPr>
          <t>Tushar kumar:</t>
        </r>
        <r>
          <rPr>
            <sz val="9"/>
            <color indexed="81"/>
            <rFont val="Tahoma"/>
            <family val="2"/>
          </rPr>
          <t xml:space="preserve">
Profit is calculated as amount less cost.</t>
        </r>
      </text>
    </comment>
    <comment ref="Q164" authorId="0" shapeId="0" xr:uid="{D4A5489D-DC42-4FD2-B6C4-DE0D7A630A2E}">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4" authorId="0" shapeId="0" xr:uid="{2597F577-D3FF-4BD5-862F-1C71F6477C17}">
      <text>
        <r>
          <rPr>
            <b/>
            <sz val="9"/>
            <color indexed="81"/>
            <rFont val="Tahoma"/>
            <family val="2"/>
          </rPr>
          <t>Tushar kumar:</t>
        </r>
        <r>
          <rPr>
            <sz val="9"/>
            <color indexed="81"/>
            <rFont val="Tahoma"/>
            <family val="2"/>
          </rPr>
          <t xml:space="preserve">
Profit is calculated as amount less cost.</t>
        </r>
      </text>
    </comment>
    <comment ref="Q165" authorId="0" shapeId="0" xr:uid="{DD1C1B44-363B-42F4-9534-CF794D946960}">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5" authorId="0" shapeId="0" xr:uid="{AD8CF560-88E4-40B8-9013-0455E26D092C}">
      <text>
        <r>
          <rPr>
            <b/>
            <sz val="9"/>
            <color indexed="81"/>
            <rFont val="Tahoma"/>
            <family val="2"/>
          </rPr>
          <t>Tushar kumar:</t>
        </r>
        <r>
          <rPr>
            <sz val="9"/>
            <color indexed="81"/>
            <rFont val="Tahoma"/>
            <family val="2"/>
          </rPr>
          <t xml:space="preserve">
Profit is calculated as amount less cost.</t>
        </r>
      </text>
    </comment>
    <comment ref="Q166" authorId="0" shapeId="0" xr:uid="{E3E73A95-70CA-42E4-B27D-B11A897B86C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6" authorId="0" shapeId="0" xr:uid="{8D1991CC-6988-4625-9B16-AE1260DD2270}">
      <text>
        <r>
          <rPr>
            <b/>
            <sz val="9"/>
            <color indexed="81"/>
            <rFont val="Tahoma"/>
            <family val="2"/>
          </rPr>
          <t>Tushar kumar:</t>
        </r>
        <r>
          <rPr>
            <sz val="9"/>
            <color indexed="81"/>
            <rFont val="Tahoma"/>
            <family val="2"/>
          </rPr>
          <t xml:space="preserve">
Profit is calculated as amount less cost.</t>
        </r>
      </text>
    </comment>
    <comment ref="Q167" authorId="0" shapeId="0" xr:uid="{8CF1C3B9-0F69-4B1F-ABB1-4CBF284822E5}">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7" authorId="0" shapeId="0" xr:uid="{B344DF5E-54D1-4D6F-8430-38E399C3AEA0}">
      <text>
        <r>
          <rPr>
            <b/>
            <sz val="9"/>
            <color indexed="81"/>
            <rFont val="Tahoma"/>
            <family val="2"/>
          </rPr>
          <t>Tushar kumar:</t>
        </r>
        <r>
          <rPr>
            <sz val="9"/>
            <color indexed="81"/>
            <rFont val="Tahoma"/>
            <family val="2"/>
          </rPr>
          <t xml:space="preserve">
Profit is calculated as amount less cost.</t>
        </r>
      </text>
    </comment>
    <comment ref="Q168" authorId="0" shapeId="0" xr:uid="{3009B930-42CD-46E9-98E8-D8DD2F96A70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8" authorId="0" shapeId="0" xr:uid="{8DD68F25-7442-4B67-A6B2-ED429870D3F0}">
      <text>
        <r>
          <rPr>
            <b/>
            <sz val="9"/>
            <color indexed="81"/>
            <rFont val="Tahoma"/>
            <family val="2"/>
          </rPr>
          <t>Tushar kumar:</t>
        </r>
        <r>
          <rPr>
            <sz val="9"/>
            <color indexed="81"/>
            <rFont val="Tahoma"/>
            <family val="2"/>
          </rPr>
          <t xml:space="preserve">
Profit is calculated as amount less cost.</t>
        </r>
      </text>
    </comment>
    <comment ref="Q169" authorId="0" shapeId="0" xr:uid="{E2F7B1C5-F085-4B66-B036-EAEEB867558B}">
      <text>
        <r>
          <rPr>
            <b/>
            <sz val="9"/>
            <color indexed="81"/>
            <rFont val="Tahoma"/>
            <family val="2"/>
          </rPr>
          <t>Tushar kumar:</t>
        </r>
        <r>
          <rPr>
            <sz val="9"/>
            <color indexed="81"/>
            <rFont val="Tahoma"/>
            <family val="2"/>
          </rPr>
          <t xml:space="preserve">
Estimated cost assumption: 70% of sales amount; implied profit is 30% of sales amount.</t>
        </r>
      </text>
    </comment>
    <comment ref="R169" authorId="0" shapeId="0" xr:uid="{8B0F825E-0336-4FA6-8505-AA9F8A157886}">
      <text>
        <r>
          <rPr>
            <b/>
            <sz val="9"/>
            <color indexed="81"/>
            <rFont val="Tahoma"/>
            <family val="2"/>
          </rPr>
          <t>Tushar kumar:</t>
        </r>
        <r>
          <rPr>
            <sz val="9"/>
            <color indexed="81"/>
            <rFont val="Tahoma"/>
            <family val="2"/>
          </rPr>
          <t xml:space="preserve">
Profit is calculated as amount less cost.</t>
        </r>
      </text>
    </comment>
    <comment ref="Q170" authorId="0" shapeId="0" xr:uid="{E6B5376A-3A90-4647-99A9-09C418126713}">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0" authorId="0" shapeId="0" xr:uid="{C67726FC-05D4-468F-935E-0D696AEEC1D3}">
      <text>
        <r>
          <rPr>
            <b/>
            <sz val="9"/>
            <color indexed="81"/>
            <rFont val="Tahoma"/>
            <family val="2"/>
          </rPr>
          <t>Tushar kumar:</t>
        </r>
        <r>
          <rPr>
            <sz val="9"/>
            <color indexed="81"/>
            <rFont val="Tahoma"/>
            <family val="2"/>
          </rPr>
          <t xml:space="preserve">
Profit is calculated as amount less cost.</t>
        </r>
      </text>
    </comment>
    <comment ref="Q171" authorId="0" shapeId="0" xr:uid="{833C1F76-619C-44CB-B90E-21BA47DEF15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1" authorId="0" shapeId="0" xr:uid="{C167597E-E8D7-433D-934D-06D6B29F987A}">
      <text>
        <r>
          <rPr>
            <b/>
            <sz val="9"/>
            <color indexed="81"/>
            <rFont val="Tahoma"/>
            <family val="2"/>
          </rPr>
          <t>Tushar kumar:</t>
        </r>
        <r>
          <rPr>
            <sz val="9"/>
            <color indexed="81"/>
            <rFont val="Tahoma"/>
            <family val="2"/>
          </rPr>
          <t xml:space="preserve">
Profit is calculated as amount less cost.</t>
        </r>
      </text>
    </comment>
    <comment ref="Q172" authorId="0" shapeId="0" xr:uid="{154AF0D9-C5FD-4942-9122-C631234A8044}">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2" authorId="0" shapeId="0" xr:uid="{2FB551C3-E9E3-4EA1-A214-E1293AA6198A}">
      <text>
        <r>
          <rPr>
            <b/>
            <sz val="9"/>
            <color indexed="81"/>
            <rFont val="Tahoma"/>
            <family val="2"/>
          </rPr>
          <t>Tushar kumar:</t>
        </r>
        <r>
          <rPr>
            <sz val="9"/>
            <color indexed="81"/>
            <rFont val="Tahoma"/>
            <family val="2"/>
          </rPr>
          <t xml:space="preserve">
Profit is calculated as amount less cost.</t>
        </r>
      </text>
    </comment>
    <comment ref="Q173" authorId="0" shapeId="0" xr:uid="{FDDC3C11-CAFA-468E-8B2C-75719712F03F}">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3" authorId="0" shapeId="0" xr:uid="{C9681788-61D6-4C06-A91A-0E78AAC8EAA6}">
      <text>
        <r>
          <rPr>
            <b/>
            <sz val="9"/>
            <color indexed="81"/>
            <rFont val="Tahoma"/>
            <family val="2"/>
          </rPr>
          <t>Tushar kumar:</t>
        </r>
        <r>
          <rPr>
            <sz val="9"/>
            <color indexed="81"/>
            <rFont val="Tahoma"/>
            <family val="2"/>
          </rPr>
          <t xml:space="preserve">
Profit is calculated as amount less cost.</t>
        </r>
      </text>
    </comment>
    <comment ref="Q174" authorId="0" shapeId="0" xr:uid="{3E1384F5-3E9E-4411-B722-7EC7B2B9C0F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4" authorId="0" shapeId="0" xr:uid="{19E32EE8-F035-4684-BE99-540A296451C2}">
      <text>
        <r>
          <rPr>
            <b/>
            <sz val="9"/>
            <color indexed="81"/>
            <rFont val="Tahoma"/>
            <family val="2"/>
          </rPr>
          <t>Tushar kumar:</t>
        </r>
        <r>
          <rPr>
            <sz val="9"/>
            <color indexed="81"/>
            <rFont val="Tahoma"/>
            <family val="2"/>
          </rPr>
          <t xml:space="preserve">
Profit is calculated as amount less cost.</t>
        </r>
      </text>
    </comment>
    <comment ref="Q175" authorId="0" shapeId="0" xr:uid="{B21CA706-DF10-4689-9721-1B8790D6B573}">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5" authorId="0" shapeId="0" xr:uid="{92027503-EB3E-44E0-A6EC-47029BD133F8}">
      <text>
        <r>
          <rPr>
            <b/>
            <sz val="9"/>
            <color indexed="81"/>
            <rFont val="Tahoma"/>
            <family val="2"/>
          </rPr>
          <t>Tushar kumar:</t>
        </r>
        <r>
          <rPr>
            <sz val="9"/>
            <color indexed="81"/>
            <rFont val="Tahoma"/>
            <family val="2"/>
          </rPr>
          <t xml:space="preserve">
Profit is calculated as amount less cost.</t>
        </r>
      </text>
    </comment>
    <comment ref="Q176" authorId="0" shapeId="0" xr:uid="{FC38C79C-7D81-4975-9D51-466BF36487B7}">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6" authorId="0" shapeId="0" xr:uid="{CA1F8453-1E31-4F6D-9C43-3315D5286850}">
      <text>
        <r>
          <rPr>
            <b/>
            <sz val="9"/>
            <color indexed="81"/>
            <rFont val="Tahoma"/>
            <family val="2"/>
          </rPr>
          <t>Tushar kumar:</t>
        </r>
        <r>
          <rPr>
            <sz val="9"/>
            <color indexed="81"/>
            <rFont val="Tahoma"/>
            <family val="2"/>
          </rPr>
          <t xml:space="preserve">
Profit is calculated as amount less cost.</t>
        </r>
      </text>
    </comment>
    <comment ref="Q177" authorId="0" shapeId="0" xr:uid="{F5578C3D-578E-4E67-A21E-DDC939838824}">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7" authorId="0" shapeId="0" xr:uid="{F6A37CA9-BADC-4EFD-ACCB-2F4514C6B8F2}">
      <text>
        <r>
          <rPr>
            <b/>
            <sz val="9"/>
            <color indexed="81"/>
            <rFont val="Tahoma"/>
            <family val="2"/>
          </rPr>
          <t>Tushar kumar:</t>
        </r>
        <r>
          <rPr>
            <sz val="9"/>
            <color indexed="81"/>
            <rFont val="Tahoma"/>
            <family val="2"/>
          </rPr>
          <t xml:space="preserve">
Profit is calculated as amount less cost.</t>
        </r>
      </text>
    </comment>
    <comment ref="Q178" authorId="0" shapeId="0" xr:uid="{A0B1DEFF-4057-4E04-9D21-8D0F176453A6}">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8" authorId="0" shapeId="0" xr:uid="{0EAFFAB7-1420-44A9-AD95-292466864DC9}">
      <text>
        <r>
          <rPr>
            <b/>
            <sz val="9"/>
            <color indexed="81"/>
            <rFont val="Tahoma"/>
            <family val="2"/>
          </rPr>
          <t>Tushar kumar:</t>
        </r>
        <r>
          <rPr>
            <sz val="9"/>
            <color indexed="81"/>
            <rFont val="Tahoma"/>
            <family val="2"/>
          </rPr>
          <t xml:space="preserve">
Profit is calculated as amount less cost.</t>
        </r>
      </text>
    </comment>
    <comment ref="Q179" authorId="0" shapeId="0" xr:uid="{3AE662A3-9631-4E71-A110-53E9A4203348}">
      <text>
        <r>
          <rPr>
            <b/>
            <sz val="9"/>
            <color indexed="81"/>
            <rFont val="Tahoma"/>
            <family val="2"/>
          </rPr>
          <t>Tushar kumar:</t>
        </r>
        <r>
          <rPr>
            <sz val="9"/>
            <color indexed="81"/>
            <rFont val="Tahoma"/>
            <family val="2"/>
          </rPr>
          <t xml:space="preserve">
Estimated cost assumption: 70% of sales amount; implied profit is 30% of sales amount.</t>
        </r>
      </text>
    </comment>
    <comment ref="R179" authorId="0" shapeId="0" xr:uid="{A406E4D0-B55A-4B27-B6A6-65A7A24575FE}">
      <text>
        <r>
          <rPr>
            <b/>
            <sz val="9"/>
            <color indexed="81"/>
            <rFont val="Tahoma"/>
            <family val="2"/>
          </rPr>
          <t>Tushar kumar:</t>
        </r>
        <r>
          <rPr>
            <sz val="9"/>
            <color indexed="81"/>
            <rFont val="Tahoma"/>
            <family val="2"/>
          </rPr>
          <t xml:space="preserve">
Profit is calculated as amount less cost.</t>
        </r>
      </text>
    </comment>
    <comment ref="Q180" authorId="0" shapeId="0" xr:uid="{546326F1-4E6B-4261-80A4-4552D46B2E3C}">
      <text>
        <r>
          <rPr>
            <b/>
            <sz val="9"/>
            <color indexed="81"/>
            <rFont val="Tahoma"/>
            <family val="2"/>
          </rPr>
          <t>Tushar kumar:</t>
        </r>
        <r>
          <rPr>
            <sz val="9"/>
            <color indexed="81"/>
            <rFont val="Tahoma"/>
            <family val="2"/>
          </rPr>
          <t xml:space="preserve">
Estimated cost assumption: 70% of sales amount; implied profit is 30% of sales amount.</t>
        </r>
      </text>
    </comment>
    <comment ref="R180" authorId="0" shapeId="0" xr:uid="{6EEA2407-BA9C-42C3-A8B2-E4AD2FD7CC79}">
      <text>
        <r>
          <rPr>
            <b/>
            <sz val="9"/>
            <color indexed="81"/>
            <rFont val="Tahoma"/>
            <family val="2"/>
          </rPr>
          <t>Tushar kumar:</t>
        </r>
        <r>
          <rPr>
            <sz val="9"/>
            <color indexed="81"/>
            <rFont val="Tahoma"/>
            <family val="2"/>
          </rPr>
          <t xml:space="preserve">
Profit is calculated as amount less cost.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Tushar kumar</author>
  </authors>
  <commentList>
    <comment ref="D8" authorId="0" shapeId="0" xr:uid="{7C7FEA08-36B9-4BF4-BB91-F62E20C633D4}">
      <text>
        <r>
          <rPr>
            <b/>
            <sz val="9"/>
            <color indexed="81"/>
            <rFont val="Tahoma"/>
            <family val="2"/>
          </rPr>
          <t>Tushar kumar:</t>
        </r>
        <r>
          <rPr>
            <sz val="9"/>
            <color indexed="81"/>
            <rFont val="Tahoma"/>
            <family val="2"/>
          </rPr>
          <t xml:space="preserve">
Profit KPI unavailable because the source data has no profit or cost field.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F6CD69-65CA-4C3F-B932-F068263D527E}" keepAlive="1" name="ModelConnection_ExternalData_1" description="Data Model" type="5" refreshedVersion="8" minRefreshableVersion="5" saveData="1">
    <dbPr connection="Data Model Connection" command="Table 1  2" commandType="3"/>
    <extLst>
      <ext xmlns:x15="http://schemas.microsoft.com/office/spreadsheetml/2010/11/main" uri="{DE250136-89BD-433C-8126-D09CA5730AF9}">
        <x15:connection id="" model="1"/>
      </ext>
    </extLst>
  </connection>
  <connection id="2" xr16:uid="{5B2E7202-740E-4D0E-827A-604CF5C9705B}" keepAlive="1" name="ModelConnection_ExternalData_2" description="Data Model" type="5" refreshedVersion="8" minRefreshableVersion="5" saveData="1">
    <dbPr connection="Data Model Connection" command="Table 3" commandType="3"/>
    <extLst>
      <ext xmlns:x15="http://schemas.microsoft.com/office/spreadsheetml/2010/11/main" uri="{DE250136-89BD-433C-8126-D09CA5730AF9}">
        <x15:connection id="" model="1"/>
      </ext>
    </extLst>
  </connection>
  <connection id="3" xr16:uid="{419CC144-E48F-484C-951A-19EA4E0889D9}" keepAlive="1" name="ModelConnection_ExternalData_3" description="Data Model" type="5" refreshedVersion="8" minRefreshableVersion="5" saveData="1">
    <dbPr connection="Data Model Connection" command="Table 5" commandType="3"/>
    <extLst>
      <ext xmlns:x15="http://schemas.microsoft.com/office/spreadsheetml/2010/11/main" uri="{DE250136-89BD-433C-8126-D09CA5730AF9}">
        <x15:connection id="" model="1"/>
      </ext>
    </extLst>
  </connection>
  <connection id="4" xr16:uid="{165168BF-4F73-4A57-8E8C-3A841D5A3EB1}" keepAlive="1" name="Query - Displayed Text" description="Connection to the 'Displayed Text' query in the workbook." type="5" refreshedVersion="0" background="1" saveData="1">
    <dbPr connection="Provider=Microsoft.Mashup.OleDb.1;Data Source=$Workbook$;Location=&quot;Displayed Text&quot;;Extended Properties=&quot;&quot;" command="SELECT * FROM [Displayed Text]"/>
  </connection>
  <connection id="5" xr16:uid="{72B06783-018F-48B5-A9AA-22B2EE6FEB0A}" name="Query - Table 1 (2)" description="Connection to the 'Table 1 (2)' query in the workbook." type="100" refreshedVersion="8" minRefreshableVersion="5">
    <extLst>
      <ext xmlns:x15="http://schemas.microsoft.com/office/spreadsheetml/2010/11/main" uri="{DE250136-89BD-433C-8126-D09CA5730AF9}">
        <x15:connection id="06ed3470-1e22-4af7-b750-3268e3c9195a"/>
      </ext>
    </extLst>
  </connection>
  <connection id="6" xr16:uid="{EC596BF4-3FFB-4D96-AF4D-CFF387C00842}" name="Query - Table 2" description="Connection to the 'Table 2' query in the workbook." type="100" refreshedVersion="8" minRefreshableVersion="5">
    <extLst>
      <ext xmlns:x15="http://schemas.microsoft.com/office/spreadsheetml/2010/11/main" uri="{DE250136-89BD-433C-8126-D09CA5730AF9}">
        <x15:connection id="3d26ff22-ac8d-4ed7-8fec-2d9cdecd25e1"/>
      </ext>
    </extLst>
  </connection>
  <connection id="7" xr16:uid="{59BEF9B7-718A-4E74-944D-EAD7E51BDFEF}" name="Query - Table 3" description="Connection to the 'Table 3' query in the workbook." type="100" refreshedVersion="8" minRefreshableVersion="5">
    <extLst>
      <ext xmlns:x15="http://schemas.microsoft.com/office/spreadsheetml/2010/11/main" uri="{DE250136-89BD-433C-8126-D09CA5730AF9}">
        <x15:connection id="b06b98e8-05c4-4d61-910c-ccd04e747eb4"/>
      </ext>
    </extLst>
  </connection>
  <connection id="8" xr16:uid="{84D96266-5420-4CEF-B22A-FD7B48ADE513}" name="Query - Table 4" description="Connection to the 'Table 4' query in the workbook." type="100" refreshedVersion="8" minRefreshableVersion="5">
    <extLst>
      <ext xmlns:x15="http://schemas.microsoft.com/office/spreadsheetml/2010/11/main" uri="{DE250136-89BD-433C-8126-D09CA5730AF9}">
        <x15:connection id="068a9cd8-ebce-4adf-b6ec-bc09942a82b8"/>
      </ext>
    </extLst>
  </connection>
  <connection id="9" xr16:uid="{286ADD86-D844-4B34-B456-0284261EC3D2}" name="Query - Table 5" description="Connection to the 'Table 5' query in the workbook." type="100" refreshedVersion="8" minRefreshableVersion="5">
    <extLst>
      <ext xmlns:x15="http://schemas.microsoft.com/office/spreadsheetml/2010/11/main" uri="{DE250136-89BD-433C-8126-D09CA5730AF9}">
        <x15:connection id="4a4f7770-3a9a-4dff-8155-0f5e73681dbc"/>
      </ext>
    </extLst>
  </connection>
  <connection id="10" xr16:uid="{BBBC63C3-3482-411A-883F-BA4DFA83BB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1" xr16:uid="{FE7689CF-1EAF-47ED-B28C-09EA1C9C4A26}" name="WorksheetConnection_data consolidate!$A$1:$M$51" type="102" refreshedVersion="8" minRefreshableVersion="5">
    <extLst>
      <ext xmlns:x15="http://schemas.microsoft.com/office/spreadsheetml/2010/11/main" uri="{DE250136-89BD-433C-8126-D09CA5730AF9}">
        <x15:connection id="Range" autoDelete="1">
          <x15:rangePr sourceName="_xlcn.WorksheetConnection_dataconsolidateA1M5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<sst xmlns="http://schemas.openxmlformats.org/spreadsheetml/2006/main" count="7138" uniqueCount="2537">
  <si>
    <t>english</t>
  </si>
  <si>
    <t>maths</t>
  </si>
  <si>
    <t>accounts</t>
  </si>
  <si>
    <t>economics</t>
  </si>
  <si>
    <t>bst</t>
  </si>
  <si>
    <t>it</t>
  </si>
  <si>
    <t>A</t>
  </si>
  <si>
    <t>items</t>
  </si>
  <si>
    <t>quantity</t>
  </si>
  <si>
    <t>rate</t>
  </si>
  <si>
    <t>amount</t>
  </si>
  <si>
    <t>oats</t>
  </si>
  <si>
    <t>2 pcs</t>
  </si>
  <si>
    <t>eggs</t>
  </si>
  <si>
    <t>12 pcs</t>
  </si>
  <si>
    <t>Column Labels</t>
  </si>
  <si>
    <t>milk</t>
  </si>
  <si>
    <t>Row Labels</t>
  </si>
  <si>
    <t>1 pcs</t>
  </si>
  <si>
    <t>3 pcs</t>
  </si>
  <si>
    <t>(blank)</t>
  </si>
  <si>
    <t>Grand Total</t>
  </si>
  <si>
    <t>soya chunks</t>
  </si>
  <si>
    <t>rice</t>
  </si>
  <si>
    <t>Sum of rate</t>
  </si>
  <si>
    <t>peanuts</t>
  </si>
  <si>
    <t>Sum of amount</t>
  </si>
  <si>
    <t>cheakpics</t>
  </si>
  <si>
    <t>avengers</t>
  </si>
  <si>
    <t>paneer</t>
  </si>
  <si>
    <t>roti</t>
  </si>
  <si>
    <t>dal</t>
  </si>
  <si>
    <t>cucumbr</t>
  </si>
  <si>
    <t>cabinet</t>
  </si>
  <si>
    <t>formula book</t>
  </si>
  <si>
    <t>oddissy</t>
  </si>
  <si>
    <t>cooling fan</t>
  </si>
  <si>
    <t>doomsday</t>
  </si>
  <si>
    <t>gpu</t>
  </si>
  <si>
    <t>ram</t>
  </si>
  <si>
    <t>ssd</t>
  </si>
  <si>
    <t>motherboard</t>
  </si>
  <si>
    <t>psu</t>
  </si>
  <si>
    <t>grand total</t>
  </si>
  <si>
    <t>Total Sum of rate</t>
  </si>
  <si>
    <t>Total Sum of amount</t>
  </si>
  <si>
    <t xml:space="preserve">order id </t>
  </si>
  <si>
    <t>order date</t>
  </si>
  <si>
    <t>costumer name</t>
  </si>
  <si>
    <t>state</t>
  </si>
  <si>
    <t>city</t>
  </si>
  <si>
    <t>category</t>
  </si>
  <si>
    <t xml:space="preserve">product </t>
  </si>
  <si>
    <t>sales person</t>
  </si>
  <si>
    <t xml:space="preserve">gmail id </t>
  </si>
  <si>
    <t>ord0001</t>
  </si>
  <si>
    <t>Sunday , january 1, 2023</t>
  </si>
  <si>
    <t>tushar</t>
  </si>
  <si>
    <t>delhi</t>
  </si>
  <si>
    <t>new delhi</t>
  </si>
  <si>
    <t>electronic</t>
  </si>
  <si>
    <t>tv</t>
  </si>
  <si>
    <t>dev</t>
  </si>
  <si>
    <t>tushar01@gmail.com</t>
  </si>
  <si>
    <t>ord0002</t>
  </si>
  <si>
    <t>Monday, january 2 2023</t>
  </si>
  <si>
    <t>sahil</t>
  </si>
  <si>
    <t>kitchen</t>
  </si>
  <si>
    <t>stove</t>
  </si>
  <si>
    <t>chand</t>
  </si>
  <si>
    <t>sahil01@gmail.com</t>
  </si>
  <si>
    <t>ord0003</t>
  </si>
  <si>
    <t>Wednesday, january 4 2023</t>
  </si>
  <si>
    <t>prakash</t>
  </si>
  <si>
    <t>books</t>
  </si>
  <si>
    <t>daksh</t>
  </si>
  <si>
    <t>prakash01@gmail.com</t>
  </si>
  <si>
    <t>ord0004</t>
  </si>
  <si>
    <t>Friday, january 6, 2023</t>
  </si>
  <si>
    <t>chirag</t>
  </si>
  <si>
    <t>laptop</t>
  </si>
  <si>
    <t>rajnikant</t>
  </si>
  <si>
    <t xml:space="preserve">chirag01@gmail.com </t>
  </si>
  <si>
    <t>ord0005</t>
  </si>
  <si>
    <t>Friday, January 6, 2023</t>
  </si>
  <si>
    <t>Aarav</t>
  </si>
  <si>
    <t>stationary</t>
  </si>
  <si>
    <t>cardboard</t>
  </si>
  <si>
    <t>kunal</t>
  </si>
  <si>
    <t xml:space="preserve">aarav01@gmail.com </t>
  </si>
  <si>
    <t>ord0006</t>
  </si>
  <si>
    <t>Saturday, January 7, 2023</t>
  </si>
  <si>
    <t>Vivaan</t>
  </si>
  <si>
    <t>mouse</t>
  </si>
  <si>
    <t>ayush</t>
  </si>
  <si>
    <t xml:space="preserve">vivaan01@gmail.com </t>
  </si>
  <si>
    <t>ord0007</t>
  </si>
  <si>
    <t>Sunday, January 8, 2023</t>
  </si>
  <si>
    <t>Aditya</t>
  </si>
  <si>
    <t>copies</t>
  </si>
  <si>
    <t>mayank</t>
  </si>
  <si>
    <t xml:space="preserve">aditya01@gmail.com </t>
  </si>
  <si>
    <t>ord0008</t>
  </si>
  <si>
    <t>Monday, January 9, 2023</t>
  </si>
  <si>
    <t>Arjun</t>
  </si>
  <si>
    <t>vahicels</t>
  </si>
  <si>
    <t>bikes</t>
  </si>
  <si>
    <t>arya</t>
  </si>
  <si>
    <t xml:space="preserve">arjun01@gmail.com </t>
  </si>
  <si>
    <t>ord0009</t>
  </si>
  <si>
    <t>Tuesday, January 10, 2023</t>
  </si>
  <si>
    <t>Krishna</t>
  </si>
  <si>
    <t>toys</t>
  </si>
  <si>
    <t>small cars</t>
  </si>
  <si>
    <t xml:space="preserve">krishna01@gmail.com </t>
  </si>
  <si>
    <t>ord0010</t>
  </si>
  <si>
    <t>Wednesday, January 11, 2023</t>
  </si>
  <si>
    <t>Rohan</t>
  </si>
  <si>
    <t>beauty</t>
  </si>
  <si>
    <t>sunsscreen</t>
  </si>
  <si>
    <t>amit</t>
  </si>
  <si>
    <t xml:space="preserve">rohan01@gmail.com </t>
  </si>
  <si>
    <t>ord0011</t>
  </si>
  <si>
    <t>Thursday, January 12, 2023</t>
  </si>
  <si>
    <t>Rahul</t>
  </si>
  <si>
    <t>pc</t>
  </si>
  <si>
    <t>hemantmahawar67@gmail.com</t>
  </si>
  <si>
    <t>ord0012</t>
  </si>
  <si>
    <t>Friday, January 13, 2023</t>
  </si>
  <si>
    <t>Aman</t>
  </si>
  <si>
    <t>headphones</t>
  </si>
  <si>
    <t>deepak</t>
  </si>
  <si>
    <t>anuj123@gmail.com</t>
  </si>
  <si>
    <t>ord0013</t>
  </si>
  <si>
    <t>Saturday, January 14, 2023</t>
  </si>
  <si>
    <t>Karan</t>
  </si>
  <si>
    <t>vahicals</t>
  </si>
  <si>
    <t>cars</t>
  </si>
  <si>
    <t>rohit</t>
  </si>
  <si>
    <t xml:space="preserve">karan01@gmail.com </t>
  </si>
  <si>
    <t>ord0014</t>
  </si>
  <si>
    <t>Sunday, January 15, 2023</t>
  </si>
  <si>
    <t>Varun</t>
  </si>
  <si>
    <t>cream</t>
  </si>
  <si>
    <t>bhawesh</t>
  </si>
  <si>
    <t xml:space="preserve">varun01@gmail.com </t>
  </si>
  <si>
    <t>ord0015</t>
  </si>
  <si>
    <t>Monday, January 16, 2023</t>
  </si>
  <si>
    <t>Vikram</t>
  </si>
  <si>
    <t>cookers</t>
  </si>
  <si>
    <t xml:space="preserve">vikram01@gmail.com </t>
  </si>
  <si>
    <t>ord0016</t>
  </si>
  <si>
    <t>Tuesday, January 17, 2023</t>
  </si>
  <si>
    <t>Ankit</t>
  </si>
  <si>
    <t>pans</t>
  </si>
  <si>
    <t>ramesh</t>
  </si>
  <si>
    <t xml:space="preserve">ankit01@gmail.com </t>
  </si>
  <si>
    <t>ord0017</t>
  </si>
  <si>
    <t>Wednesday, January 18, 2023</t>
  </si>
  <si>
    <t>Akash</t>
  </si>
  <si>
    <t>clothes</t>
  </si>
  <si>
    <t>t-shirts</t>
  </si>
  <si>
    <t>suresh</t>
  </si>
  <si>
    <t xml:space="preserve">akash01@gmail.com </t>
  </si>
  <si>
    <t>ord0018</t>
  </si>
  <si>
    <t>Thursday, January 19, 2023</t>
  </si>
  <si>
    <t>Deepak</t>
  </si>
  <si>
    <t>pants</t>
  </si>
  <si>
    <t>rc sharma</t>
  </si>
  <si>
    <t xml:space="preserve">deepak01@gmail.com </t>
  </si>
  <si>
    <t>ord0019</t>
  </si>
  <si>
    <t>Friday, January 20, 2023</t>
  </si>
  <si>
    <t>Rakesh</t>
  </si>
  <si>
    <t>b.com(hons) set</t>
  </si>
  <si>
    <t>poonem</t>
  </si>
  <si>
    <t xml:space="preserve">rakesh01@gmail.com </t>
  </si>
  <si>
    <t>ord0020</t>
  </si>
  <si>
    <t>Saturday, January 21, 2023</t>
  </si>
  <si>
    <t>Suresh</t>
  </si>
  <si>
    <t>oven</t>
  </si>
  <si>
    <t>mukesh</t>
  </si>
  <si>
    <t xml:space="preserve">suresh01@gmail.com </t>
  </si>
  <si>
    <t>ord0021</t>
  </si>
  <si>
    <t>Sunday, January 22, 2023</t>
  </si>
  <si>
    <t>Mahesh</t>
  </si>
  <si>
    <t>lipstick</t>
  </si>
  <si>
    <t>mahesh</t>
  </si>
  <si>
    <t xml:space="preserve">mahesh01@gmail.com </t>
  </si>
  <si>
    <t>ord0022</t>
  </si>
  <si>
    <t>Monday, January 23, 2023</t>
  </si>
  <si>
    <t>Rajesh</t>
  </si>
  <si>
    <t>medicine</t>
  </si>
  <si>
    <t>vickes</t>
  </si>
  <si>
    <t>rakesh</t>
  </si>
  <si>
    <t xml:space="preserve">rajesh01@gmail.com </t>
  </si>
  <si>
    <t>ord0023</t>
  </si>
  <si>
    <t>Tuesday, January 24, 2023</t>
  </si>
  <si>
    <t>Mukesh</t>
  </si>
  <si>
    <t>dollo</t>
  </si>
  <si>
    <t xml:space="preserve">mukesh01@gmail.com </t>
  </si>
  <si>
    <t>ord0024</t>
  </si>
  <si>
    <t>Wednesday, January 25, 2023</t>
  </si>
  <si>
    <t>Nitin</t>
  </si>
  <si>
    <t>three wheelers</t>
  </si>
  <si>
    <t>lokesh</t>
  </si>
  <si>
    <t xml:space="preserve">nitin01@gmail.com </t>
  </si>
  <si>
    <t>ord0025</t>
  </si>
  <si>
    <t>Thursday, January 26, 2023</t>
  </si>
  <si>
    <t>Sumit</t>
  </si>
  <si>
    <t>jackets</t>
  </si>
  <si>
    <t>kuldeep</t>
  </si>
  <si>
    <t xml:space="preserve">sumit01@gmail.com </t>
  </si>
  <si>
    <t>ord0026</t>
  </si>
  <si>
    <t>Friday, January 27, 2023</t>
  </si>
  <si>
    <t>Ravi</t>
  </si>
  <si>
    <t>puppets</t>
  </si>
  <si>
    <t xml:space="preserve">ravi01@gmail.com </t>
  </si>
  <si>
    <t>ord0027</t>
  </si>
  <si>
    <t>Saturday, January 28, 2023</t>
  </si>
  <si>
    <t>Ajay</t>
  </si>
  <si>
    <t>dols</t>
  </si>
  <si>
    <t>manish</t>
  </si>
  <si>
    <t xml:space="preserve">ajay01@gmail.com </t>
  </si>
  <si>
    <t>ord0028</t>
  </si>
  <si>
    <t>Sunday, January 29, 2023</t>
  </si>
  <si>
    <t>Vijay</t>
  </si>
  <si>
    <t>makeup kit</t>
  </si>
  <si>
    <t>rahul</t>
  </si>
  <si>
    <t xml:space="preserve">vijay01@gmail.com </t>
  </si>
  <si>
    <t>ord0029</t>
  </si>
  <si>
    <t>Monday, January 30, 2023</t>
  </si>
  <si>
    <t>Sanjay</t>
  </si>
  <si>
    <t>keyboard</t>
  </si>
  <si>
    <t>karan</t>
  </si>
  <si>
    <t xml:space="preserve">sanjay01@gmail.com </t>
  </si>
  <si>
    <t>ord0030</t>
  </si>
  <si>
    <t>Tuesday, January 31, 2023</t>
  </si>
  <si>
    <t>Manoj</t>
  </si>
  <si>
    <t>pencils</t>
  </si>
  <si>
    <t>shubhu</t>
  </si>
  <si>
    <t xml:space="preserve">manoj01@gmail.com </t>
  </si>
  <si>
    <t>ord0031</t>
  </si>
  <si>
    <t>Wednesday, February 1, 2023</t>
  </si>
  <si>
    <t>Pankaj</t>
  </si>
  <si>
    <t>jeans</t>
  </si>
  <si>
    <t>dhruv</t>
  </si>
  <si>
    <t xml:space="preserve">pankaj01@gmail.com </t>
  </si>
  <si>
    <t>ord0032</t>
  </si>
  <si>
    <t>Thursday, February 2, 2023</t>
  </si>
  <si>
    <t>Pradeep</t>
  </si>
  <si>
    <t>armory</t>
  </si>
  <si>
    <t>megzins</t>
  </si>
  <si>
    <t>hement</t>
  </si>
  <si>
    <t xml:space="preserve">pradeep01@gmail.com </t>
  </si>
  <si>
    <t>ord0033</t>
  </si>
  <si>
    <t>Friday, February 3, 2023</t>
  </si>
  <si>
    <t>Ashok</t>
  </si>
  <si>
    <t>vildamecM 50/500</t>
  </si>
  <si>
    <t>arjun</t>
  </si>
  <si>
    <t xml:space="preserve">ashok01@gmail.com </t>
  </si>
  <si>
    <t>ord0034</t>
  </si>
  <si>
    <t>Saturday, February 4, 2023</t>
  </si>
  <si>
    <t>Sunil</t>
  </si>
  <si>
    <t>gym equpments</t>
  </si>
  <si>
    <t>streps</t>
  </si>
  <si>
    <t>dinesh</t>
  </si>
  <si>
    <t xml:space="preserve">sunil01@gmail.com </t>
  </si>
  <si>
    <t>ord0035</t>
  </si>
  <si>
    <t>Sunday, February 5, 2023</t>
  </si>
  <si>
    <t>Anil</t>
  </si>
  <si>
    <t>slingshots</t>
  </si>
  <si>
    <t>sudeep</t>
  </si>
  <si>
    <t xml:space="preserve">anil01@gmail.com </t>
  </si>
  <si>
    <t>ord0036</t>
  </si>
  <si>
    <t>Monday, February 6, 2023</t>
  </si>
  <si>
    <t>Sachin</t>
  </si>
  <si>
    <t>sword</t>
  </si>
  <si>
    <t>gorev</t>
  </si>
  <si>
    <t xml:space="preserve">sachin01@gmail.com </t>
  </si>
  <si>
    <t>ord0037</t>
  </si>
  <si>
    <t>Tuesday, February 7, 2023</t>
  </si>
  <si>
    <t>Rohit</t>
  </si>
  <si>
    <t>supplyments</t>
  </si>
  <si>
    <t>creatine</t>
  </si>
  <si>
    <t>ushank</t>
  </si>
  <si>
    <t xml:space="preserve">rohit01@gmail.com </t>
  </si>
  <si>
    <t>ord0038</t>
  </si>
  <si>
    <t>Wednesday, February 8, 2023</t>
  </si>
  <si>
    <t>Abhishek</t>
  </si>
  <si>
    <t>whey protein</t>
  </si>
  <si>
    <t>ashu</t>
  </si>
  <si>
    <t xml:space="preserve">abhishek01@gmail.com </t>
  </si>
  <si>
    <t>ord0039</t>
  </si>
  <si>
    <t>Thursday, February 9, 2023</t>
  </si>
  <si>
    <t>Harsh</t>
  </si>
  <si>
    <t>leather armor</t>
  </si>
  <si>
    <t>anshu</t>
  </si>
  <si>
    <t xml:space="preserve">harsh01@gmail.com </t>
  </si>
  <si>
    <t>ord0040</t>
  </si>
  <si>
    <t>Friday, February 10, 2023</t>
  </si>
  <si>
    <t>Naveen</t>
  </si>
  <si>
    <t>auto</t>
  </si>
  <si>
    <t>arman</t>
  </si>
  <si>
    <t xml:space="preserve">naveen01@gmail.com </t>
  </si>
  <si>
    <t>ord0041</t>
  </si>
  <si>
    <t>Saturday, February 11, 2023</t>
  </si>
  <si>
    <t>Gaurav</t>
  </si>
  <si>
    <t>pajamas</t>
  </si>
  <si>
    <t xml:space="preserve">gaurav01@gmail.com </t>
  </si>
  <si>
    <t>ord0042</t>
  </si>
  <si>
    <t>Sunday, February 12, 2023</t>
  </si>
  <si>
    <t>Tarun</t>
  </si>
  <si>
    <t>lowers</t>
  </si>
  <si>
    <t>harsh</t>
  </si>
  <si>
    <t xml:space="preserve">tarun01@gmail.com </t>
  </si>
  <si>
    <t>ord0043</t>
  </si>
  <si>
    <t>Monday, February 13, 2023</t>
  </si>
  <si>
    <t>Yash</t>
  </si>
  <si>
    <t>moniter</t>
  </si>
  <si>
    <t>shivam</t>
  </si>
  <si>
    <t xml:space="preserve">yash01@gmail.com </t>
  </si>
  <si>
    <t>ord0044</t>
  </si>
  <si>
    <t>Tuesday, February 14, 2023</t>
  </si>
  <si>
    <t>Shubham</t>
  </si>
  <si>
    <t>colors</t>
  </si>
  <si>
    <t>jatin</t>
  </si>
  <si>
    <t xml:space="preserve">shubham01@gmail.com </t>
  </si>
  <si>
    <t>ord0045</t>
  </si>
  <si>
    <t>Wednesday, February 15, 2023</t>
  </si>
  <si>
    <t>Tushar</t>
  </si>
  <si>
    <t>perfomence inhancer</t>
  </si>
  <si>
    <t xml:space="preserve">tushar02@gmail.com </t>
  </si>
  <si>
    <t>ord0046</t>
  </si>
  <si>
    <t>Thursday, February 16, 2023</t>
  </si>
  <si>
    <t>Nikhil</t>
  </si>
  <si>
    <t>toys cars</t>
  </si>
  <si>
    <t>ashish</t>
  </si>
  <si>
    <t xml:space="preserve">nikhil01@gmail.com </t>
  </si>
  <si>
    <t>ord0047</t>
  </si>
  <si>
    <t>Friday, February 17, 2023</t>
  </si>
  <si>
    <t>Aayush</t>
  </si>
  <si>
    <t>peracitamole</t>
  </si>
  <si>
    <t>vishal</t>
  </si>
  <si>
    <t xml:space="preserve">aayush01@gmail.com </t>
  </si>
  <si>
    <t>ord0048</t>
  </si>
  <si>
    <t>Saturday, February 18, 2023</t>
  </si>
  <si>
    <t>Mohit</t>
  </si>
  <si>
    <t>shirts</t>
  </si>
  <si>
    <t>zishan</t>
  </si>
  <si>
    <t xml:space="preserve">mohit01@gmail.com </t>
  </si>
  <si>
    <t>ord0049</t>
  </si>
  <si>
    <t>Sunday, February 19, 2023</t>
  </si>
  <si>
    <t>Hemant</t>
  </si>
  <si>
    <t>desktop</t>
  </si>
  <si>
    <t>akash</t>
  </si>
  <si>
    <t xml:space="preserve">hemant01@gmail.com </t>
  </si>
  <si>
    <t>ord0050</t>
  </si>
  <si>
    <t>Monday, February 20, 2023</t>
  </si>
  <si>
    <t>Dinesh</t>
  </si>
  <si>
    <t>belts</t>
  </si>
  <si>
    <t>vivek</t>
  </si>
  <si>
    <t xml:space="preserve">dinesh01@gmail.com </t>
  </si>
  <si>
    <t>@</t>
  </si>
  <si>
    <t>gmail.com</t>
  </si>
  <si>
    <t>aarav</t>
  </si>
  <si>
    <t>vivaan</t>
  </si>
  <si>
    <t>aditya</t>
  </si>
  <si>
    <t>He@12345</t>
  </si>
  <si>
    <t>krishna</t>
  </si>
  <si>
    <t>rohan</t>
  </si>
  <si>
    <t>hemantmahawar</t>
  </si>
  <si>
    <t>anuj</t>
  </si>
  <si>
    <t>varun</t>
  </si>
  <si>
    <t>vikram</t>
  </si>
  <si>
    <t>ankit</t>
  </si>
  <si>
    <t>rajesh</t>
  </si>
  <si>
    <t>nitin</t>
  </si>
  <si>
    <t>sumit</t>
  </si>
  <si>
    <t>ravi</t>
  </si>
  <si>
    <t>ajay</t>
  </si>
  <si>
    <t>vijay</t>
  </si>
  <si>
    <t>sanjay</t>
  </si>
  <si>
    <t>manoj</t>
  </si>
  <si>
    <t>pankaj</t>
  </si>
  <si>
    <t>pradeep</t>
  </si>
  <si>
    <t>ashok</t>
  </si>
  <si>
    <t>sunil</t>
  </si>
  <si>
    <t>anil</t>
  </si>
  <si>
    <t>sachin</t>
  </si>
  <si>
    <t>abhishek</t>
  </si>
  <si>
    <t>naveen</t>
  </si>
  <si>
    <t>gaurav</t>
  </si>
  <si>
    <t>tarun</t>
  </si>
  <si>
    <t>yash</t>
  </si>
  <si>
    <t>shubham</t>
  </si>
  <si>
    <t>nikhil</t>
  </si>
  <si>
    <t>aayush</t>
  </si>
  <si>
    <t>mohit</t>
  </si>
  <si>
    <t>hemant</t>
  </si>
  <si>
    <t>bike</t>
  </si>
  <si>
    <t>ITEMS</t>
  </si>
  <si>
    <t>truck</t>
  </si>
  <si>
    <t>loan amount</t>
  </si>
  <si>
    <t>intrest( year )</t>
  </si>
  <si>
    <t>interest(year)</t>
  </si>
  <si>
    <t>no of period ( year )</t>
  </si>
  <si>
    <t>no of period(year)</t>
  </si>
  <si>
    <t>no. of period(year)</t>
  </si>
  <si>
    <t>EMI</t>
  </si>
  <si>
    <t>PMT</t>
  </si>
  <si>
    <t>INTREST</t>
  </si>
  <si>
    <t>IPMT</t>
  </si>
  <si>
    <t>interest</t>
  </si>
  <si>
    <t>PRINCIPAL AMOUNT</t>
  </si>
  <si>
    <t>PPMT</t>
  </si>
  <si>
    <t>principal amount</t>
  </si>
  <si>
    <t>general</t>
  </si>
  <si>
    <t>number</t>
  </si>
  <si>
    <t>currency</t>
  </si>
  <si>
    <t>accounting</t>
  </si>
  <si>
    <t>short date</t>
  </si>
  <si>
    <t>long date</t>
  </si>
  <si>
    <t>time</t>
  </si>
  <si>
    <t>percentage</t>
  </si>
  <si>
    <t>fraction</t>
  </si>
  <si>
    <t>scientific</t>
  </si>
  <si>
    <t>text</t>
  </si>
  <si>
    <t>discount sheet</t>
  </si>
  <si>
    <t xml:space="preserve">serial no </t>
  </si>
  <si>
    <t xml:space="preserve">items </t>
  </si>
  <si>
    <t>discount 18%</t>
  </si>
  <si>
    <t>total amount</t>
  </si>
  <si>
    <t>GST 5%</t>
  </si>
  <si>
    <t>GST 18%</t>
  </si>
  <si>
    <t>GST 36%</t>
  </si>
  <si>
    <t>t-shirt</t>
  </si>
  <si>
    <t>pens</t>
  </si>
  <si>
    <t>LOAN SHEET</t>
  </si>
  <si>
    <t>car</t>
  </si>
  <si>
    <t>S.NO</t>
  </si>
  <si>
    <t>debtore</t>
  </si>
  <si>
    <t>DATE</t>
  </si>
  <si>
    <t>interst(year)</t>
  </si>
  <si>
    <t>no.of period(year)</t>
  </si>
  <si>
    <t xml:space="preserve">monthly </t>
  </si>
  <si>
    <t>extra amount</t>
  </si>
  <si>
    <t>PRIMARY LOAN ACCOUNT DETAILS</t>
  </si>
  <si>
    <t>Borrower's name: …...........................................</t>
  </si>
  <si>
    <t>Lender's Name: ….............................................</t>
  </si>
  <si>
    <t>principal loan amount: Rs. …....................../- (Date: ….........................)</t>
  </si>
  <si>
    <t>master loan Agreement Date: …..................................................</t>
  </si>
  <si>
    <t>PAYMENT TRANSACTION LEADGER</t>
  </si>
  <si>
    <t>S.No.</t>
  </si>
  <si>
    <t>payment date</t>
  </si>
  <si>
    <t>Amount recd (Rs.)</t>
  </si>
  <si>
    <t>Mode(cash/UPI/Cheque)</t>
  </si>
  <si>
    <t>type(Interest/prin.)</t>
  </si>
  <si>
    <t>Remaining Balance</t>
  </si>
  <si>
    <t>Borrower's sign</t>
  </si>
  <si>
    <t>total interest</t>
  </si>
  <si>
    <t>total payment</t>
  </si>
  <si>
    <t>31/2/2026</t>
  </si>
  <si>
    <t>UPI</t>
  </si>
  <si>
    <t>31/4/2026</t>
  </si>
  <si>
    <t>31/6/2026</t>
  </si>
  <si>
    <t>31-09-2026</t>
  </si>
  <si>
    <t>31-11-2026</t>
  </si>
  <si>
    <t>31-02-2027</t>
  </si>
  <si>
    <t>31-04-2027</t>
  </si>
  <si>
    <t>31-06-2027</t>
  </si>
  <si>
    <t>31-09-2027</t>
  </si>
  <si>
    <t>product sheet</t>
  </si>
  <si>
    <t>s.no.</t>
  </si>
  <si>
    <t>product</t>
  </si>
  <si>
    <t>delhi sale</t>
  </si>
  <si>
    <t>rajesthan</t>
  </si>
  <si>
    <t>haryana</t>
  </si>
  <si>
    <t>punjab</t>
  </si>
  <si>
    <t>himachal</t>
  </si>
  <si>
    <t>uttra khand</t>
  </si>
  <si>
    <t>maharashtr</t>
  </si>
  <si>
    <t>tamil nadu</t>
  </si>
  <si>
    <t>madhye predesh</t>
  </si>
  <si>
    <t>goa</t>
  </si>
  <si>
    <t>intel</t>
  </si>
  <si>
    <t>rizon</t>
  </si>
  <si>
    <t>realme</t>
  </si>
  <si>
    <t>vivo</t>
  </si>
  <si>
    <t>samsung</t>
  </si>
  <si>
    <t>lenovo</t>
  </si>
  <si>
    <t>oppo</t>
  </si>
  <si>
    <t>nokia</t>
  </si>
  <si>
    <t>loydd</t>
  </si>
  <si>
    <t>radmegic</t>
  </si>
  <si>
    <t>sales sheet</t>
  </si>
  <si>
    <t>months</t>
  </si>
  <si>
    <t>sales</t>
  </si>
  <si>
    <t>total sale</t>
  </si>
  <si>
    <t>january</t>
  </si>
  <si>
    <t>fab</t>
  </si>
  <si>
    <t>mar</t>
  </si>
  <si>
    <t>apr</t>
  </si>
  <si>
    <t>may</t>
  </si>
  <si>
    <t>june</t>
  </si>
  <si>
    <t>july</t>
  </si>
  <si>
    <t>aug</t>
  </si>
  <si>
    <t>sep</t>
  </si>
  <si>
    <t>oct</t>
  </si>
  <si>
    <t>`</t>
  </si>
  <si>
    <t>TEXT FORMULAS</t>
  </si>
  <si>
    <t>LEFT</t>
  </si>
  <si>
    <t>HEMANT</t>
  </si>
  <si>
    <t>RIGHT</t>
  </si>
  <si>
    <t>MID</t>
  </si>
  <si>
    <t>LEN</t>
  </si>
  <si>
    <t>TRIM</t>
  </si>
  <si>
    <t>HEMANT  MAHAWAR</t>
  </si>
  <si>
    <t>UPPER</t>
  </si>
  <si>
    <t>LOWER</t>
  </si>
  <si>
    <t>PROPER</t>
  </si>
  <si>
    <t>CONCAT</t>
  </si>
  <si>
    <t>mahawar</t>
  </si>
  <si>
    <t>tushar kumar</t>
  </si>
  <si>
    <t>TEXTJOIN</t>
  </si>
  <si>
    <t>TEXT</t>
  </si>
  <si>
    <t>FIND</t>
  </si>
  <si>
    <t>SEARCH</t>
  </si>
  <si>
    <t>arraytotext</t>
  </si>
  <si>
    <t>bahttext</t>
  </si>
  <si>
    <t>char</t>
  </si>
  <si>
    <t>clean</t>
  </si>
  <si>
    <t>kumar</t>
  </si>
  <si>
    <t>code</t>
  </si>
  <si>
    <t>DB</t>
  </si>
  <si>
    <t>fixed</t>
  </si>
  <si>
    <t>rept</t>
  </si>
  <si>
    <t>apple</t>
  </si>
  <si>
    <t>find</t>
  </si>
  <si>
    <t>dollar</t>
  </si>
  <si>
    <t>exact</t>
  </si>
  <si>
    <t>T</t>
  </si>
  <si>
    <t>today</t>
  </si>
  <si>
    <t>now</t>
  </si>
  <si>
    <t>date</t>
  </si>
  <si>
    <t>HEMANT   SAHI</t>
  </si>
  <si>
    <t>weekday</t>
  </si>
  <si>
    <t>age sheet</t>
  </si>
  <si>
    <t>s.no</t>
  </si>
  <si>
    <t>name</t>
  </si>
  <si>
    <t>DOB</t>
  </si>
  <si>
    <t>todays date</t>
  </si>
  <si>
    <t>age</t>
  </si>
  <si>
    <t>gender</t>
  </si>
  <si>
    <t>naina</t>
  </si>
  <si>
    <t>komal</t>
  </si>
  <si>
    <t>manisha</t>
  </si>
  <si>
    <t>februrary</t>
  </si>
  <si>
    <t>march</t>
  </si>
  <si>
    <t>april</t>
  </si>
  <si>
    <t>august</t>
  </si>
  <si>
    <t>september</t>
  </si>
  <si>
    <t>october</t>
  </si>
  <si>
    <t>november</t>
  </si>
  <si>
    <t>december</t>
  </si>
  <si>
    <t>Sum of january</t>
  </si>
  <si>
    <t>Sum of februrary</t>
  </si>
  <si>
    <t>Sum of march</t>
  </si>
  <si>
    <t>Sum of april</t>
  </si>
  <si>
    <t>Sum of may</t>
  </si>
  <si>
    <t>Sum of june</t>
  </si>
  <si>
    <t>Sum of july</t>
  </si>
  <si>
    <t>Sum of august</t>
  </si>
  <si>
    <t>Sum of september</t>
  </si>
  <si>
    <t>Sum of october</t>
  </si>
  <si>
    <t>Sum of november</t>
  </si>
  <si>
    <t>Sum of december</t>
  </si>
  <si>
    <t>jan</t>
  </si>
  <si>
    <t>feb</t>
  </si>
  <si>
    <t>jun</t>
  </si>
  <si>
    <t>jul</t>
  </si>
  <si>
    <t>nov</t>
  </si>
  <si>
    <t>dec</t>
  </si>
  <si>
    <t>SERIAL NO.</t>
  </si>
  <si>
    <t xml:space="preserve">EMPLOYMENT ID </t>
  </si>
  <si>
    <t>NAME</t>
  </si>
  <si>
    <t>POSITION</t>
  </si>
  <si>
    <t>BASIC SALARY</t>
  </si>
  <si>
    <t>HRA 10%</t>
  </si>
  <si>
    <t>DA 12%</t>
  </si>
  <si>
    <t>LTA 6%</t>
  </si>
  <si>
    <t>TOTAL SALARY</t>
  </si>
  <si>
    <t>PF 10%</t>
  </si>
  <si>
    <t>ESI 1.75%</t>
  </si>
  <si>
    <t>LD</t>
  </si>
  <si>
    <t>LDA</t>
  </si>
  <si>
    <t>OT</t>
  </si>
  <si>
    <t>OTA</t>
  </si>
  <si>
    <t>NET SALARY</t>
  </si>
  <si>
    <t>GROSS SALARY</t>
  </si>
  <si>
    <t>TAX 12%</t>
  </si>
  <si>
    <t xml:space="preserve">Sum of EMPLOYMENT ID </t>
  </si>
  <si>
    <t>Sum of BASIC SALARY</t>
  </si>
  <si>
    <t>Sum of HRA 10%</t>
  </si>
  <si>
    <t>Sum of DA 12%</t>
  </si>
  <si>
    <t>Sum of LTA 6%</t>
  </si>
  <si>
    <t>Sum of TOTAL SALARY</t>
  </si>
  <si>
    <t>Sum of PF 10%</t>
  </si>
  <si>
    <t>Sum of ESI 1.75%</t>
  </si>
  <si>
    <t>Sum of LD</t>
  </si>
  <si>
    <t>Sum of LDA</t>
  </si>
  <si>
    <t>Sum of OT</t>
  </si>
  <si>
    <t>Sum of OTA</t>
  </si>
  <si>
    <t>Sum of NET SALARY</t>
  </si>
  <si>
    <t>Sum of GROSS SALARY</t>
  </si>
  <si>
    <t>Sum of TAX 12%</t>
  </si>
  <si>
    <t>manager</t>
  </si>
  <si>
    <t>employe</t>
  </si>
  <si>
    <t>data velidation</t>
  </si>
  <si>
    <t xml:space="preserve">product sheet </t>
  </si>
  <si>
    <t>Quantity</t>
  </si>
  <si>
    <t>Amount</t>
  </si>
  <si>
    <t>Sum of Quantity</t>
  </si>
  <si>
    <t>Sum of Amount</t>
  </si>
  <si>
    <t>Mouse</t>
  </si>
  <si>
    <t>2 RAM 64GB DDR5 6400MT/s CL36</t>
  </si>
  <si>
    <t>Keyboard</t>
  </si>
  <si>
    <t>Auto</t>
  </si>
  <si>
    <t>Name</t>
  </si>
  <si>
    <t>product list</t>
  </si>
  <si>
    <t>sale</t>
  </si>
  <si>
    <t>B.Com(Hons) Set</t>
  </si>
  <si>
    <t>Moniter</t>
  </si>
  <si>
    <t>Belts</t>
  </si>
  <si>
    <t>Computer</t>
  </si>
  <si>
    <t>Bikes</t>
  </si>
  <si>
    <t>Laptop</t>
  </si>
  <si>
    <t>Bulb</t>
  </si>
  <si>
    <t>Tablet Phone</t>
  </si>
  <si>
    <t>Cardboard</t>
  </si>
  <si>
    <t>Mobile Phone</t>
  </si>
  <si>
    <t>Cars</t>
  </si>
  <si>
    <t>Led Tub Light</t>
  </si>
  <si>
    <t>Colors</t>
  </si>
  <si>
    <t>Seeling Fan</t>
  </si>
  <si>
    <t>Table Fan</t>
  </si>
  <si>
    <t>Cookers</t>
  </si>
  <si>
    <t>Copies</t>
  </si>
  <si>
    <t>Electicity Cables</t>
  </si>
  <si>
    <t>Cream</t>
  </si>
  <si>
    <t>Pencils</t>
  </si>
  <si>
    <t>Creatine</t>
  </si>
  <si>
    <t>Jeans</t>
  </si>
  <si>
    <t>Desktop</t>
  </si>
  <si>
    <t>Megzins</t>
  </si>
  <si>
    <t>Dollo</t>
  </si>
  <si>
    <t>Vildamecm 50/500</t>
  </si>
  <si>
    <t>Streps</t>
  </si>
  <si>
    <t>Headphones</t>
  </si>
  <si>
    <t>Slingshots</t>
  </si>
  <si>
    <t>Sword</t>
  </si>
  <si>
    <t>Whey Protein</t>
  </si>
  <si>
    <t>Leather Armor</t>
  </si>
  <si>
    <t>Lipstick</t>
  </si>
  <si>
    <t>Pajamas</t>
  </si>
  <si>
    <t>Lowers</t>
  </si>
  <si>
    <t>Maths</t>
  </si>
  <si>
    <t>Perfomence Inhancer</t>
  </si>
  <si>
    <t>Toys Cars</t>
  </si>
  <si>
    <t>Peracitamole</t>
  </si>
  <si>
    <t>Shirts</t>
  </si>
  <si>
    <t>Oven</t>
  </si>
  <si>
    <t>Pans</t>
  </si>
  <si>
    <t>Tv</t>
  </si>
  <si>
    <t>Pants</t>
  </si>
  <si>
    <t>Stove</t>
  </si>
  <si>
    <t>Pc</t>
  </si>
  <si>
    <t>Small Cars</t>
  </si>
  <si>
    <t>Sunsscreen</t>
  </si>
  <si>
    <t>T-Shirts</t>
  </si>
  <si>
    <t>Vickes</t>
  </si>
  <si>
    <t>Morning meeting points and updates</t>
  </si>
  <si>
    <t>s.No.</t>
  </si>
  <si>
    <t>Site Name</t>
  </si>
  <si>
    <t>Task / Work Description</t>
  </si>
  <si>
    <t>Assigned to / responsibility</t>
  </si>
  <si>
    <t xml:space="preserve">Target Date </t>
  </si>
  <si>
    <t xml:space="preserve">Work Status
(Open/ Closed/WIP/Hold) </t>
  </si>
  <si>
    <t>remarks</t>
  </si>
  <si>
    <t>king's court</t>
  </si>
  <si>
    <t>Overhead fire tank NRV replacement to be completed on priority.</t>
  </si>
  <si>
    <t>Naresh and kapil</t>
  </si>
  <si>
    <t>Open</t>
  </si>
  <si>
    <t>The scope will be covered under the FLS project.</t>
  </si>
  <si>
    <t>Plumber checklist to be maintained; weekly rounds to be conducted on terrace and plumbing shafts.</t>
  </si>
  <si>
    <t xml:space="preserve">Naresh </t>
  </si>
  <si>
    <t>N/A</t>
  </si>
  <si>
    <t>WIP</t>
  </si>
  <si>
    <t>The checklist has been implemented, and the team is actively working on it. Additionally, a shaft checklist is being incorporated.</t>
  </si>
  <si>
    <t>ensuer minimum inventory of essential materials is always availble.</t>
  </si>
  <si>
    <t>Naresh</t>
  </si>
  <si>
    <t>Approval done and PO will be released by tomorrow or day after</t>
  </si>
  <si>
    <t>Accounts team to share bank balance and vendor dues with PM, marking a copy to GM.</t>
  </si>
  <si>
    <t>Closed</t>
  </si>
  <si>
    <t>Updates are being shared on a daily basis.</t>
  </si>
  <si>
    <t>Vendor payments will be released by Accounts only after confirmation from PM.</t>
  </si>
  <si>
    <t>The account manager will ensure compliance accordingly.</t>
  </si>
  <si>
    <t>One-time billing for deficit CAM @ 20.16 to be processed post BOM approval.</t>
  </si>
  <si>
    <t xml:space="preserve">Accounts team to maintain minimum balance for GST, water, gas, electricity bills, and other statutory compliances. </t>
  </si>
  <si>
    <t>GM &amp; PM is also monitoring the balance and payments on daily basis.</t>
  </si>
  <si>
    <t>Prepare kitchen assets list along with assets life to track expected replacement timelines.</t>
  </si>
  <si>
    <t>Technical team check the repairable items and discard non-repairable items</t>
  </si>
  <si>
    <t>Kitchen staff behavior towards residents is below standard -- training to be arrenged.</t>
  </si>
  <si>
    <t>Mr. Pankaj has briefed the staff, and an additional meeting/training session is conducted by GM sir.</t>
  </si>
  <si>
    <t>Ensure cleaning of the main gate area and removal of dry leaves regularly.</t>
  </si>
  <si>
    <t>Lakhan</t>
  </si>
  <si>
    <t>The main gate area has been cleaned.</t>
  </si>
  <si>
    <t>M Block security: replacement of cooler motor and wheel to be completed.</t>
  </si>
  <si>
    <t>Lakhan / Khem</t>
  </si>
  <si>
    <t>Kitchen staff must wear name tages at all time.</t>
  </si>
  <si>
    <t>Grooming standards to be improved for all staff and gym trainer.</t>
  </si>
  <si>
    <t>Naresh / Lakhan / Khem / Praveen</t>
  </si>
  <si>
    <t>HODs are monitoring the ground staff to ensure proper groom on all ground staff</t>
  </si>
  <si>
    <t>swimming pool deck: screw tightening and silicone filling work to be completed.</t>
  </si>
  <si>
    <t>Naresh / Lakhan</t>
  </si>
  <si>
    <t>We have called two vendors and will propose to RWA for replacement of all damaged flooring planks</t>
  </si>
  <si>
    <t>Façade and walkway cleaning to be done using a jet pressure machine (lakhan &amp;  Naresh to coordinet).</t>
  </si>
  <si>
    <t>accessible and reachable area has been cleaned</t>
  </si>
  <si>
    <t>Maintain and update EV vehicle list.</t>
  </si>
  <si>
    <t>Parveen</t>
  </si>
  <si>
    <t>Details of 14 vehicles have been shared by Parveen.</t>
  </si>
  <si>
    <t>Auditor contract to be renewed and signed by BOM.</t>
  </si>
  <si>
    <t>Kapil &amp; GM sir</t>
  </si>
  <si>
    <t>RWA met to auditor and agreement has approved</t>
  </si>
  <si>
    <t>Coordinate with façade paint vendor for façade cleaning support.</t>
  </si>
  <si>
    <t>Kapil</t>
  </si>
  <si>
    <t>Discussed with vendor and they will are meeting to GM Sir on 27 May 2026, around 11AM.'</t>
  </si>
  <si>
    <t>CCTV footage to be checked daily for all dark points (responsibility: Parveen).</t>
  </si>
  <si>
    <t>Parveen is reviewing CCTV footage and sharing observations during morning meetings.</t>
  </si>
  <si>
    <t>UPS AMC may be issued to the lowest-cost vendor, provided both vendors are registered with C&amp;W.</t>
  </si>
  <si>
    <t>SO issued to L1 vendor</t>
  </si>
  <si>
    <t>Floor lights tower front side - repairing .</t>
  </si>
  <si>
    <t>The 3W lights have been repaired and fixed. The 6W lights will be sent once the WO is released.</t>
  </si>
  <si>
    <t xml:space="preserve">name </t>
  </si>
  <si>
    <t>zone</t>
  </si>
  <si>
    <t>T001</t>
  </si>
  <si>
    <t>south</t>
  </si>
  <si>
    <t>S002</t>
  </si>
  <si>
    <t>west</t>
  </si>
  <si>
    <t>P003</t>
  </si>
  <si>
    <t>north</t>
  </si>
  <si>
    <t>C004</t>
  </si>
  <si>
    <t>east</t>
  </si>
  <si>
    <t>A005</t>
  </si>
  <si>
    <t>V006</t>
  </si>
  <si>
    <t>A007</t>
  </si>
  <si>
    <t>A008</t>
  </si>
  <si>
    <t>K009</t>
  </si>
  <si>
    <t>R010</t>
  </si>
  <si>
    <t>in this vlookup formula we take data from different sheet</t>
  </si>
  <si>
    <t xml:space="preserve">NAME </t>
  </si>
  <si>
    <t>REGION</t>
  </si>
  <si>
    <t>ITEM</t>
  </si>
  <si>
    <t>QUNTY</t>
  </si>
  <si>
    <t>TUSHAR</t>
  </si>
  <si>
    <t>EAST</t>
  </si>
  <si>
    <t>NAINA</t>
  </si>
  <si>
    <t>SOUTH</t>
  </si>
  <si>
    <t>DEV</t>
  </si>
  <si>
    <t>NORTH</t>
  </si>
  <si>
    <t>KUNAL</t>
  </si>
  <si>
    <t>WEST</t>
  </si>
  <si>
    <t>Column1</t>
  </si>
  <si>
    <t>Column2</t>
  </si>
  <si>
    <t>Column3</t>
  </si>
  <si>
    <t>Column4</t>
  </si>
  <si>
    <t>Column5</t>
  </si>
  <si>
    <t>Easy Excel - Main File</t>
  </si>
  <si>
    <t>Apply the steps from the "instructions" worksheet to the "Exercise" worksheet. Go over the "Useful Functions" worksheet to learn the material covered in Easy Excel.</t>
  </si>
  <si>
    <t>Easy Excel (PDF Handout)</t>
  </si>
  <si>
    <t>Printable version of the "Useful functions" worksheet in Easy Excel's Excel file.</t>
  </si>
  <si>
    <t>Excel Pivot Tables
Learn to visualize data using Excel's pivot charts and pivot tables. Please note that pivot charts are very version-dependant. Slicers and timelines can only be viewed properly and created in the most recent versions of Excel (2013+). Excel pivot charts are not always available for Excel for the Mac.</t>
  </si>
  <si>
    <t>Excel Pivot Tables</t>
  </si>
  <si>
    <t>Apply the steps from the "instructions" worksheet to the "Exercise" worksheet. Go over the "Pivot Tables" worksheet to learn the material covered in Excel Pivot Tables.</t>
  </si>
  <si>
    <t>First Look at Excel Formulas
Your pigeons have flown away! Learn about entering formulas in Excel, the difference between indirect and absolute addresses, and see an example of the use of the Indirect formula.</t>
  </si>
  <si>
    <t>First Look at Excel Formulas</t>
  </si>
  <si>
    <t>Excel Formulas - Main File</t>
  </si>
  <si>
    <t>Apply the steps from the "instructions" worksheet to the "Exercise" worksheet or practice in the "Quick practice" worksheet. Go over the "Excel Formulas" worksheet to learn the material covered in First Look at Excel Formulas.</t>
  </si>
  <si>
    <t>Excel Experts
Learn to remove duplicates, use the vlookup or xlookup formula, manipulate text, and use advanced Excel features!</t>
  </si>
  <si>
    <t>Excel Experts</t>
  </si>
  <si>
    <t>Please download the file to your desktop. Click the links in the menus to navigate the content and choose what you want to know!</t>
  </si>
  <si>
    <t>Excel Experts (PDF Handout)</t>
  </si>
  <si>
    <t>A great reference sheet to use with the main file of Excel Experts.</t>
  </si>
  <si>
    <t>Excel Experts - Missing Content (PDF)</t>
  </si>
  <si>
    <t>Lists content that is not typically covered in synchronous Excel Experts workshops and suggests what formulas and features you might want to learn on your own to deepen your Excel expertise.</t>
  </si>
  <si>
    <t>Excel Macros
Learn to magically automate some Excel tasks!</t>
  </si>
  <si>
    <t>Excel Macros</t>
  </si>
  <si>
    <t>Excel file to use to practice working with macros.</t>
  </si>
  <si>
    <t>Excel Macros (PDF Handout)</t>
  </si>
  <si>
    <t>A great reference sheet to use with the main file of Excel Macros.</t>
  </si>
  <si>
    <t>Excel Macros - Example Macros</t>
  </si>
  <si>
    <t>Text file to be used with the main Macro Excel file.</t>
  </si>
  <si>
    <t>Other Excel Learning Resources
Where else and what else can you learn about Excel?</t>
  </si>
  <si>
    <t>Other Excel Learning Resources</t>
  </si>
  <si>
    <t>Excel Learning Resources (PDF)</t>
  </si>
  <si>
    <t>Suggestions on where to learn more about using Excel in general, and where to specifically learn more about using Excel to work with data.</t>
  </si>
  <si>
    <t>How can you best set yourself up for success in Excel? The Easing into Excellent Excel Practices folder covers the drawbacks of working with data in Excel; tips and tricks on how to prepare files, spreadsheets, and data for work in Excel; and exceptional Excel learning resources.</t>
  </si>
  <si>
    <t>Easing into Excellent Excel Practices Folder This link opens in a new window</t>
  </si>
  <si>
    <t>Click on "Download" and download the contents of this series to your desktop.</t>
  </si>
  <si>
    <t>This link opens in a new window</t>
  </si>
  <si>
    <t>Raw data used in Easing into Excellent Excel Practices</t>
  </si>
  <si>
    <t>If you don't have time to download the whole series (recommended) but want to follow along during a live presentation, download this file.</t>
  </si>
  <si>
    <t>Example Excel file used for Easing into Excellent Excel Practices</t>
  </si>
  <si>
    <t>Practice useful Excel functions with these exercises where data is retrieved and then formatted in Excel.
Excel and the Census Analyser
Try the first exercise to download data from the Census Analyser, and then follow the instructions and view the Office Mix to nicely format the file in Excel.</t>
  </si>
  <si>
    <t>Excel and the Census Analyser</t>
  </si>
  <si>
    <t>Census Analyser Exercise</t>
  </si>
  <si>
    <t>Use the Canadian Census Analyser to look at levels of higher education achieved across Nova Scotia by Census Division.</t>
  </si>
  <si>
    <t>Using Excel with the Canadian Census Analyser (Slides and screen recordings) This link opens in a new window</t>
  </si>
  <si>
    <t>Short demonstration (with no audio) on how to use Excel to work with files generated from the Canadian Census Analyzer.</t>
  </si>
  <si>
    <t>Census Analyser Excel Exercise</t>
  </si>
  <si>
    <t>Format the file obtained in the Canadian Analyser Exercise in Excel.</t>
  </si>
  <si>
    <t>Excel and Nova Scotia Open Data
Follow the instructions in the Office Mix to format and analyse the CSV files taken from the Nova Scotia Open Data Portal exercise.</t>
  </si>
  <si>
    <t>Excel and Nova Scotia Open Data</t>
  </si>
  <si>
    <t>Nova Scotia Open Data Supplementary Exercise - Child Care version</t>
  </si>
  <si>
    <t>Excel file to be used with slides containing screen recordings showing how to format and analyze child care data.</t>
  </si>
  <si>
    <t>Nova Scotia Open Data Supplementary Exercise - Child Care version (Slides and screen recording) This link opens in a new window</t>
  </si>
  <si>
    <t>Follow the steps from these slides using the provided csv file to format and analyze child care data taken from the Nova Scotia Open Data Portal.</t>
  </si>
  <si>
    <t>Nova Scotia Open Data Supplementary Exercise - Public Housing version</t>
  </si>
  <si>
    <t>Excel file to be used with slides with screen recordings showing how to format and analyze data on public housing for seniors.</t>
  </si>
  <si>
    <t>Nova Scotia Open Data Supplementary Exercise - Public Housing version (Slides and recordings) This link opens in a new window</t>
  </si>
  <si>
    <t>Follow the steps from these slides using the provided csv file to format and analyze senior public housing data taken from the Nova Scotia Open Data Portal.</t>
  </si>
  <si>
    <t>Easy Excel</t>
  </si>
  <si>
    <t>datevalue</t>
  </si>
  <si>
    <t>salavege</t>
  </si>
  <si>
    <t>edate(expairy date)</t>
  </si>
  <si>
    <t>eomonth</t>
  </si>
  <si>
    <t>Date &amp; Time Formulas</t>
  </si>
  <si>
    <t>MIchaEL andeRson</t>
  </si>
  <si>
    <t>SArAh smith</t>
  </si>
  <si>
    <t>raHul shARma</t>
  </si>
  <si>
    <t>aMAN kuMAR</t>
  </si>
  <si>
    <t>PriYA siNGH</t>
  </si>
  <si>
    <t>roHIt meHRA</t>
  </si>
  <si>
    <t>neHA VERma</t>
  </si>
  <si>
    <t>aKASH gUPta</t>
  </si>
  <si>
    <t>viKASh yADAV</t>
  </si>
  <si>
    <t>pooja sHARma</t>
  </si>
  <si>
    <t>ArJUn paTel</t>
  </si>
  <si>
    <t>nItiN kUMAr</t>
  </si>
  <si>
    <t>sNEha jAIN</t>
  </si>
  <si>
    <t>kArAn MALhOtrA</t>
  </si>
  <si>
    <t>anJALi VeRMA</t>
  </si>
  <si>
    <t>moHIt aGArwAL</t>
  </si>
  <si>
    <t>riYA kaPOOr</t>
  </si>
  <si>
    <t>suMIT kuMAr</t>
  </si>
  <si>
    <t>taNVi ShARma</t>
  </si>
  <si>
    <t>aDItyA SinGH</t>
  </si>
  <si>
    <t>pAyAL gUPTa</t>
  </si>
  <si>
    <t>rAJeeV MeHta</t>
  </si>
  <si>
    <t>kRiShNa YaDaV</t>
  </si>
  <si>
    <t>aNUsHka sHARMA</t>
  </si>
  <si>
    <t>vARun kAPooR</t>
  </si>
  <si>
    <t>DiVYa PaTeL</t>
  </si>
  <si>
    <t>sAHiL KhAN</t>
  </si>
  <si>
    <t>mUSkAn gUPtA</t>
  </si>
  <si>
    <t>aBHiSheK sINGH</t>
  </si>
  <si>
    <t>sAKshi MeHra</t>
  </si>
  <si>
    <t>roHAn vERmA</t>
  </si>
  <si>
    <t>iSHa PaTeL</t>
  </si>
  <si>
    <t>mAnAV sHARmA</t>
  </si>
  <si>
    <t>kAVya jAIN</t>
  </si>
  <si>
    <t>dEEpak yADav</t>
  </si>
  <si>
    <t>pRIYaNsHu kuMAR</t>
  </si>
  <si>
    <t>neELam gUPta</t>
  </si>
  <si>
    <t>aYUsH meHTa</t>
  </si>
  <si>
    <t>shRUTi sINGh</t>
  </si>
  <si>
    <t>aRNav kAPoor</t>
  </si>
  <si>
    <t>mEgha sHARmA</t>
  </si>
  <si>
    <t>vIVEk PaTeL</t>
  </si>
  <si>
    <t>rITik kuMAr</t>
  </si>
  <si>
    <t>aDItI VERma</t>
  </si>
  <si>
    <t>nIkHIl YaDaV</t>
  </si>
  <si>
    <t>pRaChi jAIN</t>
  </si>
  <si>
    <t>sUMit sINGh</t>
  </si>
  <si>
    <t>kOmAl gUPta</t>
  </si>
  <si>
    <t>hARsh MeHra</t>
  </si>
  <si>
    <t>sANvi sHARma</t>
  </si>
  <si>
    <t>rAKeSh PaTeL</t>
  </si>
  <si>
    <t>tANu kAPoOr</t>
  </si>
  <si>
    <t>improper names</t>
  </si>
  <si>
    <t>proper and trim</t>
  </si>
  <si>
    <t>upper and trim</t>
  </si>
  <si>
    <t>lower and trim</t>
  </si>
  <si>
    <t>EMPL ID</t>
  </si>
  <si>
    <t>SALARY</t>
  </si>
  <si>
    <t>DEPARTMENT</t>
  </si>
  <si>
    <t>HR</t>
  </si>
  <si>
    <t>cos</t>
  </si>
  <si>
    <t>sin</t>
  </si>
  <si>
    <t>tan</t>
  </si>
  <si>
    <t>cot</t>
  </si>
  <si>
    <t>sec</t>
  </si>
  <si>
    <t>fact</t>
  </si>
  <si>
    <t>factdoubl</t>
  </si>
  <si>
    <t>lcm</t>
  </si>
  <si>
    <t>mod</t>
  </si>
  <si>
    <t>pi</t>
  </si>
  <si>
    <t>power</t>
  </si>
  <si>
    <t>rand</t>
  </si>
  <si>
    <t>sign</t>
  </si>
  <si>
    <t>sqrt</t>
  </si>
  <si>
    <t>sqrtpi</t>
  </si>
  <si>
    <t>log</t>
  </si>
  <si>
    <t xml:space="preserve">MATHS FORMULA </t>
  </si>
  <si>
    <t>cosec</t>
  </si>
  <si>
    <t>2008</t>
  </si>
  <si>
    <t>2007</t>
  </si>
  <si>
    <t>2006</t>
  </si>
  <si>
    <t>Sum of age</t>
  </si>
  <si>
    <t>Qtr1</t>
  </si>
  <si>
    <t>Qtr2</t>
  </si>
  <si>
    <t>Qtr3</t>
  </si>
  <si>
    <t>Qtr4</t>
  </si>
  <si>
    <t>Aarav Total</t>
  </si>
  <si>
    <t>Aditya Total</t>
  </si>
  <si>
    <t>Akash Total</t>
  </si>
  <si>
    <t>Aman Total</t>
  </si>
  <si>
    <t>Ankit Total</t>
  </si>
  <si>
    <t>Arjun Total</t>
  </si>
  <si>
    <t>chirag Total</t>
  </si>
  <si>
    <t>Deepak Total</t>
  </si>
  <si>
    <t>Karan Total</t>
  </si>
  <si>
    <t>Krishna Total</t>
  </si>
  <si>
    <t>prakash Total</t>
  </si>
  <si>
    <t>Rahul Total</t>
  </si>
  <si>
    <t>Rohan Total</t>
  </si>
  <si>
    <t>sahil Total</t>
  </si>
  <si>
    <t>tushar Total</t>
  </si>
  <si>
    <t>Varun Total</t>
  </si>
  <si>
    <t>Vikram Total</t>
  </si>
  <si>
    <t>Vivaan Total</t>
  </si>
  <si>
    <t>index</t>
  </si>
  <si>
    <t>picture</t>
  </si>
  <si>
    <t>offset function</t>
  </si>
  <si>
    <t>position</t>
  </si>
  <si>
    <t xml:space="preserve">total days </t>
  </si>
  <si>
    <t xml:space="preserve">present </t>
  </si>
  <si>
    <t>absent</t>
  </si>
  <si>
    <t>select month:</t>
  </si>
  <si>
    <t>select year:</t>
  </si>
  <si>
    <t>employee attendance sheet</t>
  </si>
  <si>
    <t>employee id</t>
  </si>
  <si>
    <t>employee name</t>
  </si>
  <si>
    <t>emp attendence</t>
  </si>
  <si>
    <t>from</t>
  </si>
  <si>
    <t>to generate rendom letters</t>
  </si>
  <si>
    <t xml:space="preserve">highlight </t>
  </si>
  <si>
    <t>HOURLY ALLOWANCE 1%</t>
  </si>
  <si>
    <t>Basic Salary</t>
  </si>
  <si>
    <t>OVERALL SALARY ANALYTICS</t>
  </si>
  <si>
    <t>KPI</t>
  </si>
  <si>
    <t>Value</t>
  </si>
  <si>
    <t>Total Employees</t>
  </si>
  <si>
    <t>Total Basic Salary</t>
  </si>
  <si>
    <t>Total Payroll</t>
  </si>
  <si>
    <t>Total LTA</t>
  </si>
  <si>
    <t>Total PF</t>
  </si>
  <si>
    <t>Total ESI</t>
  </si>
  <si>
    <t>Payroll Metric</t>
  </si>
  <si>
    <t>Total Allowances</t>
  </si>
  <si>
    <t>PF + ESI</t>
  </si>
  <si>
    <t>Avg Salary</t>
  </si>
  <si>
    <t>Max Salary</t>
  </si>
  <si>
    <t>Min Salary</t>
  </si>
  <si>
    <t>HRA Total</t>
  </si>
  <si>
    <t>DA Total</t>
  </si>
  <si>
    <t>Hourly Allow.</t>
  </si>
  <si>
    <t>YOUR COMPANY NAME</t>
  </si>
  <si>
    <t>PAY  SLIP</t>
  </si>
  <si>
    <t>Monthly Salary Statement</t>
  </si>
  <si>
    <t>Employee ID</t>
  </si>
  <si>
    <t>Employee Name</t>
  </si>
  <si>
    <t>Designation</t>
  </si>
  <si>
    <t>Slip No.</t>
  </si>
  <si>
    <t>EARNINGS</t>
  </si>
  <si>
    <t>DEDUCTIONS</t>
  </si>
  <si>
    <t>PF (10%)</t>
  </si>
  <si>
    <t>HRA (10%)</t>
  </si>
  <si>
    <t>ESI (1.75%)</t>
  </si>
  <si>
    <t>DA (12%)</t>
  </si>
  <si>
    <t>Late Days</t>
  </si>
  <si>
    <t>Hourly Allowance (1%)</t>
  </si>
  <si>
    <t>Late Deduction Amt</t>
  </si>
  <si>
    <t>LTA (6%)</t>
  </si>
  <si>
    <t>Overtime (Hours)</t>
  </si>
  <si>
    <t>Overtime Amount</t>
  </si>
  <si>
    <t>Total Earnings</t>
  </si>
  <si>
    <t>Total Deductions</t>
  </si>
  <si>
    <t>Employee Signature</t>
  </si>
  <si>
    <t>Authorized Signature</t>
  </si>
  <si>
    <t>GRAPHICAL ANALYTICS — SELECTED TABLE</t>
  </si>
  <si>
    <t>Total revenue</t>
  </si>
  <si>
    <t>Avg monthly revenue</t>
  </si>
  <si>
    <t>Top product</t>
  </si>
  <si>
    <t>Peak month</t>
  </si>
  <si>
    <t>Active products</t>
  </si>
  <si>
    <t>Peak month revenue</t>
  </si>
  <si>
    <t>Top 3 mix</t>
  </si>
  <si>
    <t>Supporting analysis data</t>
  </si>
  <si>
    <t>Month</t>
  </si>
  <si>
    <t>Total Revenue</t>
  </si>
  <si>
    <t>Product</t>
  </si>
  <si>
    <t>Top 10 Product</t>
  </si>
  <si>
    <t>Top 5 Product</t>
  </si>
  <si>
    <t>Active Products</t>
  </si>
  <si>
    <t>Revenue</t>
  </si>
  <si>
    <t>Future Sales Growth Strategy</t>
  </si>
  <si>
    <t>Growth pillar</t>
  </si>
  <si>
    <t>Objective</t>
  </si>
  <si>
    <t>Practical actions</t>
  </si>
  <si>
    <t>Primary KPI</t>
  </si>
  <si>
    <t>Cadence</t>
  </si>
  <si>
    <t>Owner</t>
  </si>
  <si>
    <t>Customer understanding</t>
  </si>
  <si>
    <t>Increase relevance, retention, and customer value</t>
  </si>
  <si>
    <t>Segment customers by recency, frequency, and value; run short surveys and 1:1 interviews; tailor offers and follow-ups by segment.</t>
  </si>
  <si>
    <t>Repeat purchase rate; average order value</t>
  </si>
  <si>
    <t>Monthly</t>
  </si>
  <si>
    <t>Sales + marketing</t>
  </si>
  <si>
    <t>Digital marketing</t>
  </si>
  <si>
    <t>Grow qualified traffic and conversion</t>
  </si>
  <si>
    <t>Use a weekly content calendar; test two creatives and two offers per month; retarget engaged visitors; track channel-level CAC and ROAS.</t>
  </si>
  <si>
    <t>Leads; conversion rate; CAC; ROAS</t>
  </si>
  <si>
    <t>Weekly</t>
  </si>
  <si>
    <t>Marketing</t>
  </si>
  <si>
    <t>Product improvement</t>
  </si>
  <si>
    <t>Raise perceived value and reduce churn</t>
  </si>
  <si>
    <t>Review complaints, returns, and reviews; prioritize the top three fixes; pilot bundles or feature changes with target customers before scaling.</t>
  </si>
  <si>
    <t>Product rating; return rate; repeat rate</t>
  </si>
  <si>
    <t>Product + operations</t>
  </si>
  <si>
    <t>Market trend analysis</t>
  </si>
  <si>
    <t>Capture emerging demand and protect margins</t>
  </si>
  <si>
    <t>Review competitor pricing, search demand, seasonality, and channel shifts; refresh the sales forecast and inventory plan each quarter.</t>
  </si>
  <si>
    <t>Market share; price realization; forecast accuracy</t>
  </si>
  <si>
    <t>Quarterly</t>
  </si>
  <si>
    <t>Leadership</t>
  </si>
  <si>
    <t>90-Day Action Plan</t>
  </si>
  <si>
    <t>Timing</t>
  </si>
  <si>
    <t>Priority actions</t>
  </si>
  <si>
    <t>Success test</t>
  </si>
  <si>
    <t>Days 1–30</t>
  </si>
  <si>
    <t>Build three customer segments, collect 20 customer insights, and baseline conversion, repeat rate, CAC, and ROAS.</t>
  </si>
  <si>
    <t>Segment definitions approved; baseline KPI dashboard ready.</t>
  </si>
  <si>
    <t>Days 31–60</t>
  </si>
  <si>
    <t>Launch two digital campaigns, one retention offer, and one product or bundle pilot.</t>
  </si>
  <si>
    <t>At least one campaign beats the current conversion or CAC baseline.</t>
  </si>
  <si>
    <t>Days 61–90</t>
  </si>
  <si>
    <t>Scale the winning channel, refine pricing or packaging, and update the next-quarter demand forecast.</t>
  </si>
  <si>
    <t>Improved sales run-rate with a documented next-quarter plan.</t>
  </si>
  <si>
    <t>Current Sales Snapshot</t>
  </si>
  <si>
    <t>Metric</t>
  </si>
  <si>
    <t>Total sales</t>
  </si>
  <si>
    <t>Average monthly sales</t>
  </si>
  <si>
    <t>Best month</t>
  </si>
  <si>
    <t>Best month sales</t>
  </si>
  <si>
    <t>Lowest month</t>
  </si>
  <si>
    <t>Lowest month sales</t>
  </si>
  <si>
    <t>Use this baseline to measure the impact of each growth initiative against the current Jan–Oct sales history.</t>
  </si>
  <si>
    <t>Product Sales Growth Strategy</t>
  </si>
  <si>
    <t>Match products to city-level demand and buyer needs</t>
  </si>
  <si>
    <t>Group products by volume and value; interview retailers or distributors in the top cities; identify which products win on price, features, or availability.</t>
  </si>
  <si>
    <t>Units sold; repeat orders; city mix</t>
  </si>
  <si>
    <t>Sales + product</t>
  </si>
  <si>
    <t>Increase qualified demand in priority markets</t>
  </si>
  <si>
    <t>Run geo-targeted campaigns for the highest-value cities; create product-specific landing pages; retarget visitors and track conversion by city and product.</t>
  </si>
  <si>
    <t>Raise product value and sell-through</t>
  </si>
  <si>
    <t>Prioritize improvements for high-volume products; test bundles, packaging, warranty, and service enhancements; remove friction from ordering and delivery.</t>
  </si>
  <si>
    <t>Sell-through; return rate; margin</t>
  </si>
  <si>
    <t>Allocate inventory and pricing toward emerging demand</t>
  </si>
  <si>
    <t>Track competitor pricing, city growth, seasonality, and channel shifts; refresh the product-city forecast each quarter and rebalance stock accordingly.</t>
  </si>
  <si>
    <t>Forecast accuracy; stock turns; price realization</t>
  </si>
  <si>
    <t>Rank products and cities by units and sales value; collect 20 customer or channel insights; baseline conversion, CAC, and repeat orders.</t>
  </si>
  <si>
    <t>Priority city-product matrix approved; KPI baseline documented.</t>
  </si>
  <si>
    <t>Launch two geo-targeted campaigns, one product bundle, and one packaging or service improvement pilot.</t>
  </si>
  <si>
    <t>At least one pilot improves conversion, sell-through, or repeat orders.</t>
  </si>
  <si>
    <t>Scale the best city-product combination, adjust inventory, and update next-quarter pricing and demand assumptions.</t>
  </si>
  <si>
    <t>Improved sales run-rate with a documented allocation plan.</t>
  </si>
  <si>
    <t>Current Product Snapshot</t>
  </si>
  <si>
    <t>Total units</t>
  </si>
  <si>
    <t>Total sales value</t>
  </si>
  <si>
    <t>Average unit amount</t>
  </si>
  <si>
    <t>Top city by sales value</t>
  </si>
  <si>
    <t>Top city sales value</t>
  </si>
  <si>
    <t>Top product by units</t>
  </si>
  <si>
    <t>Top product units</t>
  </si>
  <si>
    <t>Chart Data</t>
  </si>
  <si>
    <t>City</t>
  </si>
  <si>
    <t>Sales Value</t>
  </si>
  <si>
    <t>Chart uses the existing city-level sales value summary in F4:O13.</t>
  </si>
  <si>
    <t>male</t>
  </si>
  <si>
    <t>female</t>
  </si>
  <si>
    <t>prefixed name</t>
  </si>
  <si>
    <t>Sales Executive</t>
  </si>
  <si>
    <t>Vice President</t>
  </si>
  <si>
    <t>Manager</t>
  </si>
  <si>
    <t>Senior Engineer</t>
  </si>
  <si>
    <t>Intern</t>
  </si>
  <si>
    <t>Team Lead</t>
  </si>
  <si>
    <t>Accountant</t>
  </si>
  <si>
    <t>Marketing Specialist</t>
  </si>
  <si>
    <t>Operations Coordinator</t>
  </si>
  <si>
    <t>Senior Manager</t>
  </si>
  <si>
    <t>HR Specialist</t>
  </si>
  <si>
    <t>Analyst</t>
  </si>
  <si>
    <t>Associate</t>
  </si>
  <si>
    <t>Engineer</t>
  </si>
  <si>
    <t>Director</t>
  </si>
  <si>
    <t>Priya</t>
  </si>
  <si>
    <t>Neha</t>
  </si>
  <si>
    <t>Ananya</t>
  </si>
  <si>
    <t>Sneha</t>
  </si>
  <si>
    <t>Amit</t>
  </si>
  <si>
    <t>Pooja</t>
  </si>
  <si>
    <t>Isha</t>
  </si>
  <si>
    <t>Meera</t>
  </si>
  <si>
    <t>Simran</t>
  </si>
  <si>
    <t>Kavya</t>
  </si>
  <si>
    <t>Manish</t>
  </si>
  <si>
    <t>Riya</t>
  </si>
  <si>
    <t>Nisha</t>
  </si>
  <si>
    <t>Saurabh</t>
  </si>
  <si>
    <t>Tanya</t>
  </si>
  <si>
    <t>Divya</t>
  </si>
  <si>
    <t>Sonal</t>
  </si>
  <si>
    <t>Preeti</t>
  </si>
  <si>
    <t>Sameer</t>
  </si>
  <si>
    <t>Jyoti</t>
  </si>
  <si>
    <t>Manav</t>
  </si>
  <si>
    <t>Payal</t>
  </si>
  <si>
    <t>Raj</t>
  </si>
  <si>
    <t>Sanya</t>
  </si>
  <si>
    <t>Vivek</t>
  </si>
  <si>
    <t>Komal</t>
  </si>
  <si>
    <t>Shreya</t>
  </si>
  <si>
    <t>Muskan</t>
  </si>
  <si>
    <t>Aditi</t>
  </si>
  <si>
    <t>Ritu</t>
  </si>
  <si>
    <t>Sahil</t>
  </si>
  <si>
    <t>Anjali</t>
  </si>
  <si>
    <t>Arvind</t>
  </si>
  <si>
    <t>Mansi</t>
  </si>
  <si>
    <t>Pranav</t>
  </si>
  <si>
    <t>Kriti</t>
  </si>
  <si>
    <t>Priti</t>
  </si>
  <si>
    <t>Ansh</t>
  </si>
  <si>
    <t>Bhavna</t>
  </si>
  <si>
    <t>Chetan</t>
  </si>
  <si>
    <t>Diya</t>
  </si>
  <si>
    <t>Esha</t>
  </si>
  <si>
    <t>Farhan</t>
  </si>
  <si>
    <t>Girish</t>
  </si>
  <si>
    <t>Hina</t>
  </si>
  <si>
    <t>Imran</t>
  </si>
  <si>
    <t>Jaya</t>
  </si>
  <si>
    <t>Kabir</t>
  </si>
  <si>
    <t>Lavanya</t>
  </si>
  <si>
    <t>Mohan</t>
  </si>
  <si>
    <t>Nandini</t>
  </si>
  <si>
    <t>Omkar</t>
  </si>
  <si>
    <t>Parth</t>
  </si>
  <si>
    <t>Qasim</t>
  </si>
  <si>
    <t>Rachna</t>
  </si>
  <si>
    <t>Siddharth</t>
  </si>
  <si>
    <t>Tanvi</t>
  </si>
  <si>
    <t>Uday</t>
  </si>
  <si>
    <t>Vansh</t>
  </si>
  <si>
    <t>Waseem</t>
  </si>
  <si>
    <t>Xavier</t>
  </si>
  <si>
    <t>Yamini</t>
  </si>
  <si>
    <t>Zoya</t>
  </si>
  <si>
    <t>Aarohi</t>
  </si>
  <si>
    <t>Bharat</t>
  </si>
  <si>
    <t>Charu</t>
  </si>
  <si>
    <t>Devika</t>
  </si>
  <si>
    <t>Eshan</t>
  </si>
  <si>
    <t>Faisal</t>
  </si>
  <si>
    <t>Gauri</t>
  </si>
  <si>
    <t>Himanshu</t>
  </si>
  <si>
    <t>Ira</t>
  </si>
  <si>
    <t>Jatin</t>
  </si>
  <si>
    <t>Kiran</t>
  </si>
  <si>
    <t>Lokesh</t>
  </si>
  <si>
    <t>Madhuri</t>
  </si>
  <si>
    <t>Ojas</t>
  </si>
  <si>
    <t>Pallavi</t>
  </si>
  <si>
    <t>Qadir</t>
  </si>
  <si>
    <t>Ramesh</t>
  </si>
  <si>
    <t>Sakshi</t>
  </si>
  <si>
    <t>Uma</t>
  </si>
  <si>
    <t>Yuvraj</t>
  </si>
  <si>
    <t>Zain</t>
  </si>
  <si>
    <t>Day</t>
  </si>
  <si>
    <t>Present</t>
  </si>
  <si>
    <t>Absent</t>
  </si>
  <si>
    <t>per unit amount</t>
  </si>
  <si>
    <t>priya</t>
  </si>
  <si>
    <t>maharashtra</t>
  </si>
  <si>
    <t>mumbai</t>
  </si>
  <si>
    <t>anjali</t>
  </si>
  <si>
    <t>priya01@gmail.com</t>
  </si>
  <si>
    <t>neha</t>
  </si>
  <si>
    <t>karnataka</t>
  </si>
  <si>
    <t>bengaluru</t>
  </si>
  <si>
    <t>sonal</t>
  </si>
  <si>
    <t>neha01@gmail.com</t>
  </si>
  <si>
    <t>ananya</t>
  </si>
  <si>
    <t>chennai</t>
  </si>
  <si>
    <t>payal</t>
  </si>
  <si>
    <t>ananya01@gmail.com</t>
  </si>
  <si>
    <t>sneha</t>
  </si>
  <si>
    <t>telangana</t>
  </si>
  <si>
    <t>hyderabad</t>
  </si>
  <si>
    <t>poonam</t>
  </si>
  <si>
    <t>sneha01@gmail.com</t>
  </si>
  <si>
    <t>pooja</t>
  </si>
  <si>
    <t>west bengal</t>
  </si>
  <si>
    <t>kolkata</t>
  </si>
  <si>
    <t>mamta</t>
  </si>
  <si>
    <t>pooja01@gmail.com</t>
  </si>
  <si>
    <t>ritu</t>
  </si>
  <si>
    <t>gujarat</t>
  </si>
  <si>
    <t>ahmedabad</t>
  </si>
  <si>
    <t>radhika</t>
  </si>
  <si>
    <t>ritu01@gmail.com</t>
  </si>
  <si>
    <t>kavya</t>
  </si>
  <si>
    <t>rajasthan</t>
  </si>
  <si>
    <t>jaipur</t>
  </si>
  <si>
    <t>swati</t>
  </si>
  <si>
    <t>kavya01@gmail.com</t>
  </si>
  <si>
    <t>simran</t>
  </si>
  <si>
    <t>uttar pradesh</t>
  </si>
  <si>
    <t>lucknow</t>
  </si>
  <si>
    <t>neelam</t>
  </si>
  <si>
    <t>simran01@gmail.com</t>
  </si>
  <si>
    <t>nisha</t>
  </si>
  <si>
    <t>chandigarh</t>
  </si>
  <si>
    <t>shruti</t>
  </si>
  <si>
    <t>nisha01@gmail.com</t>
  </si>
  <si>
    <t>aarti</t>
  </si>
  <si>
    <t>gurugram</t>
  </si>
  <si>
    <t>tamanna</t>
  </si>
  <si>
    <t>aarti01@gmail.com</t>
  </si>
  <si>
    <t>divya</t>
  </si>
  <si>
    <t>kerala</t>
  </si>
  <si>
    <t>kochi</t>
  </si>
  <si>
    <t>bhavna</t>
  </si>
  <si>
    <t>divya01@gmail.com</t>
  </si>
  <si>
    <t>shreya</t>
  </si>
  <si>
    <t>madhya pradesh</t>
  </si>
  <si>
    <t>indore</t>
  </si>
  <si>
    <t>pallavi</t>
  </si>
  <si>
    <t>shreya01@gmail.com</t>
  </si>
  <si>
    <t>bihar</t>
  </si>
  <si>
    <t>patna</t>
  </si>
  <si>
    <t>garima</t>
  </si>
  <si>
    <t>komal01@gmail.com</t>
  </si>
  <si>
    <t>sakshi</t>
  </si>
  <si>
    <t>odisha</t>
  </si>
  <si>
    <t>bhubaneswar</t>
  </si>
  <si>
    <t>vidhi</t>
  </si>
  <si>
    <t>sakshi01@gmail.com</t>
  </si>
  <si>
    <t>riya</t>
  </si>
  <si>
    <t>andhra pradesh</t>
  </si>
  <si>
    <t>visakhapatnam</t>
  </si>
  <si>
    <t>juhi</t>
  </si>
  <si>
    <t>riya01@gmail.com</t>
  </si>
  <si>
    <t>tanya</t>
  </si>
  <si>
    <t>panaji</t>
  </si>
  <si>
    <t>nikita</t>
  </si>
  <si>
    <t>tanya01@gmail.com</t>
  </si>
  <si>
    <t>meera</t>
  </si>
  <si>
    <t>uttarakhand</t>
  </si>
  <si>
    <t>dehradun</t>
  </si>
  <si>
    <t>alisha</t>
  </si>
  <si>
    <t>meera01@gmail.com</t>
  </si>
  <si>
    <t>ishita</t>
  </si>
  <si>
    <t>assam</t>
  </si>
  <si>
    <t>guwahati</t>
  </si>
  <si>
    <t>monika</t>
  </si>
  <si>
    <t>ishita01@gmail.com</t>
  </si>
  <si>
    <t>muskan</t>
  </si>
  <si>
    <t>jharkhand</t>
  </si>
  <si>
    <t>ranchi</t>
  </si>
  <si>
    <t>sana</t>
  </si>
  <si>
    <t>muskan01@gmail.com</t>
  </si>
  <si>
    <t>preeti</t>
  </si>
  <si>
    <t>chhattisgarh</t>
  </si>
  <si>
    <t>raipur</t>
  </si>
  <si>
    <t>meenakshi</t>
  </si>
  <si>
    <t>preeti01@gmail.com</t>
  </si>
  <si>
    <t>Product ID</t>
  </si>
  <si>
    <t>ord0051</t>
  </si>
  <si>
    <t>Tuesday, February 21, 2023</t>
  </si>
  <si>
    <t>ord0052</t>
  </si>
  <si>
    <t>Wednesday, February 22, 2023</t>
  </si>
  <si>
    <t>ord0053</t>
  </si>
  <si>
    <t>Thursday, February 23, 2023</t>
  </si>
  <si>
    <t>kiran</t>
  </si>
  <si>
    <t>ord0054</t>
  </si>
  <si>
    <t>Friday, February 24, 2023</t>
  </si>
  <si>
    <t>pune</t>
  </si>
  <si>
    <t>ord0055</t>
  </si>
  <si>
    <t>Saturday, February 25, 2023</t>
  </si>
  <si>
    <t>isha</t>
  </si>
  <si>
    <t>ord0056</t>
  </si>
  <si>
    <t>Sunday, February 26, 2023</t>
  </si>
  <si>
    <t>ord0057</t>
  </si>
  <si>
    <t>Monday, February 27, 2023</t>
  </si>
  <si>
    <t>ord0058</t>
  </si>
  <si>
    <t>Tuesday, February 28, 2023</t>
  </si>
  <si>
    <t>mohan</t>
  </si>
  <si>
    <t>ord0059</t>
  </si>
  <si>
    <t>Wednesday, March 1, 2023</t>
  </si>
  <si>
    <t>tanu</t>
  </si>
  <si>
    <t>ord0060</t>
  </si>
  <si>
    <t>Thursday, March 2, 2023</t>
  </si>
  <si>
    <t>ord0061</t>
  </si>
  <si>
    <t>Friday, March 3, 2023</t>
  </si>
  <si>
    <t>shweta</t>
  </si>
  <si>
    <t>ord0062</t>
  </si>
  <si>
    <t>Saturday, March 4, 2023</t>
  </si>
  <si>
    <t>ord0063</t>
  </si>
  <si>
    <t>Sunday, March 5, 2023</t>
  </si>
  <si>
    <t>ord0064</t>
  </si>
  <si>
    <t>Monday, March 6, 2023</t>
  </si>
  <si>
    <t>ord0065</t>
  </si>
  <si>
    <t>Tuesday, March 7, 2023</t>
  </si>
  <si>
    <t>ord0066</t>
  </si>
  <si>
    <t>Wednesday, March 8, 2023</t>
  </si>
  <si>
    <t>vikas</t>
  </si>
  <si>
    <t>ord0067</t>
  </si>
  <si>
    <t>Thursday, March 9, 2023</t>
  </si>
  <si>
    <t>ord0068</t>
  </si>
  <si>
    <t>Friday, March 10, 2023</t>
  </si>
  <si>
    <t>ord0069</t>
  </si>
  <si>
    <t>Saturday, March 11, 2023</t>
  </si>
  <si>
    <t>kavita</t>
  </si>
  <si>
    <t>ord0070</t>
  </si>
  <si>
    <t>Sunday, March 12, 2023</t>
  </si>
  <si>
    <t>mixer</t>
  </si>
  <si>
    <t>novel</t>
  </si>
  <si>
    <t>kiran01@gmail.com</t>
  </si>
  <si>
    <t>varun01@gmail.com</t>
  </si>
  <si>
    <t>vitamins</t>
  </si>
  <si>
    <t>isha01@gmail.com</t>
  </si>
  <si>
    <t>mobile</t>
  </si>
  <si>
    <t>rahul01@gmail.com</t>
  </si>
  <si>
    <t>microwave</t>
  </si>
  <si>
    <t>saree</t>
  </si>
  <si>
    <t>mohan01@gmail.com</t>
  </si>
  <si>
    <t>history</t>
  </si>
  <si>
    <t>tanu01@gmail.com</t>
  </si>
  <si>
    <t>printer</t>
  </si>
  <si>
    <t>amit01@gmail.com</t>
  </si>
  <si>
    <t>cough syrup</t>
  </si>
  <si>
    <t>shweta01@gmail.com</t>
  </si>
  <si>
    <t>blender</t>
  </si>
  <si>
    <t>naveen01@gmail.com</t>
  </si>
  <si>
    <t>shoes</t>
  </si>
  <si>
    <t>aditya01@gmail.com</t>
  </si>
  <si>
    <t>sanitizer</t>
  </si>
  <si>
    <t>vikas01@gmail.com</t>
  </si>
  <si>
    <t>toaster</t>
  </si>
  <si>
    <t>jacket</t>
  </si>
  <si>
    <t>manish01@gmail.com</t>
  </si>
  <si>
    <t>science</t>
  </si>
  <si>
    <t>kavita01@gmail.com</t>
  </si>
  <si>
    <t>dumbbells</t>
  </si>
  <si>
    <t>rohit01@gmail.com</t>
  </si>
  <si>
    <t>costumer ID</t>
  </si>
  <si>
    <t>Age</t>
  </si>
  <si>
    <t>ctr0001</t>
  </si>
  <si>
    <t>ctr0002</t>
  </si>
  <si>
    <t>ctr0003</t>
  </si>
  <si>
    <t>ctr0004</t>
  </si>
  <si>
    <t>ctr0005</t>
  </si>
  <si>
    <t>ctr0006</t>
  </si>
  <si>
    <t>ctr0007</t>
  </si>
  <si>
    <t>ctr0008</t>
  </si>
  <si>
    <t>ctr0009</t>
  </si>
  <si>
    <t>ctr0010</t>
  </si>
  <si>
    <t>ctr0011</t>
  </si>
  <si>
    <t>ctr0012</t>
  </si>
  <si>
    <t>ctr0013</t>
  </si>
  <si>
    <t>ctr0014</t>
  </si>
  <si>
    <t>ctr0015</t>
  </si>
  <si>
    <t>ctr0016</t>
  </si>
  <si>
    <t>ctr0017</t>
  </si>
  <si>
    <t>ctr0018</t>
  </si>
  <si>
    <t>ctr0019</t>
  </si>
  <si>
    <t>ctr0020</t>
  </si>
  <si>
    <t>ctr0021</t>
  </si>
  <si>
    <t>ctr0022</t>
  </si>
  <si>
    <t>ctr0023</t>
  </si>
  <si>
    <t>ctr0024</t>
  </si>
  <si>
    <t>ctr0025</t>
  </si>
  <si>
    <t>ctr0026</t>
  </si>
  <si>
    <t>ctr0027</t>
  </si>
  <si>
    <t>ctr0028</t>
  </si>
  <si>
    <t>ctr0029</t>
  </si>
  <si>
    <t>ctr0030</t>
  </si>
  <si>
    <t>ctr0031</t>
  </si>
  <si>
    <t>ctr0032</t>
  </si>
  <si>
    <t>ctr0033</t>
  </si>
  <si>
    <t>ctr0034</t>
  </si>
  <si>
    <t>ctr0035</t>
  </si>
  <si>
    <t>ctr0036</t>
  </si>
  <si>
    <t>ctr0037</t>
  </si>
  <si>
    <t>ctr0038</t>
  </si>
  <si>
    <t>ctr0039</t>
  </si>
  <si>
    <t>ctr0040</t>
  </si>
  <si>
    <t>ctr0041</t>
  </si>
  <si>
    <t>ctr0042</t>
  </si>
  <si>
    <t>ctr0043</t>
  </si>
  <si>
    <t>ctr0044</t>
  </si>
  <si>
    <t>ctr0045</t>
  </si>
  <si>
    <t>ctr0046</t>
  </si>
  <si>
    <t>ctr0047</t>
  </si>
  <si>
    <t>ctr0048</t>
  </si>
  <si>
    <t>ctr0049</t>
  </si>
  <si>
    <t>ctr0050</t>
  </si>
  <si>
    <t>ctr0051</t>
  </si>
  <si>
    <t>ctr0052</t>
  </si>
  <si>
    <t>ctr0053</t>
  </si>
  <si>
    <t>ctr0054</t>
  </si>
  <si>
    <t>ctr0055</t>
  </si>
  <si>
    <t>ctr0056</t>
  </si>
  <si>
    <t>ctr0057</t>
  </si>
  <si>
    <t>ctr0058</t>
  </si>
  <si>
    <t>ctr0059</t>
  </si>
  <si>
    <t>ctr0060</t>
  </si>
  <si>
    <t>ctr0061</t>
  </si>
  <si>
    <t>ctr0062</t>
  </si>
  <si>
    <t>ctr0063</t>
  </si>
  <si>
    <t>ctr0064</t>
  </si>
  <si>
    <t>ctr0065</t>
  </si>
  <si>
    <t>ctr0066</t>
  </si>
  <si>
    <t>ctr0067</t>
  </si>
  <si>
    <t>ctr0068</t>
  </si>
  <si>
    <t>ctr0069</t>
  </si>
  <si>
    <t>ctr0070</t>
  </si>
  <si>
    <t>Sales Performance Dashboard</t>
  </si>
  <si>
    <t>Interactive view of orders, sales mix, and performance by market, category, and sales rep</t>
  </si>
  <si>
    <t>FILTERS</t>
  </si>
  <si>
    <t>Month From</t>
  </si>
  <si>
    <t>All</t>
  </si>
  <si>
    <t>Month To</t>
  </si>
  <si>
    <t>Category</t>
  </si>
  <si>
    <t>Sales Rep</t>
  </si>
  <si>
    <t>TOTAL SALES</t>
  </si>
  <si>
    <t>TOTAL PROFIT*</t>
  </si>
  <si>
    <t>TOTAL ORDERS</t>
  </si>
  <si>
    <t>AVERAGE ORDER VALUE</t>
  </si>
  <si>
    <t>Revenue from amount field</t>
  </si>
  <si>
    <t>Order rows in source</t>
  </si>
  <si>
    <t>Sales ÷ orders</t>
  </si>
  <si>
    <t>Order ID</t>
  </si>
  <si>
    <t>Month #</t>
  </si>
  <si>
    <t>CHART DATA (updates with filters)</t>
  </si>
  <si>
    <t>Sales</t>
  </si>
  <si>
    <t>January</t>
  </si>
  <si>
    <t>February</t>
  </si>
  <si>
    <t>March</t>
  </si>
  <si>
    <t>April</t>
  </si>
  <si>
    <t>May</t>
  </si>
  <si>
    <t>June</t>
  </si>
  <si>
    <t>July</t>
  </si>
  <si>
    <t>August</t>
  </si>
  <si>
    <t>September</t>
  </si>
  <si>
    <t>October</t>
  </si>
  <si>
    <t>November</t>
  </si>
  <si>
    <t>December</t>
  </si>
  <si>
    <t>Source: product list | Refreshed: 24-Sep-2026</t>
  </si>
  <si>
    <t>TOP 10 REP DATA</t>
  </si>
  <si>
    <t>City Filter</t>
  </si>
  <si>
    <t>Category Filter</t>
  </si>
  <si>
    <t>Month Filter</t>
  </si>
  <si>
    <t>Rep Filter</t>
  </si>
  <si>
    <t>ord0071</t>
  </si>
  <si>
    <t>ord0072</t>
  </si>
  <si>
    <t>ord0073</t>
  </si>
  <si>
    <t>ord0074</t>
  </si>
  <si>
    <t>ord0075</t>
  </si>
  <si>
    <t>ord0076</t>
  </si>
  <si>
    <t>ord0077</t>
  </si>
  <si>
    <t>ord0078</t>
  </si>
  <si>
    <t>ord0079</t>
  </si>
  <si>
    <t>ord0080</t>
  </si>
  <si>
    <t>ord0081</t>
  </si>
  <si>
    <t>ord0082</t>
  </si>
  <si>
    <t>ord0083</t>
  </si>
  <si>
    <t>ord0084</t>
  </si>
  <si>
    <t>ord0085</t>
  </si>
  <si>
    <t>ord0086</t>
  </si>
  <si>
    <t>ord0087</t>
  </si>
  <si>
    <t>ord0088</t>
  </si>
  <si>
    <t>ord0089</t>
  </si>
  <si>
    <t>ord0090</t>
  </si>
  <si>
    <t>Monday, March 13, 2023</t>
  </si>
  <si>
    <t>Tuesday, March 14, 2023</t>
  </si>
  <si>
    <t>Wednesday, March 15, 2023</t>
  </si>
  <si>
    <t>Thursday, March 16, 2023</t>
  </si>
  <si>
    <t>Friday, March 17, 2023</t>
  </si>
  <si>
    <t>Saturday, March 18, 2023</t>
  </si>
  <si>
    <t>Sunday, March 19, 2023</t>
  </si>
  <si>
    <t>Monday, March 20, 2023</t>
  </si>
  <si>
    <t>Tuesday, March 21, 2023</t>
  </si>
  <si>
    <t>Wednesday, March 22, 2023</t>
  </si>
  <si>
    <t>Thursday, March 23, 2023</t>
  </si>
  <si>
    <t>Friday, March 24, 2023</t>
  </si>
  <si>
    <t>Saturday, March 25, 2023</t>
  </si>
  <si>
    <t>Sunday, March 26, 2023</t>
  </si>
  <si>
    <t>Monday, March 27, 2023</t>
  </si>
  <si>
    <t>Tuesday, March 28, 2023</t>
  </si>
  <si>
    <t>Wednesday, March 29, 2023</t>
  </si>
  <si>
    <t>Thursday, March 30, 2023</t>
  </si>
  <si>
    <t>Friday, March 31, 2023</t>
  </si>
  <si>
    <t>Saturday, April 1, 2023</t>
  </si>
  <si>
    <t>ctr0071</t>
  </si>
  <si>
    <t>ctr0072</t>
  </si>
  <si>
    <t>ctr0073</t>
  </si>
  <si>
    <t>ctr0074</t>
  </si>
  <si>
    <t>ctr0075</t>
  </si>
  <si>
    <t>ctr0076</t>
  </si>
  <si>
    <t>ctr0077</t>
  </si>
  <si>
    <t>ctr0078</t>
  </si>
  <si>
    <t>ctr0079</t>
  </si>
  <si>
    <t>ctr0080</t>
  </si>
  <si>
    <t>ctr0081</t>
  </si>
  <si>
    <t>ctr0082</t>
  </si>
  <si>
    <t>ctr0083</t>
  </si>
  <si>
    <t>ctr0084</t>
  </si>
  <si>
    <t>ctr0085</t>
  </si>
  <si>
    <t>ctr0086</t>
  </si>
  <si>
    <t>ctr0087</t>
  </si>
  <si>
    <t>ctr0088</t>
  </si>
  <si>
    <t>ctr0089</t>
  </si>
  <si>
    <t>ctr0090</t>
  </si>
  <si>
    <t>jyoti</t>
  </si>
  <si>
    <t>akanksha</t>
  </si>
  <si>
    <t>shirt</t>
  </si>
  <si>
    <t>smartwatch</t>
  </si>
  <si>
    <t>treadmill</t>
  </si>
  <si>
    <t>frying pan</t>
  </si>
  <si>
    <t>notebook</t>
  </si>
  <si>
    <t>pipe set</t>
  </si>
  <si>
    <t>toy car</t>
  </si>
  <si>
    <t>scooter</t>
  </si>
  <si>
    <t>wallet</t>
  </si>
  <si>
    <t>atlas</t>
  </si>
  <si>
    <t>camera</t>
  </si>
  <si>
    <t>bench</t>
  </si>
  <si>
    <t>pen set</t>
  </si>
  <si>
    <t>board game</t>
  </si>
  <si>
    <t>ravi01@gmail.com</t>
  </si>
  <si>
    <t>suresh01@gmail.com</t>
  </si>
  <si>
    <t>jyoti01@gmail.com</t>
  </si>
  <si>
    <t>vivek01@gmail.com</t>
  </si>
  <si>
    <t>akanksha01@gmail.com</t>
  </si>
  <si>
    <t>arjun01@gmail.com</t>
  </si>
  <si>
    <t>ord0091</t>
  </si>
  <si>
    <t>Monday, April 3, 2023</t>
  </si>
  <si>
    <t>ctr0091</t>
  </si>
  <si>
    <t>ord0092</t>
  </si>
  <si>
    <t>Thursday, April 6, 2023</t>
  </si>
  <si>
    <t>ctr0092</t>
  </si>
  <si>
    <t>ord0093</t>
  </si>
  <si>
    <t>Sunday, April 9, 2023</t>
  </si>
  <si>
    <t>ctr0093</t>
  </si>
  <si>
    <t>ord0094</t>
  </si>
  <si>
    <t>Wednesday, April 12, 2023</t>
  </si>
  <si>
    <t>ctr0094</t>
  </si>
  <si>
    <t>ord0095</t>
  </si>
  <si>
    <t>Saturday, April 15, 2023</t>
  </si>
  <si>
    <t>ctr0095</t>
  </si>
  <si>
    <t>ord0096</t>
  </si>
  <si>
    <t>Tuesday, April 18, 2023</t>
  </si>
  <si>
    <t>ctr0096</t>
  </si>
  <si>
    <t>ord0097</t>
  </si>
  <si>
    <t>Friday, April 21, 2023</t>
  </si>
  <si>
    <t>ctr0097</t>
  </si>
  <si>
    <t>ord0098</t>
  </si>
  <si>
    <t>Monday, April 24, 2023</t>
  </si>
  <si>
    <t>ctr0098</t>
  </si>
  <si>
    <t>ord0099</t>
  </si>
  <si>
    <t>Sunday, April 30, 2023</t>
  </si>
  <si>
    <t>ctr0099</t>
  </si>
  <si>
    <t>ord0100</t>
  </si>
  <si>
    <t>Wednesday, May 3, 2023</t>
  </si>
  <si>
    <t>ctr0100</t>
  </si>
  <si>
    <t>ord0101</t>
  </si>
  <si>
    <t>Saturday, May 6, 2023</t>
  </si>
  <si>
    <t>ctr0101</t>
  </si>
  <si>
    <t>ord0102</t>
  </si>
  <si>
    <t>Tuesday, May 9, 2023</t>
  </si>
  <si>
    <t>ctr0102</t>
  </si>
  <si>
    <t>ord0103</t>
  </si>
  <si>
    <t>Friday, May 12, 2023</t>
  </si>
  <si>
    <t>ctr0103</t>
  </si>
  <si>
    <t>ord0104</t>
  </si>
  <si>
    <t>Monday, May 15, 2023</t>
  </si>
  <si>
    <t>ctr0104</t>
  </si>
  <si>
    <t>ord0105</t>
  </si>
  <si>
    <t>Thursday, May 18, 2023</t>
  </si>
  <si>
    <t>ctr0105</t>
  </si>
  <si>
    <t>ord0106</t>
  </si>
  <si>
    <t>Sunday, May 21, 2023</t>
  </si>
  <si>
    <t>ctr0106</t>
  </si>
  <si>
    <t>ord0107</t>
  </si>
  <si>
    <t>Wednesday, May 24, 2023</t>
  </si>
  <si>
    <t>ctr0107</t>
  </si>
  <si>
    <t>ord0108</t>
  </si>
  <si>
    <t>Saturday, May 27, 2023</t>
  </si>
  <si>
    <t>ctr0108</t>
  </si>
  <si>
    <t>ord0109</t>
  </si>
  <si>
    <t>Wednesday, May 31, 2023</t>
  </si>
  <si>
    <t>ctr0109</t>
  </si>
  <si>
    <t>ord0110</t>
  </si>
  <si>
    <t>Saturday, June 3, 2023</t>
  </si>
  <si>
    <t>ctr0110</t>
  </si>
  <si>
    <t>megha</t>
  </si>
  <si>
    <t>ord0111</t>
  </si>
  <si>
    <t>Tuesday, June 6, 2023</t>
  </si>
  <si>
    <t>ctr0111</t>
  </si>
  <si>
    <t>ord0112</t>
  </si>
  <si>
    <t>Friday, June 9, 2023</t>
  </si>
  <si>
    <t>ctr0112</t>
  </si>
  <si>
    <t>ord0113</t>
  </si>
  <si>
    <t>Monday, June 12, 2023</t>
  </si>
  <si>
    <t>ctr0113</t>
  </si>
  <si>
    <t>ord0114</t>
  </si>
  <si>
    <t>Thursday, June 15, 2023</t>
  </si>
  <si>
    <t>ctr0114</t>
  </si>
  <si>
    <t>ord0115</t>
  </si>
  <si>
    <t>Sunday, June 18, 2023</t>
  </si>
  <si>
    <t>ctr0115</t>
  </si>
  <si>
    <t>ord0116</t>
  </si>
  <si>
    <t>Wednesday, June 21, 2023</t>
  </si>
  <si>
    <t>ctr0116</t>
  </si>
  <si>
    <t>ord0117</t>
  </si>
  <si>
    <t>Saturday, June 24, 2023</t>
  </si>
  <si>
    <t>ctr0117</t>
  </si>
  <si>
    <t>ord0118</t>
  </si>
  <si>
    <t>Tuesday, June 27, 2023</t>
  </si>
  <si>
    <t>ctr0118</t>
  </si>
  <si>
    <t>ord0119</t>
  </si>
  <si>
    <t>Friday, June 30, 2023</t>
  </si>
  <si>
    <t>ctr0119</t>
  </si>
  <si>
    <t>ord0120</t>
  </si>
  <si>
    <t>Monday, July 3, 2023</t>
  </si>
  <si>
    <t>ctr0120</t>
  </si>
  <si>
    <t>ord0121</t>
  </si>
  <si>
    <t>Thursday, July 6, 2023</t>
  </si>
  <si>
    <t>ctr0121</t>
  </si>
  <si>
    <t>ord0122</t>
  </si>
  <si>
    <t>Sunday, July 9, 2023</t>
  </si>
  <si>
    <t>ctr0122</t>
  </si>
  <si>
    <t>ord0123</t>
  </si>
  <si>
    <t>Wednesday, July 12, 2023</t>
  </si>
  <si>
    <t>ctr0123</t>
  </si>
  <si>
    <t>ord0124</t>
  </si>
  <si>
    <t>Saturday, July 15, 2023</t>
  </si>
  <si>
    <t>ctr0124</t>
  </si>
  <si>
    <t>ord0125</t>
  </si>
  <si>
    <t>Tuesday, July 18, 2023</t>
  </si>
  <si>
    <t>ctr0125</t>
  </si>
  <si>
    <t>ord0126</t>
  </si>
  <si>
    <t>Friday, July 21, 2023</t>
  </si>
  <si>
    <t>ctr0126</t>
  </si>
  <si>
    <t>tanvi</t>
  </si>
  <si>
    <t>ord0127</t>
  </si>
  <si>
    <t>Monday, July 24, 2023</t>
  </si>
  <si>
    <t>ctr0127</t>
  </si>
  <si>
    <t>ord0128</t>
  </si>
  <si>
    <t>Thursday, July 27, 2023</t>
  </si>
  <si>
    <t>ctr0128</t>
  </si>
  <si>
    <t>ord0129</t>
  </si>
  <si>
    <t>Monday, July 31, 2023</t>
  </si>
  <si>
    <t>ctr0129</t>
  </si>
  <si>
    <t>ord0130</t>
  </si>
  <si>
    <t>Thursday, August 3, 2023</t>
  </si>
  <si>
    <t>ctr0130</t>
  </si>
  <si>
    <t>ord0131</t>
  </si>
  <si>
    <t>Sunday, August 6, 2023</t>
  </si>
  <si>
    <t>ctr0131</t>
  </si>
  <si>
    <t>ord0132</t>
  </si>
  <si>
    <t>Wednesday, August 9, 2023</t>
  </si>
  <si>
    <t>ctr0132</t>
  </si>
  <si>
    <t>ord0133</t>
  </si>
  <si>
    <t>Saturday, August 12, 2023</t>
  </si>
  <si>
    <t>ctr0133</t>
  </si>
  <si>
    <t>ord0134</t>
  </si>
  <si>
    <t>Tuesday, August 15, 2023</t>
  </si>
  <si>
    <t>ctr0134</t>
  </si>
  <si>
    <t>ord0135</t>
  </si>
  <si>
    <t>Friday, August 18, 2023</t>
  </si>
  <si>
    <t>ctr0135</t>
  </si>
  <si>
    <t>ord0136</t>
  </si>
  <si>
    <t>Monday, August 21, 2023</t>
  </si>
  <si>
    <t>ctr0136</t>
  </si>
  <si>
    <t>ord0137</t>
  </si>
  <si>
    <t>Thursday, August 24, 2023</t>
  </si>
  <si>
    <t>ctr0137</t>
  </si>
  <si>
    <t>harish</t>
  </si>
  <si>
    <t>ord0138</t>
  </si>
  <si>
    <t>Sunday, August 27, 2023</t>
  </si>
  <si>
    <t>ctr0138</t>
  </si>
  <si>
    <t>ord0139</t>
  </si>
  <si>
    <t>Thursday, August 31, 2023</t>
  </si>
  <si>
    <t>ctr0139</t>
  </si>
  <si>
    <t>ord0140</t>
  </si>
  <si>
    <t>Sunday, September 3, 2023</t>
  </si>
  <si>
    <t>ctr0140</t>
  </si>
  <si>
    <t>kriti</t>
  </si>
  <si>
    <t>ord0141</t>
  </si>
  <si>
    <t>Wednesday, September 6, 2023</t>
  </si>
  <si>
    <t>ctr0141</t>
  </si>
  <si>
    <t>ord0142</t>
  </si>
  <si>
    <t>Saturday, September 9, 2023</t>
  </si>
  <si>
    <t>ctr0142</t>
  </si>
  <si>
    <t>meena</t>
  </si>
  <si>
    <t>ord0143</t>
  </si>
  <si>
    <t>Tuesday, September 12, 2023</t>
  </si>
  <si>
    <t>ctr0143</t>
  </si>
  <si>
    <t>alok</t>
  </si>
  <si>
    <t>ord0144</t>
  </si>
  <si>
    <t>Friday, September 15, 2023</t>
  </si>
  <si>
    <t>ctr0144</t>
  </si>
  <si>
    <t>rhea</t>
  </si>
  <si>
    <t>ord0145</t>
  </si>
  <si>
    <t>Monday, September 18, 2023</t>
  </si>
  <si>
    <t>ctr0145</t>
  </si>
  <si>
    <t>ord0146</t>
  </si>
  <si>
    <t>Thursday, September 21, 2023</t>
  </si>
  <si>
    <t>ctr0146</t>
  </si>
  <si>
    <t>suman</t>
  </si>
  <si>
    <t>ord0147</t>
  </si>
  <si>
    <t>Sunday, September 24, 2023</t>
  </si>
  <si>
    <t>ctr0147</t>
  </si>
  <si>
    <t>raj</t>
  </si>
  <si>
    <t>ord0148</t>
  </si>
  <si>
    <t>Wednesday, September 27, 2023</t>
  </si>
  <si>
    <t>ctr0148</t>
  </si>
  <si>
    <t>nidhi</t>
  </si>
  <si>
    <t>ord0149</t>
  </si>
  <si>
    <t>Saturday, September 30, 2023</t>
  </si>
  <si>
    <t>ctr0149</t>
  </si>
  <si>
    <t>ord0150</t>
  </si>
  <si>
    <t>Tuesday, October 3, 2023</t>
  </si>
  <si>
    <t>ctr0150</t>
  </si>
  <si>
    <t>ord0151</t>
  </si>
  <si>
    <t>Friday, October 6, 2023</t>
  </si>
  <si>
    <t>ctr0151</t>
  </si>
  <si>
    <t>ord0152</t>
  </si>
  <si>
    <t>Monday, October 9, 2023</t>
  </si>
  <si>
    <t>ctr0152</t>
  </si>
  <si>
    <t>ord0153</t>
  </si>
  <si>
    <t>Thursday, October 12, 2023</t>
  </si>
  <si>
    <t>ctr0153</t>
  </si>
  <si>
    <t>ord0154</t>
  </si>
  <si>
    <t>Sunday, October 15, 2023</t>
  </si>
  <si>
    <t>ctr0154</t>
  </si>
  <si>
    <t>ord0155</t>
  </si>
  <si>
    <t>Wednesday, October 18, 2023</t>
  </si>
  <si>
    <t>ctr0155</t>
  </si>
  <si>
    <t>ord0156</t>
  </si>
  <si>
    <t>Saturday, October 21, 2023</t>
  </si>
  <si>
    <t>ctr0156</t>
  </si>
  <si>
    <t>ord0157</t>
  </si>
  <si>
    <t>Tuesday, October 24, 2023</t>
  </si>
  <si>
    <t>ctr0157</t>
  </si>
  <si>
    <t>ord0158</t>
  </si>
  <si>
    <t>Friday, October 27, 2023</t>
  </si>
  <si>
    <t>ctr0158</t>
  </si>
  <si>
    <t>ord0159</t>
  </si>
  <si>
    <t>Tuesday, October 31, 2023</t>
  </si>
  <si>
    <t>ctr0159</t>
  </si>
  <si>
    <t>ord0160</t>
  </si>
  <si>
    <t>Friday, November 3, 2023</t>
  </si>
  <si>
    <t>ctr0160</t>
  </si>
  <si>
    <t>ord0161</t>
  </si>
  <si>
    <t>Monday, November 6, 2023</t>
  </si>
  <si>
    <t>ctr0161</t>
  </si>
  <si>
    <t>ord0162</t>
  </si>
  <si>
    <t>Thursday, November 9, 2023</t>
  </si>
  <si>
    <t>ctr0162</t>
  </si>
  <si>
    <t>ord0163</t>
  </si>
  <si>
    <t>Sunday, November 12, 2023</t>
  </si>
  <si>
    <t>ctr0163</t>
  </si>
  <si>
    <t>ord0164</t>
  </si>
  <si>
    <t>Wednesday, November 15, 2023</t>
  </si>
  <si>
    <t>ctr0164</t>
  </si>
  <si>
    <t>ord0165</t>
  </si>
  <si>
    <t>Saturday, November 18, 2023</t>
  </si>
  <si>
    <t>ctr0165</t>
  </si>
  <si>
    <t>ord0166</t>
  </si>
  <si>
    <t>Tuesday, November 21, 2023</t>
  </si>
  <si>
    <t>ctr0166</t>
  </si>
  <si>
    <t>ord0167</t>
  </si>
  <si>
    <t>Friday, November 24, 2023</t>
  </si>
  <si>
    <t>ctr0167</t>
  </si>
  <si>
    <t>ord0168</t>
  </si>
  <si>
    <t>Monday, November 27, 2023</t>
  </si>
  <si>
    <t>ctr0168</t>
  </si>
  <si>
    <t>ord0169</t>
  </si>
  <si>
    <t>Thursday, November 30, 2023</t>
  </si>
  <si>
    <t>ctr0169</t>
  </si>
  <si>
    <t>ord0170</t>
  </si>
  <si>
    <t>Sunday, December 3, 2023</t>
  </si>
  <si>
    <t>ctr0170</t>
  </si>
  <si>
    <t>ord0171</t>
  </si>
  <si>
    <t>Wednesday, December 6, 2023</t>
  </si>
  <si>
    <t>ctr0171</t>
  </si>
  <si>
    <t>ord0172</t>
  </si>
  <si>
    <t>Saturday, December 9, 2023</t>
  </si>
  <si>
    <t>ctr0172</t>
  </si>
  <si>
    <t>ord0173</t>
  </si>
  <si>
    <t>Tuesday, December 12, 2023</t>
  </si>
  <si>
    <t>ctr0173</t>
  </si>
  <si>
    <t>ord0174</t>
  </si>
  <si>
    <t>Friday, December 15, 2023</t>
  </si>
  <si>
    <t>ctr0174</t>
  </si>
  <si>
    <t>ord0175</t>
  </si>
  <si>
    <t>Monday, December 18, 2023</t>
  </si>
  <si>
    <t>ctr0175</t>
  </si>
  <si>
    <t>ord0176</t>
  </si>
  <si>
    <t>Thursday, December 21, 2023</t>
  </si>
  <si>
    <t>ctr0176</t>
  </si>
  <si>
    <t>ord0177</t>
  </si>
  <si>
    <t>Sunday, December 24, 2023</t>
  </si>
  <si>
    <t>ctr0177</t>
  </si>
  <si>
    <t>ord0178</t>
  </si>
  <si>
    <t>Wednesday, December 27, 2023</t>
  </si>
  <si>
    <t>ctr0178</t>
  </si>
  <si>
    <t>ord0179</t>
  </si>
  <si>
    <t>Sunday, December 31, 2023</t>
  </si>
  <si>
    <t>ctr0179</t>
  </si>
  <si>
    <t>first aid kit</t>
  </si>
  <si>
    <t>aarav01@gmail.com</t>
  </si>
  <si>
    <t>rohan01@gmail.com</t>
  </si>
  <si>
    <t>printer paper</t>
  </si>
  <si>
    <t>bicycle</t>
  </si>
  <si>
    <t>air rifle</t>
  </si>
  <si>
    <t>face wash</t>
  </si>
  <si>
    <t>karan01@gmail.com</t>
  </si>
  <si>
    <t>deepak01@gmail.com</t>
  </si>
  <si>
    <t>megha01@gmail.com</t>
  </si>
  <si>
    <t>neelam01@gmail.com</t>
  </si>
  <si>
    <t>mohit01@gmail.com</t>
  </si>
  <si>
    <t>sanjay01@gmail.com</t>
  </si>
  <si>
    <t>nikhil01@gmail.com</t>
  </si>
  <si>
    <t>yash01@gmail.com</t>
  </si>
  <si>
    <t>tanvi01@gmail.com</t>
  </si>
  <si>
    <t>abhishek01@gmail.com</t>
  </si>
  <si>
    <t>payal01@gmail.com</t>
  </si>
  <si>
    <t>shruti01@gmail.com</t>
  </si>
  <si>
    <t>gaurav01@gmail.com</t>
  </si>
  <si>
    <t>manoj01@gmail.com</t>
  </si>
  <si>
    <t>swati01@gmail.com</t>
  </si>
  <si>
    <t>harish01@gmail.com</t>
  </si>
  <si>
    <t>bhavna01@gmail.com</t>
  </si>
  <si>
    <t>ashish01@gmail.com</t>
  </si>
  <si>
    <t>kriti01@gmail.com</t>
  </si>
  <si>
    <t>sachin01@gmail.com</t>
  </si>
  <si>
    <t>meena01@gmail.com</t>
  </si>
  <si>
    <t>alok01@gmail.com</t>
  </si>
  <si>
    <t>rhea01@gmail.com</t>
  </si>
  <si>
    <t>vishal01@gmail.com</t>
  </si>
  <si>
    <t>suman01@gmail.com</t>
  </si>
  <si>
    <t>raj01@gmail.com</t>
  </si>
  <si>
    <t>nidhi01@gmail.com</t>
  </si>
  <si>
    <t>cost</t>
  </si>
  <si>
    <t>Estimated profit = sales - cost (30% margin)</t>
  </si>
  <si>
    <t>profit</t>
  </si>
  <si>
    <t>Management</t>
  </si>
  <si>
    <t>Production</t>
  </si>
  <si>
    <t>Finance</t>
  </si>
  <si>
    <t>Operations</t>
  </si>
  <si>
    <t>IT</t>
  </si>
  <si>
    <t>Admin</t>
  </si>
  <si>
    <t>Procurement</t>
  </si>
  <si>
    <t>Quality</t>
  </si>
  <si>
    <t>Salary Slip Payroll System</t>
  </si>
  <si>
    <t>Report Title</t>
  </si>
  <si>
    <t>Date Generated</t>
  </si>
  <si>
    <t>Employee</t>
  </si>
  <si>
    <t>Department</t>
  </si>
  <si>
    <t>All Departments</t>
  </si>
  <si>
    <t>Status</t>
  </si>
  <si>
    <t>Employee Information</t>
  </si>
  <si>
    <t>Salary &amp; Attendance Summary</t>
  </si>
  <si>
    <t>Allowances</t>
  </si>
  <si>
    <t>Overtime Hours</t>
  </si>
  <si>
    <t>Deductions</t>
  </si>
  <si>
    <t>Gross Salary</t>
  </si>
  <si>
    <t>Net Salary</t>
  </si>
  <si>
    <t>Attendance Month</t>
  </si>
  <si>
    <t>Total Days</t>
  </si>
  <si>
    <t>Leave / Absent</t>
  </si>
  <si>
    <t>Attendance %</t>
  </si>
  <si>
    <t>Earnings Detail</t>
  </si>
  <si>
    <t>Line Item</t>
  </si>
  <si>
    <t>Source</t>
  </si>
  <si>
    <t>Hourly Allowance 1%</t>
  </si>
  <si>
    <t>salary slip!F</t>
  </si>
  <si>
    <t>salary slip!G</t>
  </si>
  <si>
    <t>salary slip!H</t>
  </si>
  <si>
    <t>salary slip!I</t>
  </si>
  <si>
    <t>salary slip!J</t>
  </si>
  <si>
    <t>salary slip!K</t>
  </si>
  <si>
    <t>Deductions &amp; Overtime</t>
  </si>
  <si>
    <t>Tax 12%</t>
  </si>
  <si>
    <t>salary slip!L</t>
  </si>
  <si>
    <t>salary slip!M</t>
  </si>
  <si>
    <t>salary slip!N</t>
  </si>
  <si>
    <t>salary slip!O</t>
  </si>
  <si>
    <t>salary slip!P</t>
  </si>
  <si>
    <t>salary slip!Q</t>
  </si>
  <si>
    <t>salary slip!T</t>
  </si>
  <si>
    <t>salary slip!R</t>
  </si>
  <si>
    <t>Attendance Detail</t>
  </si>
  <si>
    <t>attendance sheet</t>
  </si>
  <si>
    <t>attendance sheet!AI</t>
  </si>
  <si>
    <t>attendance sheet!AJ</t>
  </si>
  <si>
    <t>attendance sheet!AK</t>
  </si>
  <si>
    <t>calculated</t>
  </si>
  <si>
    <t>Notes</t>
  </si>
  <si>
    <t>Employee Key</t>
  </si>
  <si>
    <t>1000 - dev</t>
  </si>
  <si>
    <t>PDF Controls</t>
  </si>
  <si>
    <t>Automated Employee Payroll &amp; Attendance Report</t>
  </si>
  <si>
    <t>Monthly Salary &amp; Attendance Report</t>
  </si>
  <si>
    <t>Attendance links to the month selected on the attendance sheet. Current source month: jul.</t>
  </si>
  <si>
    <t>Use the PDF buttons below to export the formatted report.</t>
  </si>
  <si>
    <t>If needed, right-click a button and choose Assign Macro.</t>
  </si>
  <si>
    <t>add all files</t>
  </si>
  <si>
    <t>generate PDF</t>
  </si>
  <si>
    <t>Salary Slip Register  |  Amounts in ₹</t>
  </si>
  <si>
    <t>TOTAL</t>
  </si>
  <si>
    <t>Data Validation Dashboard  |  Product Register Insights</t>
  </si>
  <si>
    <t>Live summary of 'data velidation' product list (A3:D118) and product pivot (N3:P58). Amounts in ₹.</t>
  </si>
  <si>
    <t>Key KPIs</t>
  </si>
  <si>
    <t>Line items</t>
  </si>
  <si>
    <t>Unique products</t>
  </si>
  <si>
    <t>Duplicate rows</t>
  </si>
  <si>
    <t>Duplicate rate</t>
  </si>
  <si>
    <t>Total quantity</t>
  </si>
  <si>
    <t>Total amount</t>
  </si>
  <si>
    <t>Total sales (Qty x Amt)</t>
  </si>
  <si>
    <t>Avg qty / unique SKU</t>
  </si>
  <si>
    <t>Avg amount / unique SKU</t>
  </si>
  <si>
    <t>Top SKU by amount</t>
  </si>
  <si>
    <t>Top SKU amount</t>
  </si>
  <si>
    <t>Top SKU share of amount</t>
  </si>
  <si>
    <t>Top 10 products by amount</t>
  </si>
  <si>
    <t>Rank</t>
  </si>
  <si>
    <t>Amount ₹</t>
  </si>
  <si>
    <t>Summary</t>
  </si>
  <si>
    <t>The validation sheet is a mixed product register: 116 line items collapse to 55 unique SKUs. Quantity on the pivot totals 72,666 units and listed amount totals ₹74.1 crore. Sales (quantity × amount) totals ₹4.73 lakh crore because unit amounts are in the millions — that scale is not realistic for these SKUs and should be treated as practice data, not commercial results.</t>
  </si>
  <si>
    <t>Concentration is moderate: the top SKU (Moniter) is about 4.6% of total amount. Volume is spread across electronics, household, apparel, and pharma items in one list, which makes dropdowns and SUMIF practice work but hides category performance.</t>
  </si>
  <si>
    <t>What needs to improve</t>
  </si>
  <si>
    <t>1. Deduplicate the register. 61 of 116 rows are repeat SKUs (53% duplicate rate). Keep one master row per product or add a date/batch column if repeats are intentional.</t>
  </si>
  <si>
    <t>2. Fix product-name quality before using them in data-validation lists: Moniter, Seeling Fan, Electicity Cables, Megzins, Perfomence Inhancer, Vildamecm. Dropdowns will lock these typos into every downstream sheet.</t>
  </si>
  <si>
    <t>3. Recheck Amount vs Sales. Amount looks like a unit price but values are ₹0.7–9.8 million per unit. Either relabel Amount as 'list value' or correct the scale; otherwise Qty × Amount is not a usable sales KPI.</t>
  </si>
  <si>
    <t>4. Remove the data row labelled 'Name' (row 5 on the source sheet). It is a header that was entered as a product and pollutes unique counts and lookups.</t>
  </si>
  <si>
    <t>5. Standardise SUMIF/VLOOKUP ranges. Practice formulas use shifting ranges (A3:C67, A2:C118, etc.), so the same product returns inconsistent totals. Point every formula at one locked table.</t>
  </si>
  <si>
    <t>6. Split the list by category (Electronics, Apparel, Pharma, Home) and drive validation lists from unique, trimmed, proper-case names. That is the point of this sheet.</t>
  </si>
  <si>
    <t>SKUs with qty &lt; 1,000</t>
  </si>
  <si>
    <t>Product / Month</t>
  </si>
  <si>
    <t>TV</t>
  </si>
  <si>
    <t>Sunscreen</t>
  </si>
  <si>
    <t>PC</t>
  </si>
  <si>
    <t>Toy Cars</t>
  </si>
  <si>
    <t>Dolo</t>
  </si>
  <si>
    <t>Puppets</t>
  </si>
  <si>
    <t>Paracetamol</t>
  </si>
  <si>
    <t>B.Com (Hons) Set</t>
  </si>
  <si>
    <t>Three Wheelers</t>
  </si>
  <si>
    <t>Dolls</t>
  </si>
  <si>
    <t>Vicks</t>
  </si>
  <si>
    <t>Jackets</t>
  </si>
  <si>
    <t>Makeup Kit</t>
  </si>
  <si>
    <t>Magazines</t>
  </si>
  <si>
    <t>Vildagliptin 50/500</t>
  </si>
  <si>
    <t>Strepsils</t>
  </si>
  <si>
    <t>Monitor</t>
  </si>
  <si>
    <t>Performance Enhancer</t>
  </si>
  <si>
    <t>Total</t>
  </si>
  <si>
    <t>Monthly total</t>
  </si>
  <si>
    <t>Class Marksheet  |  Max 100 per subject  |  Pass mark 33</t>
  </si>
  <si>
    <t>Sr No.</t>
  </si>
  <si>
    <t>English</t>
  </si>
  <si>
    <t>Accounts</t>
  </si>
  <si>
    <t>Economics</t>
  </si>
  <si>
    <t>BST</t>
  </si>
  <si>
    <t>Office</t>
  </si>
  <si>
    <t>Min</t>
  </si>
  <si>
    <t>Max</t>
  </si>
  <si>
    <t>Average</t>
  </si>
  <si>
    <t>Result</t>
  </si>
  <si>
    <t>By Total</t>
  </si>
  <si>
    <t>By Average</t>
  </si>
  <si>
    <t>Compartment</t>
  </si>
  <si>
    <t>Grade</t>
  </si>
  <si>
    <t>Papers Counted</t>
  </si>
  <si>
    <t>Entries</t>
  </si>
  <si>
    <t>Failed Papers</t>
  </si>
  <si>
    <t>Chand Chanival</t>
  </si>
  <si>
    <t>Mayank Latwal</t>
  </si>
  <si>
    <t>Mayank Arya</t>
  </si>
  <si>
    <t>Chirag Singh</t>
  </si>
  <si>
    <t>Bhavesh Pathak</t>
  </si>
  <si>
    <t>Amit Kumar</t>
  </si>
  <si>
    <t>Rahul Mishra</t>
  </si>
  <si>
    <t>Class avg</t>
  </si>
  <si>
    <t>Rohit Verma</t>
  </si>
  <si>
    <t>Ananya Sharma</t>
  </si>
  <si>
    <t>Vikas Patel</t>
  </si>
  <si>
    <t>Neha Gupta</t>
  </si>
  <si>
    <t>Arjun Mehta</t>
  </si>
  <si>
    <t>Pooja Nair</t>
  </si>
  <si>
    <t>Karan Singh</t>
  </si>
  <si>
    <t>Sneha Joshi</t>
  </si>
  <si>
    <t>Aditya Rao</t>
  </si>
  <si>
    <t>Meera Iyer</t>
  </si>
  <si>
    <t>Harsh Malhotra</t>
  </si>
  <si>
    <t>Ishita Kapoor</t>
  </si>
  <si>
    <t>Nikhil Jain</t>
  </si>
  <si>
    <t>Riya Banerjee</t>
  </si>
  <si>
    <t>Siddharth Das</t>
  </si>
  <si>
    <t>Papers &gt; 33</t>
  </si>
  <si>
    <t>Papers ≥ 33</t>
  </si>
  <si>
    <t>Blank Cells</t>
  </si>
  <si>
    <t>Summary, Improvement Plan &amp; Graphical Analysis</t>
  </si>
  <si>
    <t>Students</t>
  </si>
  <si>
    <t>Passed</t>
  </si>
  <si>
    <t>Failed / compartment</t>
  </si>
  <si>
    <t>Pass rate</t>
  </si>
  <si>
    <t>Class average</t>
  </si>
  <si>
    <t>Topper</t>
  </si>
  <si>
    <t>Topper average</t>
  </si>
  <si>
    <t>Weakest subject</t>
  </si>
  <si>
    <t>Blank marks</t>
  </si>
  <si>
    <t>Grade mix</t>
  </si>
  <si>
    <t>B</t>
  </si>
  <si>
    <t>C</t>
  </si>
  <si>
    <t>D</t>
  </si>
  <si>
    <t>F</t>
  </si>
  <si>
    <t>Subject class average</t>
  </si>
  <si>
    <t>1. Economics is the weakest paper (class avg 61.1). Schedule extra practice on numericals and diagrams before the next test.</t>
  </si>
  <si>
    <t>2. Four students failed: Sahil Thakur (blank Accounts), Mayank Latwal (BST entered as letter A instead of a mark), Karan Singh and Nikhil Jain (papers below 33). Fix the two data-entry errors first, then run remedial classes for the two genuine fails.</t>
  </si>
  <si>
    <t>3. Only 3 A grades vs 16 B grades. Push the B band (60–79) toward 80 with targeted IT/English work — those are already the stronger papers.</t>
  </si>
  <si>
    <t>4. Clean the register: one Result column is enough. By Total / By Average contradict subject-wise pass rules and should stay as practice only, not for official results.</t>
  </si>
  <si>
    <t>5. Validate marks on entry (0–100, number only) so BST cannot accept "A" and Accounts cannot be left blank.</t>
  </si>
  <si>
    <t>26 students, pass rate 84.6%, class average 65.0 (grade B). Ishita Kapoor leads at 91.9. IT is the strongest subject (69.8); Economics is the gap to close. Most of the class sits in the B band — a small lift in Economics and Maths would move several students to A.</t>
  </si>
  <si>
    <t>Top 5 students</t>
  </si>
  <si>
    <t>Student</t>
  </si>
  <si>
    <t>Prd0001</t>
  </si>
  <si>
    <t>Prd0002</t>
  </si>
  <si>
    <t>Prd0003</t>
  </si>
  <si>
    <t>Prd0004</t>
  </si>
  <si>
    <t>Prd0005</t>
  </si>
  <si>
    <t>Prd0006</t>
  </si>
  <si>
    <t>Prd0007</t>
  </si>
  <si>
    <t>Prd0008</t>
  </si>
  <si>
    <t>Prd0009</t>
  </si>
  <si>
    <t>Prd0010</t>
  </si>
  <si>
    <t>Prd0011</t>
  </si>
  <si>
    <t>Prd0012</t>
  </si>
  <si>
    <t>Prd0013</t>
  </si>
  <si>
    <t>Prd0014</t>
  </si>
  <si>
    <t>Prd0015</t>
  </si>
  <si>
    <t>Prd0016</t>
  </si>
  <si>
    <t>Prd0017</t>
  </si>
  <si>
    <t>Prd0018</t>
  </si>
  <si>
    <t>Prd0019</t>
  </si>
  <si>
    <t>Prd0020</t>
  </si>
  <si>
    <t>Prd0021</t>
  </si>
  <si>
    <t>Prd0022</t>
  </si>
  <si>
    <t>Prd0023</t>
  </si>
  <si>
    <t>Prd0024</t>
  </si>
  <si>
    <t>Prd0025</t>
  </si>
  <si>
    <t>Prd0026</t>
  </si>
  <si>
    <t>Prd0027</t>
  </si>
  <si>
    <t>Prd0028</t>
  </si>
  <si>
    <t>Prd0029</t>
  </si>
  <si>
    <t>Prd0030</t>
  </si>
  <si>
    <t>Prd0031</t>
  </si>
  <si>
    <t>Prd0032</t>
  </si>
  <si>
    <t>Prd0033</t>
  </si>
  <si>
    <t>Prd0034</t>
  </si>
  <si>
    <t>Prd0035</t>
  </si>
  <si>
    <t>Prd0036</t>
  </si>
  <si>
    <t>Prd0037</t>
  </si>
  <si>
    <t>Prd0038</t>
  </si>
  <si>
    <t>Prd0039</t>
  </si>
  <si>
    <t>Prd0040</t>
  </si>
  <si>
    <t>Prd0041</t>
  </si>
  <si>
    <t>Prd0042</t>
  </si>
  <si>
    <t>Prd0043</t>
  </si>
  <si>
    <t>Prd0044</t>
  </si>
  <si>
    <t>Prd0045</t>
  </si>
  <si>
    <t>Prd0046</t>
  </si>
  <si>
    <t>Prd0047</t>
  </si>
  <si>
    <t>Prd0048</t>
  </si>
  <si>
    <t>Prd0049</t>
  </si>
  <si>
    <t>Prd0050</t>
  </si>
  <si>
    <t>Prd0051</t>
  </si>
  <si>
    <t>Prd0052</t>
  </si>
  <si>
    <t>Prd0053</t>
  </si>
  <si>
    <t>Prd0054</t>
  </si>
  <si>
    <t>Prd0055</t>
  </si>
  <si>
    <t>Prd0056</t>
  </si>
  <si>
    <t>Prd0057</t>
  </si>
  <si>
    <t>Prd0058</t>
  </si>
  <si>
    <t>Prd0059</t>
  </si>
  <si>
    <t>Prd0060</t>
  </si>
  <si>
    <t>Prd0061</t>
  </si>
  <si>
    <t>Prd0062</t>
  </si>
  <si>
    <t>Prd0063</t>
  </si>
  <si>
    <t>Prd0064</t>
  </si>
  <si>
    <t>Prd0065</t>
  </si>
  <si>
    <t>Prd0066</t>
  </si>
  <si>
    <t>Prd0067</t>
  </si>
  <si>
    <t>Prd0068</t>
  </si>
  <si>
    <t>Prd0069</t>
  </si>
  <si>
    <t>Prd0070</t>
  </si>
  <si>
    <t>Prd0071</t>
  </si>
  <si>
    <t>Prd0072</t>
  </si>
  <si>
    <t>Prd0073</t>
  </si>
  <si>
    <t>Prd0074</t>
  </si>
  <si>
    <t>Prd0075</t>
  </si>
  <si>
    <t>Prd0076</t>
  </si>
  <si>
    <t>Prd0077</t>
  </si>
  <si>
    <t>Prd0078</t>
  </si>
  <si>
    <t>Prd0079</t>
  </si>
  <si>
    <t>Prd0080</t>
  </si>
  <si>
    <t>Prd0081</t>
  </si>
  <si>
    <t>Prd0082</t>
  </si>
  <si>
    <t>Prd0083</t>
  </si>
  <si>
    <t>Prd0084</t>
  </si>
  <si>
    <t>Prd0085</t>
  </si>
  <si>
    <t>Prd0086</t>
  </si>
  <si>
    <t>Prd0087</t>
  </si>
  <si>
    <t>Prd0088</t>
  </si>
  <si>
    <t>Prd0089</t>
  </si>
  <si>
    <t>Prd0090</t>
  </si>
  <si>
    <t>Prd0091</t>
  </si>
  <si>
    <t>Prd0092</t>
  </si>
  <si>
    <t>Prd0093</t>
  </si>
  <si>
    <t>Prd0094</t>
  </si>
  <si>
    <t>Prd0095</t>
  </si>
  <si>
    <t>Prd0096</t>
  </si>
  <si>
    <t>Prd0097</t>
  </si>
  <si>
    <t>Prd0098</t>
  </si>
  <si>
    <t>Prd0099</t>
  </si>
  <si>
    <t>Prd0100</t>
  </si>
  <si>
    <t>Prd0101</t>
  </si>
  <si>
    <t>Prd0102</t>
  </si>
  <si>
    <t>Prd0103</t>
  </si>
  <si>
    <t>Prd0104</t>
  </si>
  <si>
    <t>Prd0105</t>
  </si>
  <si>
    <t>Prd0106</t>
  </si>
  <si>
    <t>Prd0107</t>
  </si>
  <si>
    <t>Prd0108</t>
  </si>
  <si>
    <t>Prd0109</t>
  </si>
  <si>
    <t>Prd0110</t>
  </si>
  <si>
    <t>Prd0111</t>
  </si>
  <si>
    <t>Prd0112</t>
  </si>
  <si>
    <t>Prd0113</t>
  </si>
  <si>
    <t>Prd0114</t>
  </si>
  <si>
    <t>Prd0115</t>
  </si>
  <si>
    <t>Prd0116</t>
  </si>
  <si>
    <t>Prd0117</t>
  </si>
  <si>
    <t>Prd0118</t>
  </si>
  <si>
    <t>Prd0119</t>
  </si>
  <si>
    <t>Prd0120</t>
  </si>
  <si>
    <t>Prd0121</t>
  </si>
  <si>
    <t>Prd0122</t>
  </si>
  <si>
    <t>Prd0123</t>
  </si>
  <si>
    <t>Prd0124</t>
  </si>
  <si>
    <t>Prd0125</t>
  </si>
  <si>
    <t>Prd0126</t>
  </si>
  <si>
    <t>Prd0127</t>
  </si>
  <si>
    <t>Prd0128</t>
  </si>
  <si>
    <t>Prd0129</t>
  </si>
  <si>
    <t>Prd0130</t>
  </si>
  <si>
    <t>Prd0131</t>
  </si>
  <si>
    <t>Prd0132</t>
  </si>
  <si>
    <t>Prd0133</t>
  </si>
  <si>
    <t>Prd0134</t>
  </si>
  <si>
    <t>Prd0135</t>
  </si>
  <si>
    <t>Prd0136</t>
  </si>
  <si>
    <t>Prd0137</t>
  </si>
  <si>
    <t>Prd0138</t>
  </si>
  <si>
    <t>Prd0139</t>
  </si>
  <si>
    <t>Prd0140</t>
  </si>
  <si>
    <t>Prd0141</t>
  </si>
  <si>
    <t>Prd0142</t>
  </si>
  <si>
    <t>Prd0143</t>
  </si>
  <si>
    <t>Prd0144</t>
  </si>
  <si>
    <t>Prd0145</t>
  </si>
  <si>
    <t>Prd0146</t>
  </si>
  <si>
    <t>Prd0147</t>
  </si>
  <si>
    <t>Prd0148</t>
  </si>
  <si>
    <t>Prd0149</t>
  </si>
  <si>
    <t>Prd0150</t>
  </si>
  <si>
    <t>Prd0151</t>
  </si>
  <si>
    <t>Prd0152</t>
  </si>
  <si>
    <t>Prd0153</t>
  </si>
  <si>
    <t>Prd0154</t>
  </si>
  <si>
    <t>Prd0155</t>
  </si>
  <si>
    <t>Prd0156</t>
  </si>
  <si>
    <t>Prd0157</t>
  </si>
  <si>
    <t>Prd0158</t>
  </si>
  <si>
    <t>Prd0159</t>
  </si>
  <si>
    <t>Prd0160</t>
  </si>
  <si>
    <t>Prd0161</t>
  </si>
  <si>
    <t>Prd0162</t>
  </si>
  <si>
    <t>Prd0163</t>
  </si>
  <si>
    <t>Prd0164</t>
  </si>
  <si>
    <t>Prd0165</t>
  </si>
  <si>
    <t>Prd0166</t>
  </si>
  <si>
    <t>Prd0167</t>
  </si>
  <si>
    <t>Prd0168</t>
  </si>
  <si>
    <t>Prd0169</t>
  </si>
  <si>
    <t>Prd0170</t>
  </si>
  <si>
    <t>Prd0171</t>
  </si>
  <si>
    <t>Prd0172</t>
  </si>
  <si>
    <t>Prd0173</t>
  </si>
  <si>
    <t>Prd0174</t>
  </si>
  <si>
    <t>Prd0175</t>
  </si>
  <si>
    <t>Prd0176</t>
  </si>
  <si>
    <t>Prd0177</t>
  </si>
  <si>
    <t>Prd0178</t>
  </si>
  <si>
    <t>Prd0179</t>
  </si>
  <si>
    <t>coimbatore</t>
  </si>
  <si>
    <t>amritsar</t>
  </si>
  <si>
    <t>varanasi</t>
  </si>
  <si>
    <t>bhopal</t>
  </si>
  <si>
    <t>thiruvananthapuram</t>
  </si>
  <si>
    <t>ludhiana</t>
  </si>
  <si>
    <t>faridabad</t>
  </si>
  <si>
    <t>surat</t>
  </si>
  <si>
    <t>muzaffarpur</t>
  </si>
  <si>
    <t>kanpur</t>
  </si>
  <si>
    <t>nagpur</t>
  </si>
  <si>
    <t>vijayawada</t>
  </si>
  <si>
    <t>jodhpur</t>
  </si>
  <si>
    <t>noida</t>
  </si>
  <si>
    <t>mysuru</t>
  </si>
  <si>
    <t>Class</t>
  </si>
  <si>
    <t>Marks by student — waterfall</t>
  </si>
  <si>
    <t>Tic-Tac-Toe</t>
  </si>
  <si>
    <t>Current player: X</t>
  </si>
  <si>
    <t>Score</t>
  </si>
  <si>
    <t>X wins</t>
  </si>
  <si>
    <t>O wins</t>
  </si>
  <si>
    <t>Draws</t>
  </si>
  <si>
    <t>How to play</t>
  </si>
  <si>
    <t>1. Click a cell on the board (B2:D4). X starts.</t>
  </si>
  <si>
    <t>2. Turns switch automatically between X and O.</t>
  </si>
  <si>
    <t>3. Three in a row wins. Full board with no winner is a draw.</t>
  </si>
  <si>
    <t>4. Use the New Game button (Developer → Insert → Button) assigned to NewGame.</t>
  </si>
  <si>
    <t>New Game</t>
  </si>
  <si>
    <t>X</t>
  </si>
  <si>
    <t>You are X - Your turn</t>
  </si>
  <si>
    <t>john   doe</t>
  </si>
  <si>
    <t>MALE</t>
  </si>
  <si>
    <t xml:space="preserve"> california </t>
  </si>
  <si>
    <t>Los Angeles</t>
  </si>
  <si>
    <t>Electronics</t>
  </si>
  <si>
    <t>p-1001</t>
  </si>
  <si>
    <t xml:space="preserve"> Wireless Mouse </t>
  </si>
  <si>
    <t xml:space="preserve"> alice smith </t>
  </si>
  <si>
    <t>john.doe @gmail.com</t>
  </si>
  <si>
    <t xml:space="preserve"> C001 </t>
  </si>
  <si>
    <t xml:space="preserve">female </t>
  </si>
  <si>
    <t>CA</t>
  </si>
  <si>
    <t xml:space="preserve"> san francisco </t>
  </si>
  <si>
    <t>electronics</t>
  </si>
  <si>
    <t>P1002</t>
  </si>
  <si>
    <t>BOB JONES</t>
  </si>
  <si>
    <t xml:space="preserve">jane.doe@gmail.com </t>
  </si>
  <si>
    <t>c002</t>
  </si>
  <si>
    <t xml:space="preserve">JANE DOE </t>
  </si>
  <si>
    <t>New york</t>
  </si>
  <si>
    <t>NEW YORK</t>
  </si>
  <si>
    <t>Home Goods</t>
  </si>
  <si>
    <t xml:space="preserve"> p-1003 </t>
  </si>
  <si>
    <t>coffee maker</t>
  </si>
  <si>
    <t xml:space="preserve"> Alice Smith </t>
  </si>
  <si>
    <t>michael.brown@gmail</t>
  </si>
  <si>
    <t>C003</t>
  </si>
  <si>
    <t xml:space="preserve"> michael brown</t>
  </si>
  <si>
    <t>Male</t>
  </si>
  <si>
    <t>texas</t>
  </si>
  <si>
    <t xml:space="preserve">Austin </t>
  </si>
  <si>
    <t>HOME GOODS</t>
  </si>
  <si>
    <t>P1004</t>
  </si>
  <si>
    <t xml:space="preserve">Blender </t>
  </si>
  <si>
    <t>carol white</t>
  </si>
  <si>
    <t>sarah.oneil @gmail.com</t>
  </si>
  <si>
    <t>Sarah O'Neil</t>
  </si>
  <si>
    <t>houston</t>
  </si>
  <si>
    <t xml:space="preserve">Electronics </t>
  </si>
  <si>
    <t>P-1005</t>
  </si>
  <si>
    <t>USB Cable</t>
  </si>
  <si>
    <t>alice smith</t>
  </si>
  <si>
    <t>david.lee@gmail.com</t>
  </si>
  <si>
    <t xml:space="preserve">C005 </t>
  </si>
  <si>
    <t>david lee</t>
  </si>
  <si>
    <t>m</t>
  </si>
  <si>
    <t xml:space="preserve">TX </t>
  </si>
  <si>
    <t>Beauty</t>
  </si>
  <si>
    <t>P1006</t>
  </si>
  <si>
    <t xml:space="preserve"> Face Wash</t>
  </si>
  <si>
    <t xml:space="preserve">BOB JONES </t>
  </si>
  <si>
    <t>emily.stone@gmail.com</t>
  </si>
  <si>
    <t>C006</t>
  </si>
  <si>
    <t>Emily Stone</t>
  </si>
  <si>
    <t>Female</t>
  </si>
  <si>
    <t>Florida</t>
  </si>
  <si>
    <t>Miami</t>
  </si>
  <si>
    <t>P1007</t>
  </si>
  <si>
    <t>shampoo</t>
  </si>
  <si>
    <t>Carol White</t>
  </si>
  <si>
    <t>robert.king @gmail.com</t>
  </si>
  <si>
    <t>C007</t>
  </si>
  <si>
    <t>ROBERT KING</t>
  </si>
  <si>
    <t>FL</t>
  </si>
  <si>
    <t xml:space="preserve">Orlando </t>
  </si>
  <si>
    <t>dev kumar</t>
  </si>
  <si>
    <t>priya.sharma@gmail.com</t>
  </si>
  <si>
    <t>c008</t>
  </si>
  <si>
    <t>Priya Sharma</t>
  </si>
  <si>
    <t>f</t>
  </si>
  <si>
    <t>Maharashtra</t>
  </si>
  <si>
    <t xml:space="preserve"> mumbai</t>
  </si>
  <si>
    <t>P1008</t>
  </si>
  <si>
    <t xml:space="preserve">ANJALI </t>
  </si>
  <si>
    <t>aman.gupta @yahoo.com</t>
  </si>
  <si>
    <t xml:space="preserve">C009 </t>
  </si>
  <si>
    <t>Aman  Gupta</t>
  </si>
  <si>
    <t>New Delhi</t>
  </si>
  <si>
    <t>Kitchen</t>
  </si>
  <si>
    <t>p-1009</t>
  </si>
  <si>
    <t xml:space="preserve"> stove </t>
  </si>
  <si>
    <t>neha.patel@gmail.com</t>
  </si>
  <si>
    <t>C010</t>
  </si>
  <si>
    <t>neha patel</t>
  </si>
  <si>
    <t>FEMALE</t>
  </si>
  <si>
    <t>Gujarat</t>
  </si>
  <si>
    <t>Ahmedabad</t>
  </si>
  <si>
    <t>Clothes</t>
  </si>
  <si>
    <t>P1010</t>
  </si>
  <si>
    <t>T-Shirt</t>
  </si>
  <si>
    <t>C011</t>
  </si>
  <si>
    <t>VIKRAM RAO</t>
  </si>
  <si>
    <t>M</t>
  </si>
  <si>
    <t>Karnataka</t>
  </si>
  <si>
    <t>Books</t>
  </si>
  <si>
    <t>p1011</t>
  </si>
  <si>
    <t xml:space="preserve"> maths </t>
  </si>
  <si>
    <t>vikram.rao@gmail.com</t>
  </si>
  <si>
    <t xml:space="preserve"> ananya  nair</t>
  </si>
  <si>
    <t>Kerala</t>
  </si>
  <si>
    <t>Kochi</t>
  </si>
  <si>
    <t>P-1012</t>
  </si>
  <si>
    <t xml:space="preserve">sunscreen </t>
  </si>
  <si>
    <t>ananya.nair@gmail.com</t>
  </si>
  <si>
    <t>C012</t>
  </si>
  <si>
    <t xml:space="preserve">male </t>
  </si>
  <si>
    <t>Punjab</t>
  </si>
  <si>
    <t>Ludhiana</t>
  </si>
  <si>
    <t>Electronic</t>
  </si>
  <si>
    <t>P1013</t>
  </si>
  <si>
    <t xml:space="preserve">sonal </t>
  </si>
  <si>
    <t>karan.singh@gmail.com</t>
  </si>
  <si>
    <t>C013</t>
  </si>
  <si>
    <t>West Bengal</t>
  </si>
  <si>
    <t>Kolkata</t>
  </si>
  <si>
    <t>Stationary</t>
  </si>
  <si>
    <t>p1014</t>
  </si>
  <si>
    <t xml:space="preserve"> copies </t>
  </si>
  <si>
    <t>ritu.das @gmail.com</t>
  </si>
  <si>
    <t>C014</t>
  </si>
  <si>
    <t>Ritu  Das</t>
  </si>
  <si>
    <t>Rajasthan</t>
  </si>
  <si>
    <t>Jaipur</t>
  </si>
  <si>
    <t>Toys</t>
  </si>
  <si>
    <t>P1015</t>
  </si>
  <si>
    <t>arjun.mehta@gmail.com</t>
  </si>
  <si>
    <t>C015</t>
  </si>
  <si>
    <t xml:space="preserve"> arjun mehta</t>
  </si>
  <si>
    <t>Chennai</t>
  </si>
  <si>
    <t>P1016</t>
  </si>
  <si>
    <t>cooker</t>
  </si>
  <si>
    <t>sneha.iyer@gmail.com</t>
  </si>
  <si>
    <t>C016</t>
  </si>
  <si>
    <t>Sneha Iyer</t>
  </si>
  <si>
    <t>Tamil Nadu</t>
  </si>
  <si>
    <t>p-1017</t>
  </si>
  <si>
    <t>deepak.verma@gmail.com</t>
  </si>
  <si>
    <t>C017</t>
  </si>
  <si>
    <t>Deepak Verma</t>
  </si>
  <si>
    <t>Uttar Pradesh</t>
  </si>
  <si>
    <t>Lucknow</t>
  </si>
  <si>
    <t>P1018</t>
  </si>
  <si>
    <t>noah adams</t>
  </si>
  <si>
    <t>mia.lopez@gmail.com</t>
  </si>
  <si>
    <t>C018</t>
  </si>
  <si>
    <t>Mia Lopez</t>
  </si>
  <si>
    <t xml:space="preserve">Female </t>
  </si>
  <si>
    <t>Nevada</t>
  </si>
  <si>
    <t>Las Vegas</t>
  </si>
  <si>
    <t>Sports</t>
  </si>
  <si>
    <t>USB Hub</t>
  </si>
  <si>
    <t>peter.parker@gmail.com</t>
  </si>
  <si>
    <t>C019</t>
  </si>
  <si>
    <t>Peter Parker</t>
  </si>
  <si>
    <t>NY</t>
  </si>
  <si>
    <t>Queens</t>
  </si>
  <si>
    <t>P-1019</t>
  </si>
  <si>
    <t>bob jones</t>
  </si>
  <si>
    <t>nina.patel@gmail.com</t>
  </si>
  <si>
    <t>C020</t>
  </si>
  <si>
    <t>Nina Patel</t>
  </si>
  <si>
    <t>NJ</t>
  </si>
  <si>
    <t>Newark</t>
  </si>
  <si>
    <t>P1020</t>
  </si>
  <si>
    <t>lamp</t>
  </si>
  <si>
    <t>Customer ID</t>
  </si>
  <si>
    <t>Customer Name</t>
  </si>
  <si>
    <t>Gender</t>
  </si>
  <si>
    <t>State</t>
  </si>
  <si>
    <t>Sales Person</t>
  </si>
  <si>
    <t>Gmail ID</t>
  </si>
  <si>
    <t>Per Unit Amount</t>
  </si>
  <si>
    <t>Cost</t>
  </si>
  <si>
    <t>Profit</t>
  </si>
  <si>
    <t>UNMATCHED</t>
  </si>
  <si>
    <t>C001</t>
  </si>
  <si>
    <t>John   Doe</t>
  </si>
  <si>
    <t>California</t>
  </si>
  <si>
    <t>Wireless Mouse</t>
  </si>
  <si>
    <t>Alice Smith</t>
  </si>
  <si>
    <t xml:space="preserve">29 | 25 | </t>
  </si>
  <si>
    <t>Bob Jones</t>
  </si>
  <si>
    <t>San Francisco</t>
  </si>
  <si>
    <t>Jane Doe</t>
  </si>
  <si>
    <t>jane.doe@gmail.com</t>
  </si>
  <si>
    <t xml:space="preserve">31 | CA | 1200 | </t>
  </si>
  <si>
    <t>New York</t>
  </si>
  <si>
    <t>p-1003</t>
  </si>
  <si>
    <t>Coffee Maker</t>
  </si>
  <si>
    <t>Michael Brown</t>
  </si>
  <si>
    <t xml:space="preserve">42 | 49.99 | </t>
  </si>
  <si>
    <t>Texas</t>
  </si>
  <si>
    <t>Austin</t>
  </si>
  <si>
    <t>Blender</t>
  </si>
  <si>
    <t xml:space="preserve">89.5 | 27 | </t>
  </si>
  <si>
    <t>C005</t>
  </si>
  <si>
    <t>Houston</t>
  </si>
  <si>
    <t>Usb Cable</t>
  </si>
  <si>
    <t>David Lee</t>
  </si>
  <si>
    <t xml:space="preserve">5 | 35 | TX | </t>
  </si>
  <si>
    <t>Face Wash</t>
  </si>
  <si>
    <t xml:space="preserve">12 | 24 | </t>
  </si>
  <si>
    <t>Orlando</t>
  </si>
  <si>
    <t>Shampoo</t>
  </si>
  <si>
    <t>Robert King</t>
  </si>
  <si>
    <t xml:space="preserve">15 | 39 | FL | </t>
  </si>
  <si>
    <t>Dev Kumar</t>
  </si>
  <si>
    <t>Mumbai</t>
  </si>
  <si>
    <t xml:space="preserve">799 | 22 | </t>
  </si>
  <si>
    <t>C009</t>
  </si>
  <si>
    <t>Delhi</t>
  </si>
  <si>
    <t xml:space="preserve">ANJALI | 3490 | 44 | Kitchen | stove | </t>
  </si>
  <si>
    <t>Neha Patel</t>
  </si>
  <si>
    <t xml:space="preserve">499 | 33 | Ahmedabad | Clothes | T-Shirt | swati | </t>
  </si>
  <si>
    <t>Vikram Rao</t>
  </si>
  <si>
    <t xml:space="preserve">450 | 51 | bengaluru | Books | maths | daksh | </t>
  </si>
  <si>
    <t>Ananya  Nair</t>
  </si>
  <si>
    <t xml:space="preserve">26 | Kerala | Kochi | sunscreen | radhika | 380 | </t>
  </si>
  <si>
    <t xml:space="preserve">37 | Ludhiana | Electronic | laptop | sonal | 74990 | </t>
  </si>
  <si>
    <t xml:space="preserve">29 | Kolkata | Stationary | copies | payal | 240 | </t>
  </si>
  <si>
    <t xml:space="preserve">Jaipur | poonam | 350 | 41 | </t>
  </si>
  <si>
    <t xml:space="preserve">Kitchen | cooker | chirag | 1890 | 23 | </t>
  </si>
  <si>
    <t>Rc Sharma</t>
  </si>
  <si>
    <t xml:space="preserve">Clothes | pants | 1299 | 48 | Lucknow | </t>
  </si>
  <si>
    <t>Noah Adams</t>
  </si>
  <si>
    <t xml:space="preserve">dumbbells | 2200 | 34 | Las Vegas | Sports | </t>
  </si>
  <si>
    <t>Usb Hub</t>
  </si>
  <si>
    <t xml:space="preserve">18.5 | Peter Parker | 21 | NY | Queens | </t>
  </si>
  <si>
    <t xml:space="preserve">45 | 30 | NJ | Newark | lamp | </t>
  </si>
  <si>
    <t>Prakash Kumar</t>
  </si>
  <si>
    <t>Daksh Kumar</t>
  </si>
  <si>
    <t>Student Name</t>
  </si>
  <si>
    <t>Roll No.</t>
  </si>
  <si>
    <t>Picture lookup</t>
  </si>
  <si>
    <t>ID</t>
  </si>
  <si>
    <t>Picture</t>
  </si>
  <si>
    <t>Picture Not Found</t>
  </si>
  <si>
    <t>name key</t>
  </si>
  <si>
    <t>notes</t>
  </si>
  <si>
    <t>typical male</t>
  </si>
  <si>
    <t>typical female</t>
  </si>
  <si>
    <t>aman</t>
  </si>
  <si>
    <t>Unknown</t>
  </si>
  <si>
    <t>used for both genders</t>
  </si>
  <si>
    <t>Alok</t>
  </si>
  <si>
    <t>Neelam</t>
  </si>
  <si>
    <t>Prakash</t>
  </si>
  <si>
    <t>Shruti</t>
  </si>
  <si>
    <t>Kavita</t>
  </si>
  <si>
    <t>Aarti</t>
  </si>
  <si>
    <t>Nidhi</t>
  </si>
  <si>
    <t>Ishita</t>
  </si>
  <si>
    <t>himachal pradesh</t>
  </si>
  <si>
    <t>shimla</t>
  </si>
  <si>
    <t>haridwar</t>
  </si>
  <si>
    <t>jammu &amp; kashmir</t>
  </si>
  <si>
    <t>jammu</t>
  </si>
  <si>
    <t>srinagar</t>
  </si>
  <si>
    <t>manali</t>
  </si>
  <si>
    <t>ladakh</t>
  </si>
  <si>
    <t>leh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</si>
</sst>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quot;₹&quot;\ #,##0.00;[Red]&quot;₹&quot;\ \-#,##0.00"/>
    <numFmt numFmtId="165" formatCode="_ &quot;₹&quot;\ * #,##0.00_ ;_ &quot;₹&quot;\ * \-#,##0.00_ ;_ &quot;₹&quot;\ * &quot;-&quot;??_ ;_ @_ "/>
    <numFmt numFmtId="166" formatCode="_ * #,##0.00_ ;_ * \-#,##0.00_ ;_ * &quot;-&quot;??_ ;_ @_ "/>
    <numFmt numFmtId="167" formatCode="0.0"/>
    <numFmt numFmtId="168" formatCode="&quot;₹&quot;\ #,##0.00"/>
    <numFmt numFmtId="169" formatCode="[$-F800]dddd\,\ mmmm\ dd\,\ yyyy"/>
    <numFmt numFmtId="170" formatCode="[$-F400]h:mm:ss\ AM/PM"/>
    <numFmt numFmtId="171" formatCode="\4\5\%"/>
    <numFmt numFmtId="172" formatCode="&quot;₹&quot;\ #,##0.0"/>
    <numFmt numFmtId="173" formatCode="_ [$₹-4009]\ * #,##0.00_ ;_ [$₹-4009]\ * \-#,##0.00_ ;_ [$₹-4009]\ * &quot;-&quot;??_ ;_ @_ "/>
    <numFmt numFmtId="174" formatCode="_ [$₹-4009]\ * #,##0.0_ ;_ [$₹-4009]\ * \-#,##0.0_ ;_ [$₹-4009]\ * &quot;-&quot;??_ ;_ @_ "/>
    <numFmt numFmtId="175" formatCode="&quot;₹&quot;\ #,##0.0;[Red]&quot;₹&quot;\ \-#,##0.0"/>
    <numFmt numFmtId="176" formatCode="[$-409]d\-mmm;@"/>
    <numFmt numFmtId="177" formatCode="_-[$$-409]* #,##0.00_ ;_-[$$-409]* \-#,##0.00\ ;_-[$$-409]* &quot;-&quot;??_ ;_-@_ "/>
    <numFmt numFmtId="178" formatCode="_ &quot;₹&quot;\ * #,##0.0_ ;_ &quot;₹&quot;\ * \-#,##0.0_ ;_ &quot;₹&quot;\ * &quot;-&quot;?_ ;_ @_ "/>
    <numFmt numFmtId="179" formatCode="0.00000000000000"/>
    <numFmt numFmtId="180" formatCode="dd"/>
    <numFmt numFmtId="181" formatCode="&quot;₹&quot;\ #,##0"/>
    <numFmt numFmtId="182" formatCode="0.0%"/>
    <numFmt numFmtId="183" formatCode="[$₹-4009]\ #,##0"/>
    <numFmt numFmtId="184" formatCode="\₹#,##0"/>
    <numFmt numFmtId="185" formatCode="\₹#,##0;[Red]\(\₹#,##0\);\-"/>
    <numFmt numFmtId="186" formatCode="#,##0;[Red]\(#,##0\);\-"/>
    <numFmt numFmtId="187" formatCode="\₹\ #,##0.00"/>
    <numFmt numFmtId="188" formatCode="dd\-mmm\-yyyy"/>
    <numFmt numFmtId="189" formatCode="\₹\ #,##0"/>
    <numFmt numFmtId="190" formatCode="#,##0.0"/>
  </numFmts>
  <fonts count="93"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6"/>
      <color theme="1"/>
      <name val="Calibri"/>
      <family val="2"/>
      <scheme val="minor"/>
    </font>
    <font>
      <b/>
      <u/>
      <sz val="11"/>
      <color theme="1"/>
      <name val="Calibri"/>
      <family val="2"/>
      <scheme val="minor"/>
    </font>
    <font>
      <sz val="8"/>
      <name val="Calibri"/>
      <family val="2"/>
      <scheme val="minor"/>
    </font>
    <font>
      <b/>
      <sz val="11"/>
      <color rgb="FFFFFFFF"/>
      <name val="Calibri"/>
      <family val="2"/>
      <scheme val="minor"/>
    </font>
    <font>
      <b/>
      <sz val="11"/>
      <color rgb="FF000000"/>
      <name val="Calibri"/>
      <family val="2"/>
      <scheme val="minor"/>
    </font>
    <font>
      <b/>
      <sz val="14"/>
      <color rgb="FFFFFFFF"/>
      <name val="Calibri"/>
      <family val="2"/>
      <scheme val="minor"/>
    </font>
    <font>
      <sz val="10"/>
      <color rgb="FF222222"/>
      <name val="Calibri"/>
      <family val="2"/>
      <scheme val="minor"/>
    </font>
    <font>
      <b/>
      <sz val="10"/>
      <color rgb="FF222222"/>
      <name val="Calibri"/>
      <family val="2"/>
      <scheme val="minor"/>
    </font>
    <font>
      <b/>
      <sz val="14"/>
      <color rgb="FFFFFFFF"/>
      <name val="Calibri"/>
      <family val="2"/>
      <scheme val="minor"/>
    </font>
    <font>
      <b/>
      <sz val="10"/>
      <color rgb="FFFFFFFF"/>
      <name val="Calibri"/>
      <family val="2"/>
      <scheme val="minor"/>
    </font>
    <font>
      <b/>
      <sz val="16"/>
      <color rgb="FFFFFFFF"/>
      <name val="Calibri"/>
      <family val="2"/>
      <scheme val="minor"/>
    </font>
    <font>
      <sz val="10"/>
      <color theme="1"/>
      <name val="Calibri"/>
      <family val="2"/>
      <scheme val="minor"/>
    </font>
    <font>
      <b/>
      <sz val="10"/>
      <color theme="1"/>
      <name val="Calibri"/>
      <family val="2"/>
      <scheme val="minor"/>
    </font>
    <font>
      <b/>
      <sz val="12"/>
      <color rgb="FF006100"/>
      <name val="Calibri"/>
      <family val="2"/>
      <scheme val="minor"/>
    </font>
    <font>
      <b/>
      <i/>
      <sz val="10"/>
      <color rgb="FF808080"/>
      <name val="Calibri"/>
      <family val="2"/>
      <scheme val="minor"/>
    </font>
    <font>
      <i/>
      <sz val="10"/>
      <color rgb="FF808080"/>
      <name val="Calibri"/>
      <family val="2"/>
      <scheme val="minor"/>
    </font>
    <font>
      <b/>
      <sz val="18"/>
      <color rgb="FFFFFFFF"/>
      <name val="Calibri"/>
      <family val="2"/>
      <scheme val="minor"/>
    </font>
    <font>
      <b/>
      <i/>
      <sz val="10"/>
      <color rgb="FFFFFFFF"/>
      <name val="Calibri"/>
      <family val="2"/>
      <scheme val="minor"/>
    </font>
    <font>
      <b/>
      <sz val="10"/>
      <color rgb="FFFFFFFF"/>
      <name val="Aptos"/>
      <family val="2"/>
    </font>
    <font>
      <b/>
      <sz val="10"/>
      <color rgb="FF1F2937"/>
      <name val="Aptos"/>
      <family val="2"/>
    </font>
    <font>
      <sz val="10"/>
      <color rgb="FF1F2937"/>
      <name val="Aptos"/>
      <family val="2"/>
    </font>
    <font>
      <b/>
      <sz val="12"/>
      <color rgb="FFFFFFFF"/>
      <name val="Aptos"/>
      <family val="2"/>
    </font>
    <font>
      <b/>
      <sz val="10"/>
      <color rgb="FF1F4E78"/>
      <name val="Aptos"/>
      <family val="2"/>
    </font>
    <font>
      <b/>
      <sz val="11"/>
      <color rgb="FF1F2937"/>
      <name val="Aptos"/>
      <family val="2"/>
    </font>
    <font>
      <sz val="9"/>
      <color rgb="FF6B7280"/>
      <name val="Aptos"/>
      <family val="2"/>
    </font>
    <font>
      <b/>
      <sz val="9"/>
      <color rgb="FF6B7280"/>
      <name val="Aptos"/>
      <family val="2"/>
    </font>
    <font>
      <b/>
      <sz val="9"/>
      <color rgb="FF374151"/>
      <name val="Aptos"/>
      <family val="2"/>
    </font>
    <font>
      <b/>
      <sz val="12"/>
      <color rgb="FFFFFFFF"/>
      <name val="Calibri"/>
      <family val="2"/>
      <scheme val="minor"/>
    </font>
    <font>
      <b/>
      <sz val="10"/>
      <color rgb="FF000000"/>
      <name val="Calibri"/>
      <family val="2"/>
      <scheme val="minor"/>
    </font>
    <font>
      <b/>
      <sz val="11"/>
      <color rgb="FFFFFFFF"/>
      <name val="Calibri"/>
      <family val="2"/>
      <scheme val="minor"/>
    </font>
    <font>
      <sz val="10"/>
      <color rgb="FF222222"/>
      <name val="Aptos"/>
      <family val="2"/>
    </font>
    <font>
      <i/>
      <sz val="9"/>
      <color rgb="FF7F7F7F"/>
      <name val="Aptos"/>
      <family val="2"/>
    </font>
    <font>
      <sz val="9"/>
      <color rgb="FF1F1F1F"/>
      <name val="Aptos"/>
      <family val="2"/>
    </font>
    <font>
      <b/>
      <sz val="9"/>
      <color rgb="FF1F1F1F"/>
      <name val="Aptos"/>
      <family val="2"/>
    </font>
    <font>
      <b/>
      <sz val="9"/>
      <color rgb="FF0070C0"/>
      <name val="Aptos"/>
      <family val="2"/>
    </font>
    <font>
      <sz val="11"/>
      <color rgb="FF000000"/>
      <name val="Calibri"/>
      <family val="2"/>
      <scheme val="minor"/>
    </font>
    <font>
      <b/>
      <sz val="16"/>
      <color rgb="FFFFFFFF"/>
      <name val="Aptos Display"/>
      <family val="2"/>
    </font>
    <font>
      <i/>
      <sz val="10"/>
      <color rgb="FF5B6573"/>
      <name val="Aptos"/>
      <family val="2"/>
    </font>
    <font>
      <b/>
      <sz val="10"/>
      <color rgb="FF17365D"/>
      <name val="Aptos"/>
      <family val="2"/>
    </font>
    <font>
      <b/>
      <sz val="9"/>
      <color rgb="FF17365D"/>
      <name val="Aptos"/>
      <family val="2"/>
    </font>
    <font>
      <b/>
      <sz val="16"/>
      <color rgb="FF222222"/>
      <name val="Aptos Display"/>
      <family val="2"/>
    </font>
    <font>
      <b/>
      <sz val="9"/>
      <color rgb="FFFFFFFF"/>
      <name val="Aptos"/>
      <family val="2"/>
    </font>
    <font>
      <b/>
      <sz val="10"/>
      <color rgb="FFFFFFFF"/>
      <name val="Aptos"/>
      <family val="2"/>
    </font>
    <font>
      <b/>
      <sz val="16"/>
      <color rgb="FFFFFFFF"/>
      <name val="Calibri"/>
      <family val="2"/>
    </font>
    <font>
      <b/>
      <sz val="11"/>
      <color rgb="FFFFFFFF"/>
      <name val="Calibri"/>
      <family val="2"/>
    </font>
    <font>
      <b/>
      <sz val="11"/>
      <color rgb="FF1F4E78"/>
      <name val="Calibri"/>
      <family val="2"/>
    </font>
    <font>
      <b/>
      <sz val="11"/>
      <color rgb="FF0000FF"/>
      <name val="Calibri"/>
      <family val="2"/>
    </font>
    <font>
      <sz val="11"/>
      <color theme="1"/>
      <name val="Calibri"/>
      <family val="2"/>
    </font>
    <font>
      <b/>
      <sz val="10"/>
      <color rgb="FF006100"/>
      <name val="Calibri"/>
      <family val="2"/>
    </font>
    <font>
      <b/>
      <sz val="11"/>
      <color theme="1"/>
      <name val="Calibri"/>
      <family val="2"/>
    </font>
    <font>
      <b/>
      <sz val="11"/>
      <color rgb="FF006100"/>
      <name val="Calibri"/>
      <family val="2"/>
    </font>
    <font>
      <b/>
      <sz val="10"/>
      <color rgb="FFFFFFFF"/>
      <name val="Calibri"/>
      <family val="2"/>
    </font>
    <font>
      <sz val="9"/>
      <color rgb="FF808080"/>
      <name val="Calibri"/>
      <family val="2"/>
    </font>
    <font>
      <b/>
      <sz val="9"/>
      <color rgb="FF808080"/>
      <name val="Calibri"/>
      <family val="2"/>
    </font>
    <font>
      <i/>
      <sz val="10"/>
      <color rgb="FF595959"/>
      <name val="Calibri"/>
      <family val="2"/>
    </font>
    <font>
      <i/>
      <sz val="10"/>
      <color rgb="FF595959"/>
      <name val="Calibri"/>
      <family val="2"/>
      <scheme val="minor"/>
    </font>
    <font>
      <b/>
      <sz val="11"/>
      <color theme="1"/>
      <name val="Calibri"/>
      <family val="2"/>
      <scheme val="minor"/>
    </font>
    <font>
      <b/>
      <sz val="9"/>
      <color rgb="FFFFFFFF"/>
      <name val="Calibri"/>
      <family val="2"/>
    </font>
    <font>
      <sz val="10"/>
      <color rgb="FF1F2937"/>
      <name val="Calibri"/>
      <family val="2"/>
    </font>
    <font>
      <b/>
      <sz val="10"/>
      <color rgb="FF1F2937"/>
      <name val="Calibri"/>
      <family val="2"/>
    </font>
    <font>
      <b/>
      <sz val="10"/>
      <color rgb="FF375623"/>
      <name val="Calibri"/>
      <family val="2"/>
    </font>
    <font>
      <b/>
      <sz val="16"/>
      <color rgb="FFFFFFFF"/>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2"/>
      <color rgb="FF9C0006"/>
      <name val="Calibri"/>
      <family val="2"/>
      <scheme val="minor"/>
    </font>
    <font>
      <b/>
      <sz val="12"/>
      <color rgb="FF006100"/>
      <name val="Calibri"/>
      <family val="2"/>
      <scheme val="minor"/>
    </font>
    <font>
      <b/>
      <sz val="10"/>
      <color rgb="FFFFFFFF"/>
      <name val="Calibri"/>
      <family val="2"/>
      <scheme val="minor"/>
    </font>
    <font>
      <sz val="11"/>
      <color theme="1"/>
      <name val="Calibri"/>
      <family val="2"/>
      <scheme val="minor"/>
    </font>
    <font>
      <b/>
      <sz val="12"/>
      <color rgb="FF000000"/>
      <name val="Calibri"/>
      <family val="2"/>
      <scheme val="minor"/>
    </font>
    <font>
      <sz val="11"/>
      <color rgb="FF222222"/>
      <name val="Calibri"/>
      <family val="2"/>
      <scheme val="minor"/>
    </font>
    <font>
      <b/>
      <sz val="11"/>
      <color rgb="FF9C0006"/>
      <name val="Calibri"/>
      <family val="2"/>
      <scheme val="minor"/>
    </font>
    <font>
      <b/>
      <sz val="9"/>
      <color rgb="FFFFFFFF"/>
      <name val="Calibri"/>
      <family val="2"/>
      <scheme val="minor"/>
    </font>
    <font>
      <sz val="9"/>
      <color theme="1"/>
      <name val="Calibri"/>
      <family val="2"/>
      <scheme val="minor"/>
    </font>
    <font>
      <b/>
      <sz val="22"/>
      <color rgb="FFFFFFFF"/>
      <name val="Calibri"/>
      <family val="2"/>
      <scheme val="minor"/>
    </font>
    <font>
      <sz val="10"/>
      <color rgb="FF595959"/>
      <name val="Calibri"/>
      <family val="2"/>
      <scheme val="minor"/>
    </font>
    <font>
      <b/>
      <sz val="12"/>
      <color rgb="FFFFFFFF"/>
      <name val="Calibri"/>
      <family val="2"/>
      <scheme val="minor"/>
    </font>
    <font>
      <sz val="11"/>
      <color rgb="FF000000"/>
      <name val="Calibri"/>
      <family val="2"/>
    </font>
    <font>
      <b/>
      <sz val="9"/>
      <color indexed="81"/>
      <name val="Tahoma"/>
      <family val="2"/>
    </font>
    <font>
      <sz val="9"/>
      <color indexed="81"/>
      <name val="Tahoma"/>
      <family val="2"/>
    </font>
    <font>
      <b/>
      <sz val="22"/>
      <color theme="1"/>
      <name val="Calibri"/>
      <family val="2"/>
      <scheme val="minor"/>
    </font>
    <font>
      <sz val="10"/>
      <color rgb="FF000000"/>
      <name val="Calibri"/>
      <scheme val="minor"/>
    </font>
    <font>
      <b/>
      <sz val="10"/>
      <color rgb="FF000000"/>
      <name val="Calibri"/>
      <scheme val="minor"/>
    </font>
    <font>
      <b/>
      <sz val="10"/>
      <color rgb="FFFFFFFF"/>
      <name val="Calibri"/>
      <scheme val="minor"/>
    </font>
    <font>
      <sz val="11"/>
      <color rgb="FF0000FF"/>
      <name val="Calibri"/>
      <family val="2"/>
      <scheme val="minor"/>
    </font>
    <font>
      <b/>
      <sz val="11"/>
      <color rgb="FF0000FF"/>
      <name val="Calibri"/>
      <family val="2"/>
      <scheme val="minor"/>
    </font>
  </fonts>
  <fills count="69">
    <fill>
      <patternFill patternType="none"/>
    </fill>
    <fill>
      <patternFill patternType="gray125"/>
    </fill>
    <fill>
      <patternFill patternType="solid">
        <fgColor theme="3"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2"/>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9"/>
        <bgColor indexed="64"/>
      </patternFill>
    </fill>
    <fill>
      <patternFill patternType="solid">
        <fgColor theme="0"/>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1D2330"/>
        <bgColor indexed="64"/>
      </patternFill>
    </fill>
    <fill>
      <patternFill patternType="solid">
        <fgColor rgb="FFE2E3E5"/>
        <bgColor indexed="64"/>
      </patternFill>
    </fill>
    <fill>
      <patternFill patternType="solid">
        <fgColor rgb="FFFFFFFF"/>
        <bgColor indexed="64"/>
      </patternFill>
    </fill>
    <fill>
      <patternFill patternType="solid">
        <fgColor rgb="FFD9EAF7"/>
        <bgColor indexed="64"/>
      </patternFill>
    </fill>
    <fill>
      <patternFill patternType="solid">
        <fgColor rgb="FF1F3864"/>
        <bgColor indexed="64"/>
      </patternFill>
    </fill>
    <fill>
      <patternFill patternType="solid">
        <fgColor rgb="FFC6EFCE"/>
        <bgColor indexed="64"/>
      </patternFill>
    </fill>
    <fill>
      <patternFill patternType="solid">
        <fgColor rgb="FFFFF2CC"/>
        <bgColor indexed="64"/>
      </patternFill>
    </fill>
    <fill>
      <patternFill patternType="solid">
        <fgColor rgb="FFD6E4F0"/>
        <bgColor indexed="64"/>
      </patternFill>
    </fill>
    <fill>
      <patternFill patternType="solid">
        <fgColor rgb="FFF2F7FC"/>
        <bgColor indexed="64"/>
      </patternFill>
    </fill>
    <fill>
      <patternFill patternType="solid">
        <fgColor rgb="FF1F4E78"/>
        <bgColor indexed="64"/>
      </patternFill>
    </fill>
    <fill>
      <patternFill patternType="solid">
        <fgColor rgb="FF5B9BD5"/>
        <bgColor indexed="64"/>
      </patternFill>
    </fill>
    <fill>
      <patternFill patternType="solid">
        <fgColor rgb="FFDDEBF7"/>
        <bgColor indexed="64"/>
      </patternFill>
    </fill>
    <fill>
      <patternFill patternType="solid">
        <fgColor rgb="FFE5E7EB"/>
        <bgColor indexed="64"/>
      </patternFill>
    </fill>
    <fill>
      <patternFill patternType="solid">
        <fgColor rgb="FFF3F4F6"/>
        <bgColor indexed="64"/>
      </patternFill>
    </fill>
    <fill>
      <patternFill patternType="solid">
        <fgColor rgb="FFF4F8FB"/>
        <bgColor indexed="64"/>
      </patternFill>
    </fill>
    <fill>
      <patternFill patternType="solid">
        <fgColor rgb="FFF7F7F7"/>
        <bgColor indexed="64"/>
      </patternFill>
    </fill>
    <fill>
      <patternFill patternType="solid">
        <fgColor rgb="FFEAF2F8"/>
        <bgColor indexed="64"/>
      </patternFill>
    </fill>
    <fill>
      <patternFill patternType="solid">
        <fgColor rgb="FFFCE4D6"/>
        <bgColor indexed="64"/>
      </patternFill>
    </fill>
    <fill>
      <patternFill patternType="solid">
        <fgColor rgb="FFF2F2F2"/>
        <bgColor indexed="64"/>
      </patternFill>
    </fill>
    <fill>
      <patternFill patternType="solid">
        <fgColor rgb="FF0F6B78"/>
        <bgColor indexed="64"/>
      </patternFill>
    </fill>
    <fill>
      <patternFill patternType="solid">
        <fgColor rgb="FF5B3F8C"/>
        <bgColor indexed="64"/>
      </patternFill>
    </fill>
    <fill>
      <patternFill patternType="solid">
        <fgColor rgb="FF2F75B5"/>
        <bgColor indexed="64"/>
      </patternFill>
    </fill>
    <fill>
      <patternFill patternType="solid">
        <fgColor rgb="FF2E8B57"/>
        <bgColor indexed="64"/>
      </patternFill>
    </fill>
    <fill>
      <patternFill patternType="solid">
        <fgColor rgb="FFC55A11"/>
        <bgColor indexed="64"/>
      </patternFill>
    </fill>
    <fill>
      <patternFill patternType="solid">
        <fgColor rgb="FF7030A0"/>
        <bgColor indexed="64"/>
      </patternFill>
    </fill>
    <fill>
      <patternFill patternType="solid">
        <fgColor rgb="FFE2F0D9"/>
        <bgColor indexed="64"/>
      </patternFill>
    </fill>
    <fill>
      <patternFill patternType="solid">
        <fgColor rgb="FFE4DFEC"/>
        <bgColor indexed="64"/>
      </patternFill>
    </fill>
    <fill>
      <patternFill patternType="solid">
        <fgColor rgb="FF548235"/>
        <bgColor indexed="64"/>
      </patternFill>
    </fill>
    <fill>
      <patternFill patternType="solid">
        <fgColor rgb="FF2E75B6"/>
        <bgColor indexed="64"/>
      </patternFill>
    </fill>
    <fill>
      <patternFill patternType="solid">
        <fgColor rgb="FFD6DCE4"/>
        <bgColor indexed="64"/>
      </patternFill>
    </fill>
    <fill>
      <patternFill patternType="solid">
        <fgColor rgb="FFE7E6E6"/>
        <bgColor indexed="64"/>
      </patternFill>
    </fill>
    <fill>
      <patternFill patternType="solid">
        <fgColor rgb="FFF8F9FB"/>
        <bgColor indexed="64"/>
      </patternFill>
    </fill>
    <fill>
      <patternFill patternType="solid">
        <fgColor rgb="FFDEEBF7"/>
        <bgColor indexed="64"/>
      </patternFill>
    </fill>
    <fill>
      <patternFill patternType="solid">
        <fgColor rgb="FF2F5496"/>
        <bgColor indexed="64"/>
      </patternFill>
    </fill>
    <fill>
      <patternFill patternType="solid">
        <fgColor rgb="FFF2F5F9"/>
        <bgColor indexed="64"/>
      </patternFill>
    </fill>
    <fill>
      <patternFill patternType="solid">
        <fgColor rgb="FFE2EFDA"/>
        <bgColor indexed="64"/>
      </patternFill>
    </fill>
    <fill>
      <patternFill patternType="solid">
        <fgColor rgb="FFFFC7CE"/>
        <bgColor indexed="64"/>
      </patternFill>
    </fill>
    <fill>
      <patternFill patternType="solid">
        <fgColor rgb="FFC00000"/>
        <bgColor indexed="64"/>
      </patternFill>
    </fill>
    <fill>
      <patternFill patternType="solid">
        <fgColor rgb="FFE6F0FA"/>
        <bgColor indexed="64"/>
      </patternFill>
    </fill>
    <fill>
      <patternFill patternType="solid">
        <fgColor rgb="FFE7EEF7"/>
        <bgColor indexed="64"/>
      </patternFill>
    </fill>
  </fills>
  <borders count="1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right/>
      <top/>
      <bottom style="thick">
        <color rgb="FF1D2330"/>
      </bottom>
      <diagonal/>
    </border>
    <border>
      <left/>
      <right/>
      <top/>
      <bottom style="thin">
        <color rgb="FF808080"/>
      </bottom>
      <diagonal/>
    </border>
    <border>
      <left/>
      <right/>
      <top style="thick">
        <color rgb="FF0F243E"/>
      </top>
      <bottom/>
      <diagonal/>
    </border>
    <border>
      <left style="thin">
        <color rgb="FF0F243E"/>
      </left>
      <right/>
      <top style="thin">
        <color rgb="FF0F243E"/>
      </top>
      <bottom/>
      <diagonal/>
    </border>
    <border>
      <left/>
      <right style="thin">
        <color rgb="FF0F243E"/>
      </right>
      <top style="thin">
        <color rgb="FF0F243E"/>
      </top>
      <bottom/>
      <diagonal/>
    </border>
    <border>
      <left style="medium">
        <color rgb="FF1F3864"/>
      </left>
      <right/>
      <top/>
      <bottom/>
      <diagonal/>
    </border>
    <border>
      <left/>
      <right style="medium">
        <color rgb="FF1F3864"/>
      </right>
      <top/>
      <bottom/>
      <diagonal/>
    </border>
    <border>
      <left style="medium">
        <color rgb="FF1F3864"/>
      </left>
      <right/>
      <top style="medium">
        <color rgb="FF1F3864"/>
      </top>
      <bottom/>
      <diagonal/>
    </border>
    <border>
      <left/>
      <right/>
      <top style="medium">
        <color rgb="FF1F3864"/>
      </top>
      <bottom/>
      <diagonal/>
    </border>
    <border>
      <left/>
      <right style="medium">
        <color rgb="FF1F3864"/>
      </right>
      <top style="medium">
        <color rgb="FF1F3864"/>
      </top>
      <bottom/>
      <diagonal/>
    </border>
    <border>
      <left/>
      <right/>
      <top/>
      <bottom style="medium">
        <color rgb="FF1F3864"/>
      </bottom>
      <diagonal/>
    </border>
    <border>
      <left style="medium">
        <color rgb="FF1F3864"/>
      </left>
      <right/>
      <top/>
      <bottom style="medium">
        <color rgb="FF1F3864"/>
      </bottom>
      <diagonal/>
    </border>
    <border>
      <left/>
      <right style="medium">
        <color rgb="FF1F3864"/>
      </right>
      <top/>
      <bottom style="medium">
        <color rgb="FF1F3864"/>
      </bottom>
      <diagonal/>
    </border>
    <border>
      <left style="medium">
        <color rgb="FF1F3864"/>
      </left>
      <right/>
      <top/>
      <bottom style="thin">
        <color rgb="FF808080"/>
      </bottom>
      <diagonal/>
    </border>
    <border>
      <left/>
      <right style="medium">
        <color rgb="FF1F3864"/>
      </right>
      <top/>
      <bottom style="thin">
        <color rgb="FF808080"/>
      </bottom>
      <diagonal/>
    </border>
    <border>
      <left style="thin">
        <color rgb="FFD1D5DB"/>
      </left>
      <right/>
      <top style="thin">
        <color rgb="FFD1D5DB"/>
      </top>
      <bottom/>
      <diagonal/>
    </border>
    <border>
      <left style="thin">
        <color rgb="FFD1D5DB"/>
      </left>
      <right/>
      <top style="thin">
        <color rgb="FFB4C7E7"/>
      </top>
      <bottom/>
      <diagonal/>
    </border>
    <border>
      <left style="thin">
        <color rgb="FFD1D5DB"/>
      </left>
      <right/>
      <top/>
      <bottom/>
      <diagonal/>
    </border>
    <border>
      <left style="thin">
        <color rgb="FFD1D5DB"/>
      </left>
      <right/>
      <top style="medium">
        <color rgb="FF70AD47"/>
      </top>
      <bottom style="thin">
        <color rgb="FFD1D5DB"/>
      </bottom>
      <diagonal/>
    </border>
    <border>
      <left/>
      <right style="thin">
        <color rgb="FFD1D5DB"/>
      </right>
      <top style="thin">
        <color rgb="FFD1D5DB"/>
      </top>
      <bottom/>
      <diagonal/>
    </border>
    <border>
      <left style="thin">
        <color rgb="FFD9E2F3"/>
      </left>
      <right style="thin">
        <color rgb="FFD1D5DB"/>
      </right>
      <top style="thin">
        <color rgb="FFB4C7E7"/>
      </top>
      <bottom/>
      <diagonal/>
    </border>
    <border>
      <left style="thin">
        <color rgb="FFD9E2F3"/>
      </left>
      <right style="thin">
        <color rgb="FFD1D5DB"/>
      </right>
      <top style="thin">
        <color rgb="FFD9E2F3"/>
      </top>
      <bottom/>
      <diagonal/>
    </border>
    <border>
      <left style="thin">
        <color rgb="FFD9E2F3"/>
      </left>
      <right style="thin">
        <color rgb="FFD1D5DB"/>
      </right>
      <top style="medium">
        <color rgb="FF70AD47"/>
      </top>
      <bottom style="thin">
        <color rgb="FFD1D5DB"/>
      </bottom>
      <diagonal/>
    </border>
    <border>
      <left style="thin">
        <color rgb="FFD1D5DB"/>
      </left>
      <right/>
      <top/>
      <bottom style="thin">
        <color rgb="FFD1D5DB"/>
      </bottom>
      <diagonal/>
    </border>
    <border>
      <left style="thin">
        <color rgb="FFD9E2F3"/>
      </left>
      <right style="thin">
        <color rgb="FFD1D5DB"/>
      </right>
      <top/>
      <bottom/>
      <diagonal/>
    </border>
    <border>
      <left style="thin">
        <color rgb="FFD9E2F3"/>
      </left>
      <right style="thin">
        <color rgb="FFD1D5DB"/>
      </right>
      <top/>
      <bottom style="thin">
        <color rgb="FFD1D5DB"/>
      </bottom>
      <diagonal/>
    </border>
    <border>
      <left style="thin">
        <color rgb="FFD1D5DB"/>
      </left>
      <right/>
      <top/>
      <bottom style="thin">
        <color rgb="FFD9E2F3"/>
      </bottom>
      <diagonal/>
    </border>
    <border>
      <left style="thin">
        <color rgb="FFD9E2F3"/>
      </left>
      <right style="thin">
        <color rgb="FFD1D5DB"/>
      </right>
      <top style="thin">
        <color rgb="FFD1D5DB"/>
      </top>
      <bottom/>
      <diagonal/>
    </border>
    <border>
      <left style="thin">
        <color rgb="FFD9E2F3"/>
      </left>
      <right style="thin">
        <color rgb="FFD1D5DB"/>
      </right>
      <top/>
      <bottom style="thin">
        <color rgb="FFD9E2F3"/>
      </bottom>
      <diagonal/>
    </border>
    <border>
      <left/>
      <right style="thin">
        <color rgb="FFD1D5DB"/>
      </right>
      <top/>
      <bottom style="thin">
        <color rgb="FFD1D5DB"/>
      </bottom>
      <diagonal/>
    </border>
    <border>
      <left style="thin">
        <color indexed="64"/>
      </left>
      <right style="thin">
        <color indexed="64"/>
      </right>
      <top style="thin">
        <color indexed="64"/>
      </top>
      <bottom style="thin">
        <color rgb="FF9CA3AF"/>
      </bottom>
      <diagonal/>
    </border>
    <border>
      <left/>
      <right/>
      <top/>
      <bottom style="thin">
        <color rgb="FF9CA3AF"/>
      </bottom>
      <diagonal/>
    </border>
    <border>
      <left/>
      <right/>
      <top style="medium">
        <color rgb="FF9CA3AF"/>
      </top>
      <bottom/>
      <diagonal/>
    </border>
    <border>
      <left/>
      <right/>
      <top style="thin">
        <color rgb="FF9FBAD0"/>
      </top>
      <bottom/>
      <diagonal/>
    </border>
    <border>
      <left/>
      <right/>
      <top style="thin">
        <color rgb="FF9FBAD0"/>
      </top>
      <bottom style="thin">
        <color rgb="FFC7D7E5"/>
      </bottom>
      <diagonal/>
    </border>
    <border>
      <left/>
      <right/>
      <top/>
      <bottom style="thin">
        <color rgb="FFA6A6A6"/>
      </bottom>
      <diagonal/>
    </border>
    <border>
      <left/>
      <right/>
      <top style="thin">
        <color rgb="FF808080"/>
      </top>
      <bottom/>
      <diagonal/>
    </border>
    <border>
      <left/>
      <right/>
      <top/>
      <bottom style="thin">
        <color rgb="FFD9D9D9"/>
      </bottom>
      <diagonal/>
    </border>
    <border>
      <left/>
      <right/>
      <top style="thick">
        <color rgb="FF1D2330"/>
      </top>
      <bottom/>
      <diagonal/>
    </border>
    <border>
      <left/>
      <right/>
      <top style="thin">
        <color rgb="FFD9D9D9"/>
      </top>
      <bottom style="thin">
        <color rgb="FFD9D9D9"/>
      </bottom>
      <diagonal/>
    </border>
    <border>
      <left/>
      <right/>
      <top style="thin">
        <color rgb="FFD9D9D9"/>
      </top>
      <bottom/>
      <diagonal/>
    </border>
    <border>
      <left style="thin">
        <color indexed="64"/>
      </left>
      <right/>
      <top style="thick">
        <color rgb="FF1D2330"/>
      </top>
      <bottom/>
      <diagonal/>
    </border>
    <border>
      <left style="thin">
        <color rgb="FF000000"/>
      </left>
      <right/>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style="thin">
        <color indexed="64"/>
      </top>
      <bottom/>
      <diagonal/>
    </border>
    <border>
      <left/>
      <right/>
      <top/>
      <bottom style="thick">
        <color rgb="FF1F4E78"/>
      </bottom>
      <diagonal/>
    </border>
    <border>
      <left/>
      <right/>
      <top/>
      <bottom style="medium">
        <color rgb="FF1F4E78"/>
      </bottom>
      <diagonal/>
    </border>
    <border>
      <left/>
      <right/>
      <top style="medium">
        <color rgb="FF1F4E78"/>
      </top>
      <bottom style="thin">
        <color rgb="FF9FBAD0"/>
      </bottom>
      <diagonal/>
    </border>
    <border>
      <left/>
      <right/>
      <top/>
      <bottom style="thin">
        <color rgb="FF9FBAD0"/>
      </bottom>
      <diagonal/>
    </border>
    <border>
      <left/>
      <right/>
      <top style="thin">
        <color rgb="FFD9D9D9"/>
      </top>
      <bottom style="thin">
        <color rgb="FFD9E2F3"/>
      </bottom>
      <diagonal/>
    </border>
    <border>
      <left/>
      <right/>
      <top style="medium">
        <color rgb="FF1F4E78"/>
      </top>
      <bottom style="medium">
        <color rgb="FF1F4E78"/>
      </bottom>
      <diagonal/>
    </border>
    <border>
      <left/>
      <right/>
      <top style="medium">
        <color rgb="FF1F4E78"/>
      </top>
      <bottom/>
      <diagonal/>
    </border>
    <border>
      <left/>
      <right/>
      <top/>
      <bottom style="thin">
        <color rgb="FFD9E2F3"/>
      </bottom>
      <diagonal/>
    </border>
    <border>
      <left style="thin">
        <color rgb="FFD9D9D9"/>
      </left>
      <right/>
      <top/>
      <bottom style="thin">
        <color rgb="FFD9D9D9"/>
      </bottom>
      <diagonal/>
    </border>
    <border>
      <left style="thin">
        <color rgb="FFD6B656"/>
      </left>
      <right style="thin">
        <color rgb="FFD6B656"/>
      </right>
      <top/>
      <bottom style="thin">
        <color rgb="FF9FBAD0"/>
      </bottom>
      <diagonal/>
    </border>
    <border>
      <left style="thin">
        <color rgb="FFD9D9D9"/>
      </left>
      <right style="thin">
        <color rgb="FFD6B656"/>
      </right>
      <top/>
      <bottom style="thin">
        <color rgb="FF9FBAD0"/>
      </bottom>
      <diagonal/>
    </border>
    <border>
      <left/>
      <right/>
      <top style="thin">
        <color rgb="FF5B3F8C"/>
      </top>
      <bottom style="thin">
        <color rgb="FF5B3F8C"/>
      </bottom>
      <diagonal/>
    </border>
    <border>
      <left style="thin">
        <color rgb="FF5B3F8C"/>
      </left>
      <right/>
      <top style="thin">
        <color rgb="FF5B3F8C"/>
      </top>
      <bottom style="thin">
        <color rgb="FF5B3F8C"/>
      </bottom>
      <diagonal/>
    </border>
    <border>
      <left/>
      <right style="thin">
        <color rgb="FF5B3F8C"/>
      </right>
      <top style="thin">
        <color rgb="FF5B3F8C"/>
      </top>
      <bottom style="thin">
        <color rgb="FF5B3F8C"/>
      </bottom>
      <diagonal/>
    </border>
    <border>
      <left style="medium">
        <color rgb="FF2F75B5"/>
      </left>
      <right/>
      <top style="medium">
        <color rgb="FF2F75B5"/>
      </top>
      <bottom style="medium">
        <color rgb="FF2F75B5"/>
      </bottom>
      <diagonal/>
    </border>
    <border>
      <left/>
      <right style="medium">
        <color rgb="FF2F75B5"/>
      </right>
      <top style="medium">
        <color rgb="FF2F75B5"/>
      </top>
      <bottom style="medium">
        <color rgb="FF2F75B5"/>
      </bottom>
      <diagonal/>
    </border>
    <border>
      <left style="medium">
        <color rgb="FF2E8B57"/>
      </left>
      <right/>
      <top style="medium">
        <color rgb="FF2E8B57"/>
      </top>
      <bottom style="medium">
        <color rgb="FF2E8B57"/>
      </bottom>
      <diagonal/>
    </border>
    <border>
      <left/>
      <right style="medium">
        <color rgb="FF2E8B57"/>
      </right>
      <top style="medium">
        <color rgb="FF2E8B57"/>
      </top>
      <bottom style="medium">
        <color rgb="FF2E8B57"/>
      </bottom>
      <diagonal/>
    </border>
    <border>
      <left style="medium">
        <color rgb="FFC55A11"/>
      </left>
      <right/>
      <top style="medium">
        <color rgb="FFC55A11"/>
      </top>
      <bottom style="medium">
        <color rgb="FFC55A11"/>
      </bottom>
      <diagonal/>
    </border>
    <border>
      <left/>
      <right style="medium">
        <color rgb="FFC55A11"/>
      </right>
      <top style="medium">
        <color rgb="FFC55A11"/>
      </top>
      <bottom style="medium">
        <color rgb="FFC55A11"/>
      </bottom>
      <diagonal/>
    </border>
    <border>
      <left style="medium">
        <color rgb="FF7030A0"/>
      </left>
      <right/>
      <top style="medium">
        <color rgb="FF7030A0"/>
      </top>
      <bottom style="medium">
        <color rgb="FF7030A0"/>
      </bottom>
      <diagonal/>
    </border>
    <border>
      <left/>
      <right style="medium">
        <color rgb="FF7030A0"/>
      </right>
      <top style="medium">
        <color rgb="FF7030A0"/>
      </top>
      <bottom style="medium">
        <color rgb="FF7030A0"/>
      </bottom>
      <diagonal/>
    </border>
    <border>
      <left style="medium">
        <color rgb="FF9FBAD0"/>
      </left>
      <right/>
      <top style="medium">
        <color rgb="FF2F75B5"/>
      </top>
      <bottom style="medium">
        <color rgb="FF9FBAD0"/>
      </bottom>
      <diagonal/>
    </border>
    <border>
      <left/>
      <right style="medium">
        <color rgb="FF9FBAD0"/>
      </right>
      <top style="medium">
        <color rgb="FF2F75B5"/>
      </top>
      <bottom style="medium">
        <color rgb="FF9FBAD0"/>
      </bottom>
      <diagonal/>
    </border>
    <border>
      <left style="medium">
        <color rgb="FFA9D18E"/>
      </left>
      <right/>
      <top style="medium">
        <color rgb="FF2E8B57"/>
      </top>
      <bottom style="medium">
        <color rgb="FFA9D18E"/>
      </bottom>
      <diagonal/>
    </border>
    <border>
      <left/>
      <right style="medium">
        <color rgb="FFA9D18E"/>
      </right>
      <top style="medium">
        <color rgb="FF2E8B57"/>
      </top>
      <bottom style="medium">
        <color rgb="FFA9D18E"/>
      </bottom>
      <diagonal/>
    </border>
    <border>
      <left style="medium">
        <color rgb="FFF4B183"/>
      </left>
      <right/>
      <top style="medium">
        <color rgb="FFC55A11"/>
      </top>
      <bottom style="medium">
        <color rgb="FFF4B183"/>
      </bottom>
      <diagonal/>
    </border>
    <border>
      <left/>
      <right style="medium">
        <color rgb="FFF4B183"/>
      </right>
      <top style="medium">
        <color rgb="FFC55A11"/>
      </top>
      <bottom style="medium">
        <color rgb="FFF4B183"/>
      </bottom>
      <diagonal/>
    </border>
    <border>
      <left style="medium">
        <color rgb="FFB4A7D6"/>
      </left>
      <right/>
      <top style="medium">
        <color rgb="FF7030A0"/>
      </top>
      <bottom style="medium">
        <color rgb="FFB4A7D6"/>
      </bottom>
      <diagonal/>
    </border>
    <border>
      <left/>
      <right style="medium">
        <color rgb="FFB4A7D6"/>
      </right>
      <top style="medium">
        <color rgb="FF7030A0"/>
      </top>
      <bottom style="medium">
        <color rgb="FFB4A7D6"/>
      </bottom>
      <diagonal/>
    </border>
    <border>
      <left/>
      <right/>
      <top style="thin">
        <color rgb="FFD1D5DB"/>
      </top>
      <bottom/>
      <diagonal/>
    </border>
    <border>
      <left/>
      <right/>
      <top style="thin">
        <color rgb="FFB4C7E7"/>
      </top>
      <bottom/>
      <diagonal/>
    </border>
    <border>
      <left/>
      <right/>
      <top/>
      <bottom style="thin">
        <color rgb="FFD1D5DB"/>
      </bottom>
      <diagonal/>
    </border>
    <border>
      <left/>
      <right/>
      <top/>
      <bottom style="medium">
        <color rgb="FF163A5A"/>
      </bottom>
      <diagonal/>
    </border>
    <border>
      <left style="medium">
        <color rgb="FF163A5A"/>
      </left>
      <right/>
      <top style="medium">
        <color rgb="FF163A5A"/>
      </top>
      <bottom style="medium">
        <color rgb="FF163A5A"/>
      </bottom>
      <diagonal/>
    </border>
    <border>
      <left/>
      <right style="medium">
        <color rgb="FF163A5A"/>
      </right>
      <top style="medium">
        <color rgb="FF163A5A"/>
      </top>
      <bottom style="medium">
        <color rgb="FF163A5A"/>
      </bottom>
      <diagonal/>
    </border>
    <border>
      <left style="medium">
        <color rgb="FF385723"/>
      </left>
      <right/>
      <top style="medium">
        <color rgb="FF163A5A"/>
      </top>
      <bottom style="medium">
        <color rgb="FF385723"/>
      </bottom>
      <diagonal/>
    </border>
    <border>
      <left/>
      <right style="medium">
        <color rgb="FF385723"/>
      </right>
      <top style="medium">
        <color rgb="FF163A5A"/>
      </top>
      <bottom style="medium">
        <color rgb="FF385723"/>
      </bottom>
      <diagonal/>
    </border>
    <border>
      <left style="thin">
        <color rgb="FF1F4E78"/>
      </left>
      <right style="thin">
        <color rgb="FFD0D7DE"/>
      </right>
      <top style="thin">
        <color rgb="FF1F4E78"/>
      </top>
      <bottom style="thin">
        <color rgb="FFD0D7DE"/>
      </bottom>
      <diagonal/>
    </border>
    <border>
      <left style="thin">
        <color rgb="FFD0D7DE"/>
      </left>
      <right style="thin">
        <color rgb="FFD0D7DE"/>
      </right>
      <top style="thin">
        <color rgb="FF1F4E78"/>
      </top>
      <bottom style="thin">
        <color rgb="FFD0D7DE"/>
      </bottom>
      <diagonal/>
    </border>
    <border>
      <left style="thin">
        <color rgb="FFD0D7DE"/>
      </left>
      <right style="thin">
        <color rgb="FF1F4E78"/>
      </right>
      <top style="thin">
        <color rgb="FF1F4E78"/>
      </top>
      <bottom style="thin">
        <color rgb="FFD0D7DE"/>
      </bottom>
      <diagonal/>
    </border>
    <border>
      <left style="thin">
        <color rgb="FF1F4E78"/>
      </left>
      <right style="thin">
        <color rgb="FFD0D7DE"/>
      </right>
      <top style="thin">
        <color rgb="FFD0D7DE"/>
      </top>
      <bottom style="thin">
        <color rgb="FFD0D7DE"/>
      </bottom>
      <diagonal/>
    </border>
    <border>
      <left style="thin">
        <color rgb="FFD0D7DE"/>
      </left>
      <right style="thin">
        <color rgb="FFD0D7DE"/>
      </right>
      <top style="thin">
        <color rgb="FFD0D7DE"/>
      </top>
      <bottom style="thin">
        <color rgb="FFD0D7DE"/>
      </bottom>
      <diagonal/>
    </border>
    <border>
      <left style="thin">
        <color rgb="FFD0D7DE"/>
      </left>
      <right style="thin">
        <color rgb="FF1F4E78"/>
      </right>
      <top style="thin">
        <color rgb="FFD0D7DE"/>
      </top>
      <bottom style="thin">
        <color rgb="FFD0D7DE"/>
      </bottom>
      <diagonal/>
    </border>
    <border>
      <left style="thin">
        <color rgb="FF1F4E78"/>
      </left>
      <right style="thin">
        <color rgb="FFD0D7DE"/>
      </right>
      <top style="thin">
        <color rgb="FFD0D7DE"/>
      </top>
      <bottom style="thin">
        <color rgb="FF1F4E78"/>
      </bottom>
      <diagonal/>
    </border>
    <border>
      <left style="thin">
        <color rgb="FFD0D7DE"/>
      </left>
      <right style="thin">
        <color rgb="FFD0D7DE"/>
      </right>
      <top style="thin">
        <color rgb="FFD0D7DE"/>
      </top>
      <bottom style="thin">
        <color rgb="FF1F4E78"/>
      </bottom>
      <diagonal/>
    </border>
    <border>
      <left style="thin">
        <color rgb="FFD0D7DE"/>
      </left>
      <right style="thin">
        <color rgb="FF1F4E78"/>
      </right>
      <top style="thin">
        <color rgb="FFD0D7DE"/>
      </top>
      <bottom style="thin">
        <color rgb="FF1F4E78"/>
      </bottom>
      <diagonal/>
    </border>
    <border>
      <left style="thin">
        <color rgb="FF1F4E78"/>
      </left>
      <right style="thin">
        <color rgb="FFD6DCE4"/>
      </right>
      <top style="thin">
        <color rgb="FF1F4E78"/>
      </top>
      <bottom style="thin">
        <color rgb="FFD6DCE4"/>
      </bottom>
      <diagonal/>
    </border>
    <border>
      <left style="thin">
        <color rgb="FFD6DCE4"/>
      </left>
      <right style="thin">
        <color rgb="FFD6DCE4"/>
      </right>
      <top style="thin">
        <color rgb="FF1F4E78"/>
      </top>
      <bottom style="thin">
        <color rgb="FFD6DCE4"/>
      </bottom>
      <diagonal/>
    </border>
    <border>
      <left style="thin">
        <color rgb="FFD6DCE4"/>
      </left>
      <right style="thin">
        <color rgb="FF1F4E78"/>
      </right>
      <top style="thin">
        <color rgb="FF1F4E78"/>
      </top>
      <bottom style="thin">
        <color rgb="FFD6DCE4"/>
      </bottom>
      <diagonal/>
    </border>
    <border>
      <left style="thin">
        <color rgb="FF1F4E78"/>
      </left>
      <right style="thin">
        <color rgb="FFD6DCE4"/>
      </right>
      <top style="thin">
        <color rgb="FFD6DCE4"/>
      </top>
      <bottom style="thin">
        <color rgb="FFD6DCE4"/>
      </bottom>
      <diagonal/>
    </border>
    <border>
      <left style="thin">
        <color rgb="FFD6DCE4"/>
      </left>
      <right style="thin">
        <color rgb="FFD6DCE4"/>
      </right>
      <top style="thin">
        <color rgb="FFD6DCE4"/>
      </top>
      <bottom style="thin">
        <color rgb="FFD6DCE4"/>
      </bottom>
      <diagonal/>
    </border>
    <border>
      <left style="thin">
        <color rgb="FFD6DCE4"/>
      </left>
      <right style="thin">
        <color rgb="FF1F4E78"/>
      </right>
      <top style="thin">
        <color rgb="FFD6DCE4"/>
      </top>
      <bottom style="thin">
        <color rgb="FFD6DCE4"/>
      </bottom>
      <diagonal/>
    </border>
    <border>
      <left style="thin">
        <color rgb="FF1F4E78"/>
      </left>
      <right style="thin">
        <color rgb="FFD6DCE4"/>
      </right>
      <top style="thin">
        <color rgb="FFD6DCE4"/>
      </top>
      <bottom style="thick">
        <color rgb="FF1F4E78"/>
      </bottom>
      <diagonal/>
    </border>
    <border>
      <left style="thin">
        <color rgb="FFD6DCE4"/>
      </left>
      <right style="thin">
        <color rgb="FFD6DCE4"/>
      </right>
      <top style="thin">
        <color rgb="FFD6DCE4"/>
      </top>
      <bottom style="thick">
        <color rgb="FF1F4E78"/>
      </bottom>
      <diagonal/>
    </border>
    <border>
      <left style="thin">
        <color rgb="FFD6DCE4"/>
      </left>
      <right style="thin">
        <color rgb="FF1F4E78"/>
      </right>
      <top style="thin">
        <color rgb="FFD6DCE4"/>
      </top>
      <bottom style="thick">
        <color rgb="FF1F4E78"/>
      </bottom>
      <diagonal/>
    </border>
    <border>
      <left/>
      <right style="thin">
        <color rgb="FF0F243E"/>
      </right>
      <top style="thick">
        <color rgb="FF0F243E"/>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1" fillId="0" borderId="0" applyNumberFormat="0" applyFill="0" applyBorder="0" applyAlignment="0" applyProtection="0"/>
    <xf numFmtId="9" fontId="3" fillId="0" borderId="0" applyFont="0" applyFill="0" applyBorder="0" applyAlignment="0" applyProtection="0"/>
    <xf numFmtId="166" fontId="3" fillId="0" borderId="0" applyFont="0" applyFill="0" applyBorder="0" applyAlignment="0" applyProtection="0"/>
  </cellStyleXfs>
  <cellXfs count="581">
    <xf numFmtId="0" fontId="0" fillId="0" borderId="0" xfId="0"/>
    <xf numFmtId="0" fontId="0" fillId="0" borderId="1" xfId="0" applyBorder="1"/>
    <xf numFmtId="0" fontId="1" fillId="0" borderId="1" xfId="1" applyBorder="1"/>
    <xf numFmtId="0" fontId="1" fillId="0" borderId="0" xfId="1" applyBorder="1"/>
    <xf numFmtId="168" fontId="0" fillId="0" borderId="0" xfId="0" applyNumberFormat="1"/>
    <xf numFmtId="165" fontId="0" fillId="0" borderId="0" xfId="0" applyNumberFormat="1"/>
    <xf numFmtId="14" fontId="0" fillId="0" borderId="0" xfId="0" applyNumberFormat="1"/>
    <xf numFmtId="169" fontId="0" fillId="0" borderId="0" xfId="0" applyNumberFormat="1"/>
    <xf numFmtId="170" fontId="0" fillId="0" borderId="0" xfId="0" applyNumberFormat="1"/>
    <xf numFmtId="171" fontId="0" fillId="0" borderId="0" xfId="2" applyNumberFormat="1" applyFont="1"/>
    <xf numFmtId="9" fontId="0" fillId="0" borderId="1" xfId="0" applyNumberFormat="1" applyBorder="1"/>
    <xf numFmtId="164" fontId="0" fillId="0" borderId="0" xfId="0" applyNumberFormat="1"/>
    <xf numFmtId="164" fontId="0" fillId="0" borderId="0" xfId="3" applyNumberFormat="1" applyFont="1"/>
    <xf numFmtId="0" fontId="0" fillId="8" borderId="1" xfId="0" applyFill="1" applyBorder="1"/>
    <xf numFmtId="14" fontId="0" fillId="0" borderId="1" xfId="0" applyNumberFormat="1" applyBorder="1"/>
    <xf numFmtId="0" fontId="0" fillId="9" borderId="1" xfId="0" applyFill="1" applyBorder="1"/>
    <xf numFmtId="0" fontId="0" fillId="9" borderId="0" xfId="0" applyFill="1"/>
    <xf numFmtId="172" fontId="0" fillId="0" borderId="1" xfId="0" applyNumberFormat="1" applyBorder="1"/>
    <xf numFmtId="173" fontId="0" fillId="0" borderId="1" xfId="0" applyNumberFormat="1" applyBorder="1"/>
    <xf numFmtId="174" fontId="0" fillId="0" borderId="1" xfId="0" applyNumberFormat="1" applyBorder="1"/>
    <xf numFmtId="0" fontId="0" fillId="0" borderId="1" xfId="0" applyBorder="1" applyAlignment="1">
      <alignment horizontal="center"/>
    </xf>
    <xf numFmtId="0" fontId="2" fillId="2" borderId="1" xfId="0" applyFont="1" applyFill="1" applyBorder="1" applyAlignment="1">
      <alignment horizontal="center"/>
    </xf>
    <xf numFmtId="0" fontId="0" fillId="0" borderId="13" xfId="0" applyBorder="1"/>
    <xf numFmtId="12" fontId="0" fillId="0" borderId="0" xfId="0" applyNumberFormat="1"/>
    <xf numFmtId="11" fontId="0" fillId="0" borderId="0" xfId="0" applyNumberFormat="1"/>
    <xf numFmtId="49" fontId="0" fillId="0" borderId="0" xfId="0" applyNumberFormat="1"/>
    <xf numFmtId="0" fontId="0" fillId="14" borderId="1" xfId="0" applyFill="1" applyBorder="1" applyAlignment="1">
      <alignment horizontal="center"/>
    </xf>
    <xf numFmtId="0" fontId="0" fillId="17" borderId="1" xfId="0" applyFill="1" applyBorder="1"/>
    <xf numFmtId="0" fontId="0" fillId="7" borderId="1" xfId="0" applyFill="1" applyBorder="1"/>
    <xf numFmtId="0" fontId="0" fillId="13" borderId="1" xfId="0"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172" fontId="0" fillId="0" borderId="0" xfId="0" applyNumberFormat="1"/>
    <xf numFmtId="175" fontId="0" fillId="0" borderId="1" xfId="0" applyNumberFormat="1" applyBorder="1"/>
    <xf numFmtId="172" fontId="0" fillId="4" borderId="3" xfId="0" applyNumberFormat="1" applyFill="1" applyBorder="1"/>
    <xf numFmtId="172" fontId="0" fillId="4" borderId="1" xfId="0" applyNumberFormat="1" applyFill="1" applyBorder="1" applyAlignment="1">
      <alignment horizontal="center"/>
    </xf>
    <xf numFmtId="172" fontId="0" fillId="4" borderId="4" xfId="0" applyNumberFormat="1" applyFill="1" applyBorder="1" applyAlignment="1">
      <alignment horizontal="center"/>
    </xf>
    <xf numFmtId="172" fontId="0" fillId="6" borderId="4" xfId="0" applyNumberFormat="1" applyFill="1" applyBorder="1"/>
    <xf numFmtId="172" fontId="0" fillId="6" borderId="1" xfId="0" applyNumberFormat="1" applyFill="1" applyBorder="1"/>
    <xf numFmtId="172" fontId="0" fillId="5" borderId="1" xfId="0" applyNumberFormat="1" applyFill="1" applyBorder="1"/>
    <xf numFmtId="172" fontId="0" fillId="5" borderId="4" xfId="0" applyNumberFormat="1" applyFill="1" applyBorder="1"/>
    <xf numFmtId="0" fontId="0" fillId="0" borderId="0" xfId="0" applyAlignment="1">
      <alignment wrapText="1"/>
    </xf>
    <xf numFmtId="0" fontId="4" fillId="0" borderId="0" xfId="0" applyFont="1"/>
    <xf numFmtId="0" fontId="4" fillId="0" borderId="1" xfId="0" applyFont="1" applyBorder="1" applyAlignment="1">
      <alignment vertical="center"/>
    </xf>
    <xf numFmtId="0" fontId="4" fillId="0" borderId="1" xfId="0" applyFont="1" applyBorder="1" applyAlignment="1">
      <alignment horizontal="center" vertical="center" wrapText="1"/>
    </xf>
    <xf numFmtId="0" fontId="4" fillId="0" borderId="1" xfId="0" applyFont="1" applyBorder="1" applyAlignment="1">
      <alignment horizontal="center" wrapText="1"/>
    </xf>
    <xf numFmtId="0" fontId="4" fillId="0" borderId="1" xfId="0" applyFont="1" applyBorder="1" applyAlignment="1">
      <alignment wrapText="1"/>
    </xf>
    <xf numFmtId="164" fontId="0" fillId="0" borderId="1" xfId="0" applyNumberFormat="1" applyBorder="1"/>
    <xf numFmtId="0" fontId="4" fillId="0" borderId="13" xfId="0" applyFont="1" applyBorder="1" applyAlignment="1">
      <alignment horizontal="center" vertical="center" wrapText="1"/>
    </xf>
    <xf numFmtId="0" fontId="0" fillId="0" borderId="0" xfId="0" applyAlignment="1">
      <alignment horizontal="center"/>
    </xf>
    <xf numFmtId="0" fontId="6" fillId="10" borderId="1" xfId="0" applyFont="1" applyFill="1" applyBorder="1"/>
    <xf numFmtId="0" fontId="5" fillId="0" borderId="1" xfId="0" applyFont="1" applyBorder="1" applyAlignment="1">
      <alignment horizontal="center"/>
    </xf>
    <xf numFmtId="0" fontId="6" fillId="0" borderId="1" xfId="0" applyFont="1" applyBorder="1" applyAlignment="1">
      <alignment horizontal="center"/>
    </xf>
    <xf numFmtId="0" fontId="2" fillId="12" borderId="1" xfId="0" applyFont="1" applyFill="1" applyBorder="1" applyAlignment="1">
      <alignment horizontal="center"/>
    </xf>
    <xf numFmtId="172" fontId="0" fillId="0" borderId="1" xfId="0" applyNumberFormat="1" applyBorder="1" applyAlignment="1">
      <alignment horizontal="center"/>
    </xf>
    <xf numFmtId="0" fontId="4" fillId="0" borderId="0" xfId="0" applyFont="1" applyAlignment="1">
      <alignment horizontal="center"/>
    </xf>
    <xf numFmtId="0" fontId="1" fillId="0" borderId="0" xfId="1"/>
    <xf numFmtId="0" fontId="0" fillId="0" borderId="16" xfId="0" applyBorder="1"/>
    <xf numFmtId="0" fontId="0" fillId="0" borderId="16" xfId="0" applyBorder="1" applyAlignment="1">
      <alignment wrapText="1"/>
    </xf>
    <xf numFmtId="0" fontId="0" fillId="0" borderId="16" xfId="0" applyBorder="1" applyAlignment="1">
      <alignment horizontal="center" vertical="center"/>
    </xf>
    <xf numFmtId="0" fontId="0" fillId="0" borderId="16" xfId="0" applyBorder="1" applyAlignment="1">
      <alignment vertical="center"/>
    </xf>
    <xf numFmtId="15" fontId="0" fillId="19" borderId="16" xfId="0" applyNumberFormat="1" applyFill="1" applyBorder="1" applyAlignment="1">
      <alignment horizontal="center" vertical="center" wrapText="1"/>
    </xf>
    <xf numFmtId="0" fontId="0" fillId="19" borderId="16" xfId="0" applyFill="1" applyBorder="1" applyAlignment="1">
      <alignment horizontal="center" vertical="center" wrapText="1"/>
    </xf>
    <xf numFmtId="0" fontId="0" fillId="0" borderId="16" xfId="0" applyBorder="1" applyAlignment="1">
      <alignment vertical="center" wrapText="1"/>
    </xf>
    <xf numFmtId="15" fontId="0" fillId="0" borderId="16" xfId="0" applyNumberFormat="1" applyBorder="1"/>
    <xf numFmtId="0" fontId="0" fillId="19" borderId="16" xfId="0" applyFill="1" applyBorder="1" applyAlignment="1">
      <alignment horizontal="center" vertical="center"/>
    </xf>
    <xf numFmtId="15" fontId="0" fillId="19" borderId="0" xfId="0" applyNumberFormat="1" applyFill="1" applyAlignment="1">
      <alignment horizontal="center" vertical="center" wrapText="1"/>
    </xf>
    <xf numFmtId="0" fontId="0" fillId="19" borderId="0" xfId="0" applyFill="1" applyAlignment="1">
      <alignment horizontal="center" vertical="center" wrapText="1"/>
    </xf>
    <xf numFmtId="15" fontId="0" fillId="0" borderId="16" xfId="0" applyNumberFormat="1" applyBorder="1" applyAlignment="1">
      <alignment horizontal="center" vertical="center"/>
    </xf>
    <xf numFmtId="0" fontId="0" fillId="0" borderId="16" xfId="0" applyBorder="1" applyAlignment="1">
      <alignment horizontal="left" vertical="center" wrapText="1"/>
    </xf>
    <xf numFmtId="0" fontId="0" fillId="16" borderId="1" xfId="0" applyFill="1" applyBorder="1" applyAlignment="1">
      <alignment horizontal="center"/>
    </xf>
    <xf numFmtId="0" fontId="0" fillId="20" borderId="1" xfId="0" applyFill="1" applyBorder="1" applyAlignment="1">
      <alignment horizontal="center"/>
    </xf>
    <xf numFmtId="14" fontId="0" fillId="0" borderId="1" xfId="0" applyNumberFormat="1" applyBorder="1" applyAlignment="1">
      <alignment horizontal="center"/>
    </xf>
    <xf numFmtId="0" fontId="0" fillId="11" borderId="1" xfId="0" applyFill="1" applyBorder="1"/>
    <xf numFmtId="167" fontId="0" fillId="0" borderId="0" xfId="0" applyNumberFormat="1" applyAlignment="1">
      <alignment horizontal="center"/>
    </xf>
    <xf numFmtId="177" fontId="0" fillId="0" borderId="0" xfId="0" applyNumberFormat="1"/>
    <xf numFmtId="178" fontId="0" fillId="0" borderId="0" xfId="0" applyNumberFormat="1"/>
    <xf numFmtId="22" fontId="0" fillId="0" borderId="0" xfId="0" applyNumberFormat="1"/>
    <xf numFmtId="18" fontId="0" fillId="0" borderId="0" xfId="0" applyNumberFormat="1"/>
    <xf numFmtId="15" fontId="0" fillId="0" borderId="0" xfId="0" applyNumberFormat="1"/>
    <xf numFmtId="0" fontId="6" fillId="10" borderId="1" xfId="0" applyFont="1" applyFill="1" applyBorder="1" applyAlignment="1">
      <alignment horizontal="left"/>
    </xf>
    <xf numFmtId="0" fontId="2" fillId="11" borderId="1" xfId="0" applyFont="1" applyFill="1" applyBorder="1" applyAlignment="1">
      <alignment horizontal="center"/>
    </xf>
    <xf numFmtId="0" fontId="2" fillId="15" borderId="1" xfId="0" applyFont="1" applyFill="1" applyBorder="1" applyAlignment="1">
      <alignment horizontal="center"/>
    </xf>
    <xf numFmtId="175" fontId="0" fillId="0" borderId="0" xfId="0" applyNumberFormat="1"/>
    <xf numFmtId="0" fontId="0" fillId="21" borderId="1" xfId="0" applyFill="1" applyBorder="1"/>
    <xf numFmtId="0" fontId="0" fillId="22" borderId="1" xfId="0" applyFill="1" applyBorder="1"/>
    <xf numFmtId="0" fontId="0" fillId="23" borderId="1" xfId="0" applyFill="1" applyBorder="1"/>
    <xf numFmtId="179" fontId="0" fillId="0" borderId="0" xfId="0" applyNumberFormat="1"/>
    <xf numFmtId="14" fontId="0" fillId="0" borderId="0" xfId="0" applyNumberFormat="1" applyAlignment="1">
      <alignment horizontal="left"/>
    </xf>
    <xf numFmtId="0" fontId="6" fillId="0" borderId="0" xfId="0" applyFont="1"/>
    <xf numFmtId="0" fontId="6" fillId="0" borderId="0" xfId="0" applyFont="1" applyAlignment="1">
      <alignment horizontal="left"/>
    </xf>
    <xf numFmtId="0" fontId="0" fillId="18" borderId="1" xfId="0" applyFill="1" applyBorder="1" applyAlignment="1">
      <alignment horizontal="center"/>
    </xf>
    <xf numFmtId="0" fontId="0" fillId="24" borderId="1" xfId="0" applyFill="1" applyBorder="1" applyAlignment="1">
      <alignment horizontal="center"/>
    </xf>
    <xf numFmtId="0" fontId="0" fillId="24" borderId="0" xfId="0" applyFill="1"/>
    <xf numFmtId="0" fontId="0" fillId="26" borderId="0" xfId="0" applyFill="1"/>
    <xf numFmtId="0" fontId="0" fillId="27" borderId="5" xfId="0" applyFill="1" applyBorder="1"/>
    <xf numFmtId="0" fontId="0" fillId="27" borderId="20" xfId="0" applyFill="1" applyBorder="1"/>
    <xf numFmtId="0" fontId="0" fillId="27" borderId="20" xfId="0" applyFill="1" applyBorder="1" applyAlignment="1">
      <alignment horizontal="center"/>
    </xf>
    <xf numFmtId="14" fontId="0" fillId="27" borderId="20" xfId="0" applyNumberFormat="1" applyFill="1" applyBorder="1"/>
    <xf numFmtId="0" fontId="0" fillId="27" borderId="12" xfId="0" applyFill="1" applyBorder="1"/>
    <xf numFmtId="0" fontId="0" fillId="28" borderId="1" xfId="0" applyFill="1" applyBorder="1"/>
    <xf numFmtId="0" fontId="0" fillId="28" borderId="8" xfId="0" applyFill="1" applyBorder="1"/>
    <xf numFmtId="0" fontId="0" fillId="28" borderId="21" xfId="0" applyFill="1" applyBorder="1"/>
    <xf numFmtId="0" fontId="0" fillId="28" borderId="22" xfId="0" applyFill="1" applyBorder="1" applyAlignment="1">
      <alignment horizontal="center"/>
    </xf>
    <xf numFmtId="0" fontId="0" fillId="28" borderId="2" xfId="0" applyFill="1" applyBorder="1" applyAlignment="1">
      <alignment horizontal="center"/>
    </xf>
    <xf numFmtId="0" fontId="0" fillId="28" borderId="22" xfId="0" applyFill="1" applyBorder="1" applyAlignment="1">
      <alignment horizontal="left"/>
    </xf>
    <xf numFmtId="0" fontId="0" fillId="28" borderId="2" xfId="0" applyFill="1" applyBorder="1" applyAlignment="1">
      <alignment horizontal="left"/>
    </xf>
    <xf numFmtId="180" fontId="4" fillId="0" borderId="7" xfId="0" applyNumberFormat="1" applyFont="1" applyBorder="1" applyAlignment="1">
      <alignment horizontal="center"/>
    </xf>
    <xf numFmtId="0" fontId="4" fillId="0" borderId="8" xfId="0" applyFont="1" applyBorder="1" applyAlignment="1">
      <alignment horizontal="center"/>
    </xf>
    <xf numFmtId="180" fontId="4" fillId="0" borderId="0" xfId="0" applyNumberFormat="1" applyFont="1" applyAlignment="1">
      <alignment horizontal="center"/>
    </xf>
    <xf numFmtId="0" fontId="4" fillId="0" borderId="21" xfId="0" applyFont="1" applyBorder="1" applyAlignment="1">
      <alignment horizontal="center"/>
    </xf>
    <xf numFmtId="0" fontId="0" fillId="0" borderId="2" xfId="0" applyBorder="1" applyAlignment="1">
      <alignment horizontal="center"/>
    </xf>
    <xf numFmtId="180" fontId="4" fillId="0" borderId="5" xfId="0" applyNumberFormat="1" applyFont="1" applyBorder="1" applyAlignment="1">
      <alignment horizontal="center"/>
    </xf>
    <xf numFmtId="180" fontId="4" fillId="0" borderId="20" xfId="0" applyNumberFormat="1" applyFont="1" applyBorder="1" applyAlignment="1">
      <alignment horizontal="center"/>
    </xf>
    <xf numFmtId="180" fontId="4" fillId="0" borderId="12" xfId="0" applyNumberFormat="1" applyFont="1" applyBorder="1" applyAlignment="1">
      <alignment horizontal="center"/>
    </xf>
    <xf numFmtId="172" fontId="0" fillId="0" borderId="0" xfId="0" applyNumberFormat="1" applyAlignment="1">
      <alignment horizontal="center"/>
    </xf>
    <xf numFmtId="0" fontId="10" fillId="0" borderId="0" xfId="0" applyFont="1" applyAlignment="1">
      <alignment horizontal="center"/>
    </xf>
    <xf numFmtId="0" fontId="0" fillId="0" borderId="28" xfId="0" applyBorder="1"/>
    <xf numFmtId="0" fontId="0" fillId="0" borderId="29" xfId="0" applyBorder="1"/>
    <xf numFmtId="0" fontId="19" fillId="0" borderId="0" xfId="0" applyFont="1" applyAlignment="1">
      <alignment horizontal="left"/>
    </xf>
    <xf numFmtId="0" fontId="18" fillId="0" borderId="0" xfId="0" applyFont="1" applyAlignment="1">
      <alignment horizontal="right"/>
    </xf>
    <xf numFmtId="0" fontId="4" fillId="36" borderId="0" xfId="0" applyFont="1" applyFill="1" applyAlignment="1">
      <alignment horizontal="left"/>
    </xf>
    <xf numFmtId="0" fontId="18" fillId="37" borderId="0" xfId="0" applyFont="1" applyFill="1" applyAlignment="1">
      <alignment horizontal="right"/>
    </xf>
    <xf numFmtId="0" fontId="19" fillId="37" borderId="0" xfId="0" applyFont="1" applyFill="1" applyAlignment="1">
      <alignment horizontal="left"/>
    </xf>
    <xf numFmtId="0" fontId="10" fillId="36" borderId="0" xfId="0" applyFont="1" applyFill="1" applyAlignment="1">
      <alignment horizontal="right"/>
    </xf>
    <xf numFmtId="0" fontId="10" fillId="36" borderId="0" xfId="0" applyFont="1" applyFill="1" applyAlignment="1">
      <alignment horizontal="left"/>
    </xf>
    <xf numFmtId="0" fontId="4" fillId="36" borderId="28" xfId="0" applyFont="1" applyFill="1" applyBorder="1" applyAlignment="1">
      <alignment horizontal="left"/>
    </xf>
    <xf numFmtId="0" fontId="19" fillId="37" borderId="28" xfId="0" applyFont="1" applyFill="1" applyBorder="1" applyAlignment="1">
      <alignment horizontal="left"/>
    </xf>
    <xf numFmtId="0" fontId="19" fillId="0" borderId="28" xfId="0" applyFont="1" applyBorder="1" applyAlignment="1">
      <alignment horizontal="left"/>
    </xf>
    <xf numFmtId="0" fontId="10" fillId="36" borderId="28" xfId="0" applyFont="1" applyFill="1" applyBorder="1" applyAlignment="1">
      <alignment horizontal="left"/>
    </xf>
    <xf numFmtId="0" fontId="4" fillId="36" borderId="29" xfId="0" applyFont="1" applyFill="1" applyBorder="1" applyAlignment="1">
      <alignment horizontal="left"/>
    </xf>
    <xf numFmtId="0" fontId="18" fillId="37" borderId="29" xfId="0" applyFont="1" applyFill="1" applyBorder="1" applyAlignment="1">
      <alignment horizontal="right"/>
    </xf>
    <xf numFmtId="0" fontId="18" fillId="0" borderId="29" xfId="0" applyFont="1" applyBorder="1" applyAlignment="1">
      <alignment horizontal="right"/>
    </xf>
    <xf numFmtId="0" fontId="10" fillId="36" borderId="29" xfId="0" applyFont="1" applyFill="1" applyBorder="1" applyAlignment="1">
      <alignment horizontal="right"/>
    </xf>
    <xf numFmtId="0" fontId="4" fillId="36" borderId="0" xfId="0" applyFont="1" applyFill="1"/>
    <xf numFmtId="0" fontId="19" fillId="37" borderId="0" xfId="0" applyFont="1" applyFill="1"/>
    <xf numFmtId="0" fontId="19" fillId="0" borderId="0" xfId="0" applyFont="1"/>
    <xf numFmtId="0" fontId="4" fillId="36" borderId="0" xfId="0" applyFont="1" applyFill="1" applyAlignment="1">
      <alignment horizontal="right"/>
    </xf>
    <xf numFmtId="0" fontId="4" fillId="36" borderId="28" xfId="0" applyFont="1" applyFill="1" applyBorder="1"/>
    <xf numFmtId="0" fontId="19" fillId="37" borderId="28" xfId="0" applyFont="1" applyFill="1" applyBorder="1"/>
    <xf numFmtId="0" fontId="19" fillId="0" borderId="28" xfId="0" applyFont="1" applyBorder="1"/>
    <xf numFmtId="0" fontId="4" fillId="36" borderId="29" xfId="0" applyFont="1" applyFill="1" applyBorder="1"/>
    <xf numFmtId="0" fontId="4" fillId="36" borderId="29" xfId="0" applyFont="1" applyFill="1" applyBorder="1" applyAlignment="1">
      <alignment horizontal="right"/>
    </xf>
    <xf numFmtId="0" fontId="0" fillId="0" borderId="36" xfId="0" applyBorder="1"/>
    <xf numFmtId="0" fontId="0" fillId="0" borderId="24" xfId="0" applyBorder="1"/>
    <xf numFmtId="0" fontId="0" fillId="0" borderId="37" xfId="0" applyBorder="1"/>
    <xf numFmtId="0" fontId="27" fillId="0" borderId="0" xfId="0" applyFont="1" applyAlignment="1">
      <alignment vertical="center"/>
    </xf>
    <xf numFmtId="0" fontId="28" fillId="38" borderId="26" xfId="0" applyFont="1" applyFill="1" applyBorder="1" applyAlignment="1">
      <alignment horizontal="left" vertical="center"/>
    </xf>
    <xf numFmtId="0" fontId="28" fillId="38" borderId="27" xfId="0" applyFont="1" applyFill="1" applyBorder="1" applyAlignment="1">
      <alignment horizontal="left" vertical="center"/>
    </xf>
    <xf numFmtId="0" fontId="26" fillId="31" borderId="39" xfId="0" applyFont="1" applyFill="1" applyBorder="1" applyAlignment="1">
      <alignment horizontal="left" vertical="center"/>
    </xf>
    <xf numFmtId="0" fontId="26" fillId="31" borderId="40" xfId="0" applyFont="1" applyFill="1" applyBorder="1" applyAlignment="1">
      <alignment horizontal="left" vertical="center"/>
    </xf>
    <xf numFmtId="0" fontId="29" fillId="40" borderId="38" xfId="0" applyFont="1" applyFill="1" applyBorder="1" applyAlignment="1">
      <alignment horizontal="center" vertical="center"/>
    </xf>
    <xf numFmtId="0" fontId="29" fillId="40" borderId="42" xfId="0" applyFont="1" applyFill="1" applyBorder="1" applyAlignment="1">
      <alignment horizontal="center" vertical="center"/>
    </xf>
    <xf numFmtId="0" fontId="26" fillId="31" borderId="46" xfId="0" applyFont="1" applyFill="1" applyBorder="1" applyAlignment="1">
      <alignment horizontal="left" vertical="center"/>
    </xf>
    <xf numFmtId="0" fontId="26" fillId="31" borderId="49" xfId="0" applyFont="1" applyFill="1" applyBorder="1" applyAlignment="1">
      <alignment horizontal="left" vertical="center"/>
    </xf>
    <xf numFmtId="172" fontId="29" fillId="40" borderId="50" xfId="0" applyNumberFormat="1" applyFont="1" applyFill="1" applyBorder="1" applyAlignment="1">
      <alignment horizontal="center" vertical="center"/>
    </xf>
    <xf numFmtId="172" fontId="26" fillId="31" borderId="41" xfId="0" applyNumberFormat="1" applyFont="1" applyFill="1" applyBorder="1" applyAlignment="1">
      <alignment horizontal="left" vertical="center"/>
    </xf>
    <xf numFmtId="0" fontId="27" fillId="31" borderId="46" xfId="0" applyFont="1" applyFill="1" applyBorder="1" applyAlignment="1">
      <alignment horizontal="left" vertical="center"/>
    </xf>
    <xf numFmtId="1" fontId="30" fillId="31" borderId="43" xfId="0" applyNumberFormat="1" applyFont="1" applyFill="1" applyBorder="1" applyAlignment="1">
      <alignment horizontal="right" vertical="center"/>
    </xf>
    <xf numFmtId="172" fontId="30" fillId="31" borderId="44" xfId="0" applyNumberFormat="1" applyFont="1" applyFill="1" applyBorder="1" applyAlignment="1">
      <alignment horizontal="right" vertical="center"/>
    </xf>
    <xf numFmtId="172" fontId="30" fillId="31" borderId="45" xfId="0" applyNumberFormat="1" applyFont="1" applyFill="1" applyBorder="1" applyAlignment="1">
      <alignment horizontal="right" vertical="center"/>
    </xf>
    <xf numFmtId="172" fontId="30" fillId="31" borderId="43" xfId="0" applyNumberFormat="1" applyFont="1" applyFill="1" applyBorder="1" applyAlignment="1">
      <alignment horizontal="right" vertical="center"/>
    </xf>
    <xf numFmtId="172" fontId="30" fillId="31" borderId="47" xfId="0" applyNumberFormat="1" applyFont="1" applyFill="1" applyBorder="1" applyAlignment="1">
      <alignment horizontal="right" vertical="center"/>
    </xf>
    <xf numFmtId="172" fontId="30" fillId="31" borderId="48" xfId="0" applyNumberFormat="1" applyFont="1" applyFill="1" applyBorder="1" applyAlignment="1">
      <alignment horizontal="right" vertical="center"/>
    </xf>
    <xf numFmtId="172" fontId="30" fillId="31" borderId="51" xfId="0" applyNumberFormat="1" applyFont="1" applyFill="1" applyBorder="1" applyAlignment="1">
      <alignment horizontal="right" vertical="center"/>
    </xf>
    <xf numFmtId="0" fontId="30" fillId="31" borderId="52" xfId="0" applyFont="1" applyFill="1" applyBorder="1" applyAlignment="1">
      <alignment horizontal="right" vertical="center"/>
    </xf>
    <xf numFmtId="0" fontId="31" fillId="0" borderId="0" xfId="0" applyFont="1"/>
    <xf numFmtId="0" fontId="31" fillId="0" borderId="0" xfId="0" pivotButton="1" applyFont="1" applyAlignment="1">
      <alignment horizontal="center"/>
    </xf>
    <xf numFmtId="0" fontId="31" fillId="0" borderId="0" xfId="0" applyFont="1" applyAlignment="1">
      <alignment horizontal="center"/>
    </xf>
    <xf numFmtId="0" fontId="32" fillId="0" borderId="0" xfId="0" applyFont="1" applyAlignment="1">
      <alignment horizontal="center"/>
    </xf>
    <xf numFmtId="178" fontId="31" fillId="0" borderId="0" xfId="0" applyNumberFormat="1" applyFont="1" applyAlignment="1">
      <alignment horizontal="center"/>
    </xf>
    <xf numFmtId="165" fontId="31" fillId="0" borderId="0" xfId="0" applyNumberFormat="1" applyFont="1" applyAlignment="1">
      <alignment horizontal="center"/>
    </xf>
    <xf numFmtId="172" fontId="31" fillId="0" borderId="0" xfId="0" applyNumberFormat="1" applyFont="1"/>
    <xf numFmtId="168" fontId="31" fillId="0" borderId="0" xfId="0" applyNumberFormat="1" applyFont="1"/>
    <xf numFmtId="0" fontId="31" fillId="0" borderId="4" xfId="0" applyFont="1" applyBorder="1" applyAlignment="1">
      <alignment horizontal="center"/>
    </xf>
    <xf numFmtId="172" fontId="31" fillId="0" borderId="4" xfId="0" applyNumberFormat="1" applyFont="1" applyBorder="1" applyAlignment="1">
      <alignment horizontal="center"/>
    </xf>
    <xf numFmtId="0" fontId="33" fillId="41" borderId="53" xfId="0" applyFont="1" applyFill="1" applyBorder="1" applyAlignment="1">
      <alignment horizontal="center" wrapText="1"/>
    </xf>
    <xf numFmtId="0" fontId="33" fillId="41" borderId="54" xfId="0" applyFont="1" applyFill="1" applyBorder="1" applyAlignment="1">
      <alignment horizontal="center" wrapText="1"/>
    </xf>
    <xf numFmtId="0" fontId="33" fillId="42" borderId="55" xfId="0" applyFont="1" applyFill="1" applyBorder="1" applyAlignment="1">
      <alignment horizontal="center"/>
    </xf>
    <xf numFmtId="178" fontId="33" fillId="42" borderId="55" xfId="0" applyNumberFormat="1" applyFont="1" applyFill="1" applyBorder="1" applyAlignment="1">
      <alignment horizontal="center"/>
    </xf>
    <xf numFmtId="165" fontId="33" fillId="42" borderId="55" xfId="0" applyNumberFormat="1" applyFont="1" applyFill="1" applyBorder="1" applyAlignment="1">
      <alignment horizontal="center"/>
    </xf>
    <xf numFmtId="0" fontId="0" fillId="0" borderId="0" xfId="0" applyAlignment="1">
      <alignment horizontal="left" vertical="center" wrapText="1"/>
    </xf>
    <xf numFmtId="0" fontId="4" fillId="30" borderId="0" xfId="0" applyFont="1" applyFill="1" applyAlignment="1">
      <alignment horizontal="center" vertical="center"/>
    </xf>
    <xf numFmtId="0" fontId="14" fillId="32" borderId="56" xfId="0" applyFont="1" applyFill="1" applyBorder="1" applyAlignment="1">
      <alignment horizontal="center"/>
    </xf>
    <xf numFmtId="0" fontId="11" fillId="43" borderId="57" xfId="0" applyFont="1" applyFill="1" applyBorder="1" applyAlignment="1">
      <alignment horizontal="center"/>
    </xf>
    <xf numFmtId="0" fontId="14" fillId="30" borderId="58" xfId="0" applyFont="1" applyFill="1" applyBorder="1" applyAlignment="1">
      <alignment horizontal="left"/>
    </xf>
    <xf numFmtId="0" fontId="14" fillId="30" borderId="58" xfId="0" applyFont="1" applyFill="1" applyBorder="1" applyAlignment="1">
      <alignment horizontal="center"/>
    </xf>
    <xf numFmtId="181" fontId="13" fillId="31" borderId="0" xfId="0" applyNumberFormat="1" applyFont="1" applyFill="1" applyAlignment="1">
      <alignment horizontal="right"/>
    </xf>
    <xf numFmtId="1" fontId="13" fillId="31" borderId="0" xfId="0" applyNumberFormat="1" applyFont="1" applyFill="1" applyAlignment="1">
      <alignment horizontal="right"/>
    </xf>
    <xf numFmtId="0" fontId="13" fillId="31" borderId="59" xfId="0" applyFont="1" applyFill="1" applyBorder="1" applyAlignment="1">
      <alignment horizontal="left"/>
    </xf>
    <xf numFmtId="0" fontId="13" fillId="31" borderId="0" xfId="0" applyFont="1" applyFill="1" applyAlignment="1">
      <alignment horizontal="left"/>
    </xf>
    <xf numFmtId="0" fontId="13" fillId="31" borderId="60" xfId="0" applyFont="1" applyFill="1" applyBorder="1" applyAlignment="1">
      <alignment horizontal="left"/>
    </xf>
    <xf numFmtId="0" fontId="35" fillId="30" borderId="61" xfId="0" applyFont="1" applyFill="1" applyBorder="1" applyAlignment="1">
      <alignment horizontal="center"/>
    </xf>
    <xf numFmtId="0" fontId="36" fillId="29" borderId="0" xfId="0" applyFont="1" applyFill="1" applyAlignment="1">
      <alignment horizontal="left"/>
    </xf>
    <xf numFmtId="0" fontId="35" fillId="44" borderId="0" xfId="0" applyFont="1" applyFill="1" applyAlignment="1">
      <alignment horizontal="right"/>
    </xf>
    <xf numFmtId="183" fontId="35" fillId="44" borderId="59" xfId="0" applyNumberFormat="1" applyFont="1" applyFill="1" applyBorder="1" applyAlignment="1">
      <alignment horizontal="right"/>
    </xf>
    <xf numFmtId="183" fontId="35" fillId="44" borderId="0" xfId="0" applyNumberFormat="1" applyFont="1" applyFill="1" applyAlignment="1">
      <alignment horizontal="right"/>
    </xf>
    <xf numFmtId="0" fontId="35" fillId="44" borderId="60" xfId="0" applyFont="1" applyFill="1" applyBorder="1" applyAlignment="1">
      <alignment horizontal="right"/>
    </xf>
    <xf numFmtId="0" fontId="35" fillId="44" borderId="63" xfId="0" applyFont="1" applyFill="1" applyBorder="1" applyAlignment="1">
      <alignment horizontal="right"/>
    </xf>
    <xf numFmtId="0" fontId="34" fillId="29" borderId="0" xfId="0" applyFont="1" applyFill="1" applyAlignment="1">
      <alignment horizontal="left" vertical="top" wrapText="1"/>
    </xf>
    <xf numFmtId="0" fontId="35" fillId="30" borderId="61" xfId="0" applyFont="1" applyFill="1" applyBorder="1" applyAlignment="1">
      <alignment horizontal="center" vertical="top" wrapText="1"/>
    </xf>
    <xf numFmtId="0" fontId="13" fillId="31" borderId="59" xfId="0" applyFont="1" applyFill="1" applyBorder="1" applyAlignment="1">
      <alignment horizontal="left" vertical="top" wrapText="1"/>
    </xf>
    <xf numFmtId="0" fontId="13" fillId="31" borderId="0" xfId="0" applyFont="1" applyFill="1" applyAlignment="1">
      <alignment horizontal="left" vertical="top" wrapText="1"/>
    </xf>
    <xf numFmtId="0" fontId="13" fillId="31" borderId="60" xfId="0" applyFont="1" applyFill="1" applyBorder="1" applyAlignment="1">
      <alignment horizontal="left" vertical="top" wrapText="1"/>
    </xf>
    <xf numFmtId="0" fontId="0" fillId="0" borderId="0" xfId="0" applyAlignment="1">
      <alignment vertical="top" wrapText="1"/>
    </xf>
    <xf numFmtId="0" fontId="36" fillId="29" borderId="0" xfId="0" applyFont="1" applyFill="1" applyAlignment="1">
      <alignment horizontal="left" vertical="top" wrapText="1"/>
    </xf>
    <xf numFmtId="0" fontId="0" fillId="0" borderId="0" xfId="0" applyAlignment="1">
      <alignment vertical="top"/>
    </xf>
    <xf numFmtId="3" fontId="35" fillId="44" borderId="59" xfId="0" applyNumberFormat="1" applyFont="1" applyFill="1" applyBorder="1" applyAlignment="1">
      <alignment horizontal="right"/>
    </xf>
    <xf numFmtId="183" fontId="35" fillId="44" borderId="63" xfId="0" applyNumberFormat="1" applyFont="1" applyFill="1" applyBorder="1" applyAlignment="1">
      <alignment horizontal="right"/>
    </xf>
    <xf numFmtId="0" fontId="35" fillId="30" borderId="64" xfId="0" applyFont="1" applyFill="1" applyBorder="1" applyAlignment="1">
      <alignment horizontal="center"/>
    </xf>
    <xf numFmtId="183" fontId="35" fillId="31" borderId="59" xfId="0" applyNumberFormat="1" applyFont="1" applyFill="1" applyBorder="1" applyAlignment="1">
      <alignment horizontal="right"/>
    </xf>
    <xf numFmtId="183" fontId="35" fillId="31" borderId="0" xfId="0" applyNumberFormat="1" applyFont="1" applyFill="1" applyAlignment="1">
      <alignment horizontal="right"/>
    </xf>
    <xf numFmtId="183" fontId="35" fillId="31" borderId="60" xfId="0" applyNumberFormat="1" applyFont="1" applyFill="1" applyBorder="1" applyAlignment="1">
      <alignment horizontal="right"/>
    </xf>
    <xf numFmtId="0" fontId="35" fillId="44" borderId="62" xfId="0" applyFont="1" applyFill="1" applyBorder="1" applyAlignment="1">
      <alignment horizontal="left"/>
    </xf>
    <xf numFmtId="0" fontId="0" fillId="28" borderId="2" xfId="0" applyFill="1" applyBorder="1"/>
    <xf numFmtId="0" fontId="0" fillId="28" borderId="66" xfId="0" applyFill="1" applyBorder="1" applyAlignment="1">
      <alignment horizontal="center"/>
    </xf>
    <xf numFmtId="0" fontId="0" fillId="28" borderId="66" xfId="0" applyFill="1" applyBorder="1" applyAlignment="1">
      <alignment horizontal="left"/>
    </xf>
    <xf numFmtId="0" fontId="0" fillId="28" borderId="66" xfId="0" applyFill="1" applyBorder="1"/>
    <xf numFmtId="0" fontId="0" fillId="0" borderId="66" xfId="0" applyBorder="1" applyAlignment="1">
      <alignment horizontal="center"/>
    </xf>
    <xf numFmtId="180" fontId="4" fillId="0" borderId="66" xfId="0" applyNumberFormat="1" applyFont="1" applyBorder="1" applyAlignment="1">
      <alignment horizontal="center"/>
    </xf>
    <xf numFmtId="0" fontId="0" fillId="0" borderId="21" xfId="0" applyBorder="1" applyAlignment="1">
      <alignment horizontal="center"/>
    </xf>
    <xf numFmtId="0" fontId="0" fillId="0" borderId="13" xfId="0" applyBorder="1" applyAlignment="1">
      <alignment horizontal="center"/>
    </xf>
    <xf numFmtId="0" fontId="0" fillId="0" borderId="65" xfId="0" applyBorder="1" applyAlignment="1">
      <alignment horizontal="center"/>
    </xf>
    <xf numFmtId="180" fontId="4" fillId="0" borderId="13" xfId="0" applyNumberFormat="1" applyFont="1" applyBorder="1" applyAlignment="1">
      <alignment horizontal="center"/>
    </xf>
    <xf numFmtId="180" fontId="4" fillId="0" borderId="65" xfId="0" applyNumberFormat="1" applyFont="1" applyBorder="1" applyAlignment="1">
      <alignment horizontal="center"/>
    </xf>
    <xf numFmtId="0" fontId="4" fillId="0" borderId="67" xfId="0" applyFont="1" applyBorder="1" applyAlignment="1">
      <alignment horizontal="center"/>
    </xf>
    <xf numFmtId="180" fontId="4" fillId="0" borderId="68" xfId="0" applyNumberFormat="1" applyFont="1" applyBorder="1" applyAlignment="1">
      <alignment horizontal="center"/>
    </xf>
    <xf numFmtId="0" fontId="2" fillId="0" borderId="0" xfId="0" applyFont="1" applyAlignment="1">
      <alignment horizontal="center"/>
    </xf>
    <xf numFmtId="0" fontId="2" fillId="2" borderId="1" xfId="0" applyFont="1" applyFill="1" applyBorder="1"/>
    <xf numFmtId="184" fontId="0" fillId="0" borderId="1" xfId="0" applyNumberFormat="1" applyBorder="1"/>
    <xf numFmtId="0" fontId="37" fillId="31" borderId="0" xfId="0" applyFont="1" applyFill="1" applyAlignment="1">
      <alignment horizontal="left"/>
    </xf>
    <xf numFmtId="0" fontId="25" fillId="38" borderId="70" xfId="0" applyFont="1" applyFill="1" applyBorder="1" applyAlignment="1">
      <alignment horizontal="left"/>
    </xf>
    <xf numFmtId="0" fontId="40" fillId="32" borderId="71" xfId="0" applyFont="1" applyFill="1" applyBorder="1" applyAlignment="1">
      <alignment horizontal="center"/>
    </xf>
    <xf numFmtId="0" fontId="25" fillId="38" borderId="0" xfId="0" applyFont="1" applyFill="1" applyAlignment="1">
      <alignment horizontal="left"/>
    </xf>
    <xf numFmtId="184" fontId="39" fillId="31" borderId="0" xfId="0" applyNumberFormat="1" applyFont="1" applyFill="1" applyAlignment="1">
      <alignment horizontal="right"/>
    </xf>
    <xf numFmtId="184" fontId="42" fillId="0" borderId="1" xfId="0" applyNumberFormat="1" applyFont="1" applyBorder="1"/>
    <xf numFmtId="0" fontId="45" fillId="32" borderId="72" xfId="0" applyFont="1" applyFill="1" applyBorder="1" applyAlignment="1">
      <alignment horizontal="left"/>
    </xf>
    <xf numFmtId="0" fontId="38" fillId="31" borderId="0" xfId="0" applyFont="1" applyFill="1" applyAlignment="1">
      <alignment horizontal="left"/>
    </xf>
    <xf numFmtId="0" fontId="38" fillId="31" borderId="73" xfId="0" applyFont="1" applyFill="1" applyBorder="1" applyAlignment="1">
      <alignment horizontal="left"/>
    </xf>
    <xf numFmtId="0" fontId="48" fillId="38" borderId="75" xfId="0" applyFont="1" applyFill="1" applyBorder="1" applyAlignment="1">
      <alignment horizontal="left"/>
    </xf>
    <xf numFmtId="0" fontId="48" fillId="38" borderId="74" xfId="0" applyFont="1" applyFill="1" applyBorder="1" applyAlignment="1">
      <alignment horizontal="left"/>
    </xf>
    <xf numFmtId="0" fontId="46" fillId="32" borderId="71" xfId="0" applyFont="1" applyFill="1" applyBorder="1" applyAlignment="1">
      <alignment horizontal="center"/>
    </xf>
    <xf numFmtId="0" fontId="44" fillId="31" borderId="0" xfId="0" applyFont="1" applyFill="1" applyAlignment="1">
      <alignment horizontal="left"/>
    </xf>
    <xf numFmtId="0" fontId="44" fillId="31" borderId="76" xfId="0" applyFont="1" applyFill="1" applyBorder="1" applyAlignment="1">
      <alignment horizontal="left"/>
    </xf>
    <xf numFmtId="0" fontId="46" fillId="47" borderId="77" xfId="0" applyFont="1" applyFill="1" applyBorder="1" applyAlignment="1">
      <alignment horizontal="left"/>
    </xf>
    <xf numFmtId="0" fontId="41" fillId="45" borderId="78" xfId="0" applyFont="1" applyFill="1" applyBorder="1" applyAlignment="1">
      <alignment horizontal="center"/>
    </xf>
    <xf numFmtId="0" fontId="46" fillId="47" borderId="60" xfId="0" applyFont="1" applyFill="1" applyBorder="1" applyAlignment="1">
      <alignment horizontal="left"/>
    </xf>
    <xf numFmtId="0" fontId="41" fillId="45" borderId="79" xfId="0" applyFont="1" applyFill="1" applyBorder="1" applyAlignment="1">
      <alignment horizontal="center"/>
    </xf>
    <xf numFmtId="0" fontId="29" fillId="40" borderId="99" xfId="0" applyFont="1" applyFill="1" applyBorder="1" applyAlignment="1">
      <alignment horizontal="center" vertical="center"/>
    </xf>
    <xf numFmtId="0" fontId="26" fillId="31" borderId="100" xfId="0" applyFont="1" applyFill="1" applyBorder="1" applyAlignment="1">
      <alignment horizontal="left" vertical="center"/>
    </xf>
    <xf numFmtId="0" fontId="26" fillId="31" borderId="0" xfId="0" applyFont="1" applyFill="1" applyAlignment="1">
      <alignment horizontal="left" vertical="center"/>
    </xf>
    <xf numFmtId="0" fontId="26" fillId="31" borderId="101" xfId="0" applyFont="1" applyFill="1" applyBorder="1" applyAlignment="1">
      <alignment horizontal="left" vertical="center"/>
    </xf>
    <xf numFmtId="0" fontId="51" fillId="57" borderId="110" xfId="0" applyFont="1" applyFill="1" applyBorder="1" applyAlignment="1">
      <alignment horizontal="left" wrapText="1"/>
    </xf>
    <xf numFmtId="0" fontId="51" fillId="57" borderId="111" xfId="0" applyFont="1" applyFill="1" applyBorder="1" applyAlignment="1">
      <alignment horizontal="left" wrapText="1"/>
    </xf>
    <xf numFmtId="0" fontId="51" fillId="57" borderId="112" xfId="0" applyFont="1" applyFill="1" applyBorder="1" applyAlignment="1">
      <alignment horizontal="left" wrapText="1"/>
    </xf>
    <xf numFmtId="188" fontId="51" fillId="57" borderId="112" xfId="0" applyNumberFormat="1" applyFont="1" applyFill="1" applyBorder="1" applyAlignment="1">
      <alignment horizontal="center" wrapText="1"/>
    </xf>
    <xf numFmtId="0" fontId="52" fillId="58" borderId="110" xfId="0" applyFont="1" applyFill="1" applyBorder="1" applyAlignment="1">
      <alignment horizontal="left" wrapText="1"/>
    </xf>
    <xf numFmtId="0" fontId="53" fillId="35" borderId="111" xfId="0" applyFont="1" applyFill="1" applyBorder="1" applyAlignment="1">
      <alignment horizontal="left" wrapText="1"/>
    </xf>
    <xf numFmtId="0" fontId="54" fillId="47" borderId="111" xfId="0" applyFont="1" applyFill="1" applyBorder="1" applyAlignment="1">
      <alignment wrapText="1"/>
    </xf>
    <xf numFmtId="0" fontId="54" fillId="47" borderId="112" xfId="0" applyFont="1" applyFill="1" applyBorder="1" applyAlignment="1">
      <alignment wrapText="1"/>
    </xf>
    <xf numFmtId="0" fontId="54" fillId="0" borderId="110" xfId="0" applyFont="1" applyBorder="1" applyAlignment="1">
      <alignment wrapText="1"/>
    </xf>
    <xf numFmtId="0" fontId="54" fillId="0" borderId="111" xfId="0" applyFont="1" applyBorder="1" applyAlignment="1">
      <alignment wrapText="1"/>
    </xf>
    <xf numFmtId="0" fontId="56" fillId="59" borderId="110" xfId="0" applyFont="1" applyFill="1" applyBorder="1" applyAlignment="1">
      <alignment wrapText="1"/>
    </xf>
    <xf numFmtId="0" fontId="56" fillId="0" borderId="111" xfId="0" applyFont="1" applyBorder="1" applyAlignment="1">
      <alignment wrapText="1"/>
    </xf>
    <xf numFmtId="0" fontId="56" fillId="59" borderId="111" xfId="0" applyFont="1" applyFill="1" applyBorder="1" applyAlignment="1">
      <alignment wrapText="1"/>
    </xf>
    <xf numFmtId="187" fontId="56" fillId="0" borderId="111" xfId="0" applyNumberFormat="1" applyFont="1" applyBorder="1" applyAlignment="1">
      <alignment horizontal="right" wrapText="1"/>
    </xf>
    <xf numFmtId="1" fontId="56" fillId="0" borderId="111" xfId="0" applyNumberFormat="1" applyFont="1" applyBorder="1" applyAlignment="1">
      <alignment horizontal="right" wrapText="1"/>
    </xf>
    <xf numFmtId="0" fontId="57" fillId="34" borderId="111" xfId="0" applyFont="1" applyFill="1" applyBorder="1" applyAlignment="1">
      <alignment wrapText="1"/>
    </xf>
    <xf numFmtId="187" fontId="57" fillId="34" borderId="111" xfId="0" applyNumberFormat="1" applyFont="1" applyFill="1" applyBorder="1" applyAlignment="1">
      <alignment horizontal="right" wrapText="1"/>
    </xf>
    <xf numFmtId="0" fontId="56" fillId="0" borderId="111" xfId="0" applyFont="1" applyBorder="1" applyAlignment="1">
      <alignment horizontal="right" wrapText="1"/>
    </xf>
    <xf numFmtId="182" fontId="56" fillId="0" borderId="111" xfId="0" applyNumberFormat="1" applyFont="1" applyBorder="1" applyAlignment="1">
      <alignment horizontal="right" wrapText="1"/>
    </xf>
    <xf numFmtId="0" fontId="58" fillId="57" borderId="110" xfId="0" applyFont="1" applyFill="1" applyBorder="1" applyAlignment="1">
      <alignment horizontal="center" wrapText="1"/>
    </xf>
    <xf numFmtId="0" fontId="58" fillId="57" borderId="111" xfId="0" applyFont="1" applyFill="1" applyBorder="1" applyAlignment="1">
      <alignment horizontal="center" wrapText="1"/>
    </xf>
    <xf numFmtId="0" fontId="54" fillId="60" borderId="110" xfId="0" applyFont="1" applyFill="1" applyBorder="1" applyAlignment="1">
      <alignment wrapText="1"/>
    </xf>
    <xf numFmtId="187" fontId="54" fillId="60" borderId="111" xfId="0" applyNumberFormat="1" applyFont="1" applyFill="1" applyBorder="1" applyAlignment="1">
      <alignment horizontal="right" wrapText="1"/>
    </xf>
    <xf numFmtId="0" fontId="59" fillId="60" borderId="111" xfId="0" applyFont="1" applyFill="1" applyBorder="1" applyAlignment="1">
      <alignment wrapText="1"/>
    </xf>
    <xf numFmtId="0" fontId="54" fillId="60" borderId="111" xfId="0" applyFont="1" applyFill="1" applyBorder="1" applyAlignment="1">
      <alignment wrapText="1"/>
    </xf>
    <xf numFmtId="187" fontId="54" fillId="0" borderId="111" xfId="0" applyNumberFormat="1" applyFont="1" applyBorder="1" applyAlignment="1">
      <alignment horizontal="right" wrapText="1"/>
    </xf>
    <xf numFmtId="0" fontId="59" fillId="0" borderId="111" xfId="0" applyFont="1" applyBorder="1" applyAlignment="1">
      <alignment wrapText="1"/>
    </xf>
    <xf numFmtId="1" fontId="54" fillId="60" borderId="111" xfId="0" applyNumberFormat="1" applyFont="1" applyFill="1" applyBorder="1" applyAlignment="1">
      <alignment horizontal="right" wrapText="1"/>
    </xf>
    <xf numFmtId="0" fontId="56" fillId="61" borderId="110" xfId="0" applyFont="1" applyFill="1" applyBorder="1" applyAlignment="1">
      <alignment wrapText="1"/>
    </xf>
    <xf numFmtId="187" fontId="56" fillId="61" borderId="111" xfId="0" applyNumberFormat="1" applyFont="1" applyFill="1" applyBorder="1" applyAlignment="1">
      <alignment horizontal="right" wrapText="1"/>
    </xf>
    <xf numFmtId="0" fontId="60" fillId="61" borderId="111" xfId="0" applyFont="1" applyFill="1" applyBorder="1" applyAlignment="1">
      <alignment wrapText="1"/>
    </xf>
    <xf numFmtId="0" fontId="60" fillId="34" borderId="111" xfId="0" applyFont="1" applyFill="1" applyBorder="1" applyAlignment="1">
      <alignment wrapText="1"/>
    </xf>
    <xf numFmtId="0" fontId="54" fillId="60" borderId="111" xfId="0" applyFont="1" applyFill="1" applyBorder="1" applyAlignment="1">
      <alignment horizontal="right" wrapText="1"/>
    </xf>
    <xf numFmtId="0" fontId="54" fillId="0" borderId="111" xfId="0" applyFont="1" applyBorder="1" applyAlignment="1">
      <alignment horizontal="right" wrapText="1"/>
    </xf>
    <xf numFmtId="182" fontId="56" fillId="61" borderId="111" xfId="0" applyNumberFormat="1" applyFont="1" applyFill="1" applyBorder="1" applyAlignment="1">
      <alignment horizontal="right" wrapText="1"/>
    </xf>
    <xf numFmtId="0" fontId="54" fillId="31" borderId="111" xfId="0" applyFont="1" applyFill="1" applyBorder="1" applyAlignment="1">
      <alignment wrapText="1"/>
    </xf>
    <xf numFmtId="0" fontId="54" fillId="31" borderId="112" xfId="0" applyFont="1" applyFill="1" applyBorder="1" applyAlignment="1">
      <alignment wrapText="1"/>
    </xf>
    <xf numFmtId="0" fontId="54" fillId="31" borderId="110" xfId="0" applyFont="1" applyFill="1" applyBorder="1" applyAlignment="1">
      <alignment wrapText="1"/>
    </xf>
    <xf numFmtId="0" fontId="0" fillId="31" borderId="0" xfId="0" applyFill="1"/>
    <xf numFmtId="0" fontId="63" fillId="0" borderId="0" xfId="0" applyFont="1"/>
    <xf numFmtId="0" fontId="64" fillId="62" borderId="119" xfId="0" applyFont="1" applyFill="1" applyBorder="1" applyAlignment="1">
      <alignment horizontal="center" vertical="center" wrapText="1"/>
    </xf>
    <xf numFmtId="0" fontId="64" fillId="62" borderId="120" xfId="0" applyFont="1" applyFill="1" applyBorder="1" applyAlignment="1">
      <alignment horizontal="center" vertical="center" wrapText="1"/>
    </xf>
    <xf numFmtId="0" fontId="64" fillId="62" borderId="121" xfId="0" applyFont="1" applyFill="1" applyBorder="1" applyAlignment="1">
      <alignment horizontal="center" vertical="center" wrapText="1"/>
    </xf>
    <xf numFmtId="0" fontId="65" fillId="63" borderId="119" xfId="0" applyFont="1" applyFill="1" applyBorder="1" applyAlignment="1">
      <alignment horizontal="center" vertical="center"/>
    </xf>
    <xf numFmtId="0" fontId="65" fillId="63" borderId="120" xfId="0" applyFont="1" applyFill="1" applyBorder="1" applyAlignment="1">
      <alignment horizontal="center" vertical="center"/>
    </xf>
    <xf numFmtId="0" fontId="65" fillId="63" borderId="120" xfId="0" applyFont="1" applyFill="1" applyBorder="1" applyAlignment="1">
      <alignment horizontal="left" vertical="center"/>
    </xf>
    <xf numFmtId="187" fontId="65" fillId="63" borderId="120" xfId="0" applyNumberFormat="1" applyFont="1" applyFill="1" applyBorder="1" applyAlignment="1">
      <alignment horizontal="right" vertical="center"/>
    </xf>
    <xf numFmtId="1" fontId="65" fillId="63" borderId="120" xfId="0" applyNumberFormat="1" applyFont="1" applyFill="1" applyBorder="1" applyAlignment="1">
      <alignment horizontal="center" vertical="center"/>
    </xf>
    <xf numFmtId="187" fontId="67" fillId="64" borderId="120" xfId="0" applyNumberFormat="1" applyFont="1" applyFill="1" applyBorder="1" applyAlignment="1">
      <alignment horizontal="right" vertical="center"/>
    </xf>
    <xf numFmtId="187" fontId="66" fillId="63" borderId="120" xfId="0" applyNumberFormat="1" applyFont="1" applyFill="1" applyBorder="1" applyAlignment="1">
      <alignment horizontal="right" vertical="center"/>
    </xf>
    <xf numFmtId="187" fontId="65" fillId="63" borderId="121" xfId="0" applyNumberFormat="1" applyFont="1" applyFill="1" applyBorder="1" applyAlignment="1">
      <alignment horizontal="right" vertical="center"/>
    </xf>
    <xf numFmtId="0" fontId="65" fillId="31" borderId="119" xfId="0" applyFont="1" applyFill="1" applyBorder="1" applyAlignment="1">
      <alignment horizontal="center" vertical="center"/>
    </xf>
    <xf numFmtId="0" fontId="65" fillId="31" borderId="120" xfId="0" applyFont="1" applyFill="1" applyBorder="1" applyAlignment="1">
      <alignment horizontal="center" vertical="center"/>
    </xf>
    <xf numFmtId="0" fontId="65" fillId="31" borderId="120" xfId="0" applyFont="1" applyFill="1" applyBorder="1" applyAlignment="1">
      <alignment horizontal="left" vertical="center"/>
    </xf>
    <xf numFmtId="187" fontId="65" fillId="31" borderId="120" xfId="0" applyNumberFormat="1" applyFont="1" applyFill="1" applyBorder="1" applyAlignment="1">
      <alignment horizontal="right" vertical="center"/>
    </xf>
    <xf numFmtId="1" fontId="65" fillId="31" borderId="120" xfId="0" applyNumberFormat="1" applyFont="1" applyFill="1" applyBorder="1" applyAlignment="1">
      <alignment horizontal="center" vertical="center"/>
    </xf>
    <xf numFmtId="187" fontId="66" fillId="31" borderId="120" xfId="0" applyNumberFormat="1" applyFont="1" applyFill="1" applyBorder="1" applyAlignment="1">
      <alignment horizontal="right" vertical="center"/>
    </xf>
    <xf numFmtId="187" fontId="65" fillId="31" borderId="121" xfId="0" applyNumberFormat="1" applyFont="1" applyFill="1" applyBorder="1" applyAlignment="1">
      <alignment horizontal="right" vertical="center"/>
    </xf>
    <xf numFmtId="187" fontId="58" fillId="38" borderId="123" xfId="0" applyNumberFormat="1" applyFont="1" applyFill="1" applyBorder="1" applyAlignment="1">
      <alignment horizontal="right" vertical="center"/>
    </xf>
    <xf numFmtId="187" fontId="58" fillId="38" borderId="124" xfId="0" applyNumberFormat="1" applyFont="1" applyFill="1" applyBorder="1" applyAlignment="1">
      <alignment horizontal="right" vertical="center"/>
    </xf>
    <xf numFmtId="0" fontId="69" fillId="0" borderId="0" xfId="0" applyFont="1"/>
    <xf numFmtId="0" fontId="70" fillId="59" borderId="0" xfId="0" applyFont="1" applyFill="1"/>
    <xf numFmtId="0" fontId="71" fillId="0" borderId="0" xfId="0" applyFont="1" applyAlignment="1">
      <alignment horizontal="right"/>
    </xf>
    <xf numFmtId="0" fontId="72" fillId="65" borderId="0" xfId="0" applyFont="1" applyFill="1" applyAlignment="1">
      <alignment horizontal="right"/>
    </xf>
    <xf numFmtId="182" fontId="71" fillId="0" borderId="0" xfId="0" applyNumberFormat="1" applyFont="1" applyAlignment="1">
      <alignment horizontal="right"/>
    </xf>
    <xf numFmtId="3" fontId="71" fillId="0" borderId="0" xfId="0" applyNumberFormat="1" applyFont="1" applyAlignment="1">
      <alignment horizontal="right"/>
    </xf>
    <xf numFmtId="189" fontId="71" fillId="0" borderId="0" xfId="0" applyNumberFormat="1" applyFont="1" applyAlignment="1">
      <alignment horizontal="right"/>
    </xf>
    <xf numFmtId="190" fontId="71" fillId="0" borderId="0" xfId="0" applyNumberFormat="1" applyFont="1" applyAlignment="1">
      <alignment horizontal="right"/>
    </xf>
    <xf numFmtId="189" fontId="73" fillId="34" borderId="0" xfId="0" applyNumberFormat="1" applyFont="1" applyFill="1" applyAlignment="1">
      <alignment horizontal="right"/>
    </xf>
    <xf numFmtId="0" fontId="74" fillId="39" borderId="0" xfId="0" applyFont="1" applyFill="1"/>
    <xf numFmtId="0" fontId="74" fillId="39" borderId="0" xfId="0" applyFont="1" applyFill="1" applyAlignment="1">
      <alignment horizontal="center"/>
    </xf>
    <xf numFmtId="0" fontId="74" fillId="39" borderId="0" xfId="0" applyFont="1" applyFill="1" applyAlignment="1">
      <alignment horizontal="right"/>
    </xf>
    <xf numFmtId="0" fontId="69" fillId="0" borderId="0" xfId="0" applyFont="1" applyAlignment="1">
      <alignment horizontal="center"/>
    </xf>
    <xf numFmtId="189" fontId="69" fillId="0" borderId="0" xfId="0" applyNumberFormat="1" applyFont="1"/>
    <xf numFmtId="189" fontId="69" fillId="0" borderId="0" xfId="0" applyNumberFormat="1" applyFont="1" applyAlignment="1">
      <alignment horizontal="right"/>
    </xf>
    <xf numFmtId="3" fontId="69" fillId="0" borderId="0" xfId="0" applyNumberFormat="1" applyFont="1"/>
    <xf numFmtId="3" fontId="69" fillId="0" borderId="0" xfId="0" applyNumberFormat="1" applyFont="1" applyAlignment="1">
      <alignment horizontal="right"/>
    </xf>
    <xf numFmtId="0" fontId="69" fillId="63" borderId="0" xfId="0" applyFont="1" applyFill="1" applyAlignment="1">
      <alignment horizontal="center"/>
    </xf>
    <xf numFmtId="0" fontId="69" fillId="63" borderId="0" xfId="0" applyFont="1" applyFill="1"/>
    <xf numFmtId="189" fontId="69" fillId="63" borderId="0" xfId="0" applyNumberFormat="1" applyFont="1" applyFill="1"/>
    <xf numFmtId="3" fontId="69" fillId="63" borderId="0" xfId="0" applyNumberFormat="1" applyFont="1" applyFill="1"/>
    <xf numFmtId="189" fontId="0" fillId="0" borderId="1" xfId="0" applyNumberFormat="1" applyBorder="1"/>
    <xf numFmtId="189" fontId="0" fillId="0" borderId="0" xfId="0" applyNumberFormat="1"/>
    <xf numFmtId="0" fontId="10" fillId="38" borderId="1" xfId="0" applyFont="1" applyFill="1" applyBorder="1"/>
    <xf numFmtId="0" fontId="74" fillId="38" borderId="1" xfId="0" applyFont="1" applyFill="1" applyBorder="1" applyAlignment="1">
      <alignment horizontal="center" vertical="center"/>
    </xf>
    <xf numFmtId="0" fontId="63" fillId="64" borderId="1" xfId="0" applyFont="1" applyFill="1" applyBorder="1"/>
    <xf numFmtId="189" fontId="75" fillId="0" borderId="1" xfId="0" applyNumberFormat="1" applyFont="1" applyBorder="1" applyAlignment="1">
      <alignment horizontal="right"/>
    </xf>
    <xf numFmtId="0" fontId="74" fillId="38" borderId="2" xfId="0" applyFont="1" applyFill="1" applyBorder="1" applyAlignment="1">
      <alignment horizontal="center" vertical="center"/>
    </xf>
    <xf numFmtId="189" fontId="70" fillId="0" borderId="0" xfId="0" applyNumberFormat="1" applyFont="1"/>
    <xf numFmtId="0" fontId="74" fillId="38" borderId="2" xfId="0" applyFont="1" applyFill="1" applyBorder="1"/>
    <xf numFmtId="189" fontId="74" fillId="38" borderId="0" xfId="0" applyNumberFormat="1" applyFont="1" applyFill="1"/>
    <xf numFmtId="189" fontId="76" fillId="43" borderId="57" xfId="0" applyNumberFormat="1" applyFont="1" applyFill="1" applyBorder="1" applyAlignment="1">
      <alignment horizontal="center"/>
    </xf>
    <xf numFmtId="0" fontId="76" fillId="43" borderId="57" xfId="0" applyFont="1" applyFill="1" applyBorder="1" applyAlignment="1">
      <alignment horizontal="center"/>
    </xf>
    <xf numFmtId="1" fontId="76" fillId="43" borderId="57" xfId="0" applyNumberFormat="1" applyFont="1" applyFill="1" applyBorder="1" applyAlignment="1">
      <alignment horizontal="center"/>
    </xf>
    <xf numFmtId="182" fontId="76" fillId="43" borderId="57" xfId="0" applyNumberFormat="1" applyFont="1" applyFill="1" applyBorder="1" applyAlignment="1">
      <alignment horizontal="center"/>
    </xf>
    <xf numFmtId="189" fontId="10" fillId="38" borderId="0" xfId="0" applyNumberFormat="1" applyFont="1" applyFill="1"/>
    <xf numFmtId="0" fontId="14" fillId="30" borderId="0" xfId="0" applyFont="1" applyFill="1" applyAlignment="1">
      <alignment horizontal="center"/>
    </xf>
    <xf numFmtId="189" fontId="77" fillId="31" borderId="0" xfId="0" applyNumberFormat="1" applyFont="1" applyFill="1"/>
    <xf numFmtId="189" fontId="69" fillId="63" borderId="0" xfId="0" applyNumberFormat="1" applyFont="1" applyFill="1" applyAlignment="1">
      <alignment horizontal="right"/>
    </xf>
    <xf numFmtId="0" fontId="74" fillId="62" borderId="1" xfId="0" applyFont="1" applyFill="1" applyBorder="1" applyAlignment="1">
      <alignment horizontal="center" vertical="center" wrapText="1"/>
    </xf>
    <xf numFmtId="0" fontId="10" fillId="38" borderId="0" xfId="0" applyFont="1" applyFill="1"/>
    <xf numFmtId="0" fontId="69" fillId="0" borderId="1" xfId="0" applyFont="1" applyBorder="1" applyAlignment="1">
      <alignment horizontal="center"/>
    </xf>
    <xf numFmtId="0" fontId="10" fillId="38" borderId="0" xfId="0" applyFont="1" applyFill="1" applyAlignment="1">
      <alignment horizontal="center"/>
    </xf>
    <xf numFmtId="0" fontId="69" fillId="63" borderId="1" xfId="0" applyFont="1" applyFill="1" applyBorder="1" applyAlignment="1">
      <alignment horizontal="center" vertical="center"/>
    </xf>
    <xf numFmtId="0" fontId="69" fillId="63" borderId="1" xfId="0" applyFont="1" applyFill="1" applyBorder="1" applyAlignment="1">
      <alignment horizontal="left" vertical="center"/>
    </xf>
    <xf numFmtId="1" fontId="69" fillId="63" borderId="1" xfId="0" applyNumberFormat="1" applyFont="1" applyFill="1" applyBorder="1" applyAlignment="1">
      <alignment horizontal="center" vertical="center"/>
    </xf>
    <xf numFmtId="167" fontId="69" fillId="63" borderId="1" xfId="0" applyNumberFormat="1" applyFont="1" applyFill="1" applyBorder="1" applyAlignment="1">
      <alignment horizontal="center" vertical="center"/>
    </xf>
    <xf numFmtId="0" fontId="69" fillId="63" borderId="1" xfId="0" applyFont="1" applyFill="1" applyBorder="1" applyAlignment="1">
      <alignment vertical="center"/>
    </xf>
    <xf numFmtId="0" fontId="69" fillId="31" borderId="1" xfId="0" applyFont="1" applyFill="1" applyBorder="1" applyAlignment="1">
      <alignment horizontal="center" vertical="center"/>
    </xf>
    <xf numFmtId="0" fontId="69" fillId="31" borderId="1" xfId="0" applyFont="1" applyFill="1" applyBorder="1" applyAlignment="1">
      <alignment horizontal="left" vertical="center"/>
    </xf>
    <xf numFmtId="1" fontId="69" fillId="31" borderId="1" xfId="0" applyNumberFormat="1" applyFont="1" applyFill="1" applyBorder="1" applyAlignment="1">
      <alignment horizontal="center" vertical="center"/>
    </xf>
    <xf numFmtId="167" fontId="69" fillId="31" borderId="1" xfId="0" applyNumberFormat="1" applyFont="1" applyFill="1" applyBorder="1" applyAlignment="1">
      <alignment horizontal="center" vertical="center"/>
    </xf>
    <xf numFmtId="0" fontId="69" fillId="31" borderId="1" xfId="0" applyFont="1" applyFill="1" applyBorder="1" applyAlignment="1">
      <alignment vertical="center"/>
    </xf>
    <xf numFmtId="1" fontId="70" fillId="64" borderId="1" xfId="0" applyNumberFormat="1" applyFont="1" applyFill="1" applyBorder="1" applyAlignment="1">
      <alignment horizontal="center" vertical="center"/>
    </xf>
    <xf numFmtId="0" fontId="70" fillId="63" borderId="1" xfId="0" applyFont="1" applyFill="1" applyBorder="1" applyAlignment="1">
      <alignment vertical="center"/>
    </xf>
    <xf numFmtId="0" fontId="70" fillId="31" borderId="1" xfId="0" applyFont="1" applyFill="1" applyBorder="1" applyAlignment="1">
      <alignment vertical="center"/>
    </xf>
    <xf numFmtId="1" fontId="10" fillId="38" borderId="1" xfId="0" applyNumberFormat="1" applyFont="1" applyFill="1" applyBorder="1" applyAlignment="1">
      <alignment horizontal="center"/>
    </xf>
    <xf numFmtId="167" fontId="10" fillId="38" borderId="1" xfId="0" applyNumberFormat="1" applyFont="1" applyFill="1" applyBorder="1" applyAlignment="1">
      <alignment horizontal="center"/>
    </xf>
    <xf numFmtId="0" fontId="74" fillId="62" borderId="1" xfId="0" applyFont="1" applyFill="1" applyBorder="1" applyAlignment="1">
      <alignment horizontal="center" wrapText="1"/>
    </xf>
    <xf numFmtId="167" fontId="10" fillId="38" borderId="1" xfId="0" applyNumberFormat="1" applyFont="1" applyFill="1" applyBorder="1"/>
    <xf numFmtId="1" fontId="10" fillId="38" borderId="1" xfId="0" applyNumberFormat="1" applyFont="1" applyFill="1" applyBorder="1"/>
    <xf numFmtId="0" fontId="70" fillId="0" borderId="0" xfId="0" applyFont="1"/>
    <xf numFmtId="0" fontId="70" fillId="34" borderId="0" xfId="0" applyFont="1" applyFill="1"/>
    <xf numFmtId="0" fontId="73" fillId="34" borderId="0" xfId="0" applyFont="1" applyFill="1" applyAlignment="1">
      <alignment horizontal="right"/>
    </xf>
    <xf numFmtId="0" fontId="70" fillId="65" borderId="0" xfId="0" applyFont="1" applyFill="1"/>
    <xf numFmtId="167" fontId="71" fillId="0" borderId="0" xfId="0" applyNumberFormat="1" applyFont="1" applyAlignment="1">
      <alignment horizontal="right"/>
    </xf>
    <xf numFmtId="0" fontId="78" fillId="65" borderId="0" xfId="0" applyFont="1" applyFill="1"/>
    <xf numFmtId="167" fontId="69" fillId="0" borderId="0" xfId="0" applyNumberFormat="1" applyFont="1" applyAlignment="1">
      <alignment horizontal="right"/>
    </xf>
    <xf numFmtId="0" fontId="70" fillId="63" borderId="0" xfId="0" applyFont="1" applyFill="1" applyAlignment="1">
      <alignment horizontal="center"/>
    </xf>
    <xf numFmtId="167" fontId="69" fillId="63" borderId="0" xfId="0" applyNumberFormat="1" applyFont="1" applyFill="1" applyAlignment="1">
      <alignment horizontal="center"/>
    </xf>
    <xf numFmtId="0" fontId="70" fillId="64" borderId="0" xfId="0" applyFont="1" applyFill="1" applyAlignment="1">
      <alignment horizontal="center"/>
    </xf>
    <xf numFmtId="0" fontId="69" fillId="64" borderId="0" xfId="0" applyFont="1" applyFill="1"/>
    <xf numFmtId="167" fontId="69" fillId="64" borderId="0" xfId="0" applyNumberFormat="1" applyFont="1" applyFill="1" applyAlignment="1">
      <alignment horizontal="center"/>
    </xf>
    <xf numFmtId="1" fontId="69" fillId="64" borderId="0" xfId="0" applyNumberFormat="1" applyFont="1" applyFill="1" applyAlignment="1">
      <alignment horizontal="center"/>
    </xf>
    <xf numFmtId="0" fontId="69" fillId="64" borderId="0" xfId="0" applyFont="1" applyFill="1" applyAlignment="1">
      <alignment horizontal="center"/>
    </xf>
    <xf numFmtId="0" fontId="10" fillId="29" borderId="0" xfId="0" applyFont="1" applyFill="1"/>
    <xf numFmtId="183" fontId="10" fillId="29" borderId="0" xfId="0" applyNumberFormat="1" applyFont="1" applyFill="1"/>
    <xf numFmtId="0" fontId="0" fillId="0" borderId="1" xfId="0" applyBorder="1" applyAlignment="1">
      <alignment horizontal="right"/>
    </xf>
    <xf numFmtId="0" fontId="79" fillId="62" borderId="0" xfId="0" applyFont="1" applyFill="1" applyAlignment="1">
      <alignment horizontal="center"/>
    </xf>
    <xf numFmtId="0" fontId="80" fillId="0" borderId="0" xfId="0" applyFont="1"/>
    <xf numFmtId="0" fontId="80" fillId="0" borderId="0" xfId="0" applyFont="1" applyAlignment="1">
      <alignment horizontal="center"/>
    </xf>
    <xf numFmtId="0" fontId="82" fillId="0" borderId="0" xfId="0" applyFont="1"/>
    <xf numFmtId="0" fontId="87" fillId="47" borderId="132" xfId="0" applyFont="1" applyFill="1" applyBorder="1" applyAlignment="1">
      <alignment horizontal="center" vertical="center"/>
    </xf>
    <xf numFmtId="0" fontId="87" fillId="47" borderId="126" xfId="0" applyFont="1" applyFill="1" applyBorder="1" applyAlignment="1">
      <alignment horizontal="center" vertical="center"/>
    </xf>
    <xf numFmtId="0" fontId="87" fillId="47" borderId="3" xfId="0" applyFont="1" applyFill="1" applyBorder="1" applyAlignment="1">
      <alignment horizontal="center" vertical="center"/>
    </xf>
    <xf numFmtId="0" fontId="87" fillId="47" borderId="131" xfId="0" applyFont="1" applyFill="1" applyBorder="1" applyAlignment="1">
      <alignment horizontal="center" vertical="center"/>
    </xf>
    <xf numFmtId="0" fontId="87" fillId="47" borderId="128" xfId="0" applyFont="1" applyFill="1" applyBorder="1" applyAlignment="1">
      <alignment horizontal="center" vertical="center"/>
    </xf>
    <xf numFmtId="0" fontId="87" fillId="47" borderId="129" xfId="0" applyFont="1" applyFill="1" applyBorder="1" applyAlignment="1">
      <alignment horizontal="center" vertical="center"/>
    </xf>
    <xf numFmtId="0" fontId="87" fillId="47" borderId="127" xfId="0" applyFont="1" applyFill="1" applyBorder="1" applyAlignment="1">
      <alignment horizontal="center" vertical="center"/>
    </xf>
    <xf numFmtId="0" fontId="87" fillId="47" borderId="1" xfId="0" applyFont="1" applyFill="1" applyBorder="1" applyAlignment="1">
      <alignment horizontal="center" vertical="center"/>
    </xf>
    <xf numFmtId="0" fontId="87" fillId="47" borderId="130" xfId="0" applyFont="1" applyFill="1" applyBorder="1" applyAlignment="1">
      <alignment horizontal="center" vertical="center"/>
    </xf>
    <xf numFmtId="0" fontId="88" fillId="63" borderId="1" xfId="0" applyFont="1" applyFill="1" applyBorder="1" applyAlignment="1">
      <alignment horizontal="center" vertical="center"/>
    </xf>
    <xf numFmtId="1" fontId="88" fillId="63" borderId="1" xfId="0" applyNumberFormat="1" applyFont="1" applyFill="1" applyBorder="1" applyAlignment="1">
      <alignment horizontal="center" vertical="center"/>
    </xf>
    <xf numFmtId="167" fontId="88" fillId="63" borderId="1" xfId="0" applyNumberFormat="1" applyFont="1" applyFill="1" applyBorder="1" applyAlignment="1">
      <alignment horizontal="center" vertical="center"/>
    </xf>
    <xf numFmtId="0" fontId="88" fillId="63" borderId="1" xfId="0" applyFont="1" applyFill="1" applyBorder="1" applyAlignment="1">
      <alignment vertical="center"/>
    </xf>
    <xf numFmtId="0" fontId="88" fillId="31" borderId="1" xfId="0" applyFont="1" applyFill="1" applyBorder="1" applyAlignment="1">
      <alignment horizontal="center" vertical="center"/>
    </xf>
    <xf numFmtId="1" fontId="88" fillId="31" borderId="1" xfId="0" applyNumberFormat="1" applyFont="1" applyFill="1" applyBorder="1" applyAlignment="1">
      <alignment horizontal="center" vertical="center"/>
    </xf>
    <xf numFmtId="167" fontId="88" fillId="31" borderId="1" xfId="0" applyNumberFormat="1" applyFont="1" applyFill="1" applyBorder="1" applyAlignment="1">
      <alignment horizontal="center" vertical="center"/>
    </xf>
    <xf numFmtId="0" fontId="88" fillId="31" borderId="1" xfId="0" applyFont="1" applyFill="1" applyBorder="1" applyAlignment="1">
      <alignment vertical="center"/>
    </xf>
    <xf numFmtId="0" fontId="88" fillId="63" borderId="1" xfId="0" applyFont="1" applyFill="1" applyBorder="1" applyAlignment="1">
      <alignment horizontal="left" vertical="center"/>
    </xf>
    <xf numFmtId="0" fontId="88" fillId="31" borderId="1" xfId="0" applyFont="1" applyFill="1" applyBorder="1" applyAlignment="1">
      <alignment horizontal="left" vertical="center"/>
    </xf>
    <xf numFmtId="1" fontId="89" fillId="64" borderId="1" xfId="0" applyNumberFormat="1" applyFont="1" applyFill="1" applyBorder="1" applyAlignment="1">
      <alignment horizontal="center" vertical="center"/>
    </xf>
    <xf numFmtId="0" fontId="89" fillId="63" borderId="1" xfId="0" applyFont="1" applyFill="1" applyBorder="1" applyAlignment="1">
      <alignment vertical="center"/>
    </xf>
    <xf numFmtId="0" fontId="89" fillId="31" borderId="1" xfId="0" applyFont="1" applyFill="1" applyBorder="1" applyAlignment="1">
      <alignment vertical="center"/>
    </xf>
    <xf numFmtId="0" fontId="90" fillId="62" borderId="1" xfId="0" applyFont="1" applyFill="1" applyBorder="1" applyAlignment="1">
      <alignment horizontal="center" vertical="center" wrapText="1"/>
    </xf>
    <xf numFmtId="3" fontId="0" fillId="16" borderId="1" xfId="0" applyNumberFormat="1" applyFill="1" applyBorder="1" applyAlignment="1">
      <alignment horizontal="center"/>
    </xf>
    <xf numFmtId="3" fontId="0" fillId="0" borderId="1" xfId="0" applyNumberFormat="1" applyBorder="1"/>
    <xf numFmtId="3" fontId="0" fillId="0" borderId="0" xfId="0" applyNumberFormat="1"/>
    <xf numFmtId="3" fontId="0" fillId="23" borderId="1" xfId="0" applyNumberFormat="1" applyFill="1" applyBorder="1"/>
    <xf numFmtId="3" fontId="0" fillId="22" borderId="1" xfId="0" applyNumberFormat="1" applyFill="1" applyBorder="1"/>
    <xf numFmtId="0" fontId="91" fillId="0" borderId="0" xfId="0" applyFont="1"/>
    <xf numFmtId="0" fontId="92" fillId="67" borderId="0" xfId="0" applyFont="1" applyFill="1" applyAlignment="1">
      <alignment horizontal="center"/>
    </xf>
    <xf numFmtId="0" fontId="18" fillId="44" borderId="0" xfId="0" applyFont="1" applyFill="1" applyAlignment="1">
      <alignment horizontal="center" vertical="center"/>
    </xf>
    <xf numFmtId="0" fontId="19" fillId="68" borderId="0" xfId="0" applyFont="1" applyFill="1" applyAlignment="1">
      <alignment horizontal="center" vertical="center"/>
    </xf>
    <xf numFmtId="0" fontId="0" fillId="16" borderId="5" xfId="0" applyFill="1" applyBorder="1" applyAlignment="1">
      <alignment horizontal="center"/>
    </xf>
    <xf numFmtId="3" fontId="0" fillId="0" borderId="5" xfId="0" applyNumberFormat="1" applyBorder="1" applyAlignment="1">
      <alignment horizontal="center"/>
    </xf>
    <xf numFmtId="0" fontId="0" fillId="16" borderId="12" xfId="0" applyFill="1" applyBorder="1" applyAlignment="1">
      <alignment horizontal="center"/>
    </xf>
    <xf numFmtId="0" fontId="0" fillId="0" borderId="12" xfId="0" applyBorder="1"/>
    <xf numFmtId="0" fontId="4" fillId="31" borderId="12" xfId="0" applyFont="1" applyFill="1" applyBorder="1" applyAlignment="1">
      <alignment horizontal="center"/>
    </xf>
    <xf numFmtId="0" fontId="0" fillId="31" borderId="12" xfId="0" applyFill="1" applyBorder="1"/>
    <xf numFmtId="0" fontId="69" fillId="0" borderId="0" xfId="0" applyFont="1" applyAlignment="1">
      <alignment wrapText="1"/>
    </xf>
    <xf numFmtId="0" fontId="36" fillId="62" borderId="0" xfId="0" applyFont="1" applyFill="1" applyAlignment="1">
      <alignment horizontal="center"/>
    </xf>
    <xf numFmtId="0" fontId="10" fillId="38" borderId="0" xfId="0" applyFont="1" applyFill="1" applyAlignment="1">
      <alignment horizontal="center"/>
    </xf>
    <xf numFmtId="0" fontId="36" fillId="66" borderId="0" xfId="0" applyFont="1" applyFill="1"/>
    <xf numFmtId="0" fontId="36" fillId="38" borderId="0" xfId="0" applyFont="1" applyFill="1" applyAlignment="1">
      <alignment wrapText="1"/>
    </xf>
    <xf numFmtId="0" fontId="68" fillId="38" borderId="5" xfId="0" applyFont="1" applyFill="1" applyBorder="1" applyAlignment="1">
      <alignment horizontal="center" vertical="center"/>
    </xf>
    <xf numFmtId="0" fontId="68" fillId="38" borderId="20" xfId="0" applyFont="1" applyFill="1" applyBorder="1" applyAlignment="1">
      <alignment horizontal="center" vertical="center"/>
    </xf>
    <xf numFmtId="0" fontId="68" fillId="38" borderId="12" xfId="0" applyFont="1" applyFill="1" applyBorder="1" applyAlignment="1">
      <alignment horizontal="center" vertical="center"/>
    </xf>
    <xf numFmtId="0" fontId="12" fillId="38" borderId="0" xfId="0" applyFont="1" applyFill="1" applyAlignment="1">
      <alignment horizontal="center"/>
    </xf>
    <xf numFmtId="0" fontId="36" fillId="62" borderId="0" xfId="0" applyFont="1" applyFill="1"/>
    <xf numFmtId="172" fontId="0" fillId="3" borderId="6" xfId="0" applyNumberFormat="1" applyFill="1" applyBorder="1" applyAlignment="1">
      <alignment horizontal="center" vertical="center"/>
    </xf>
    <xf numFmtId="172" fontId="0" fillId="3" borderId="7" xfId="0" applyNumberFormat="1" applyFill="1" applyBorder="1" applyAlignment="1">
      <alignment horizontal="center" vertical="center"/>
    </xf>
    <xf numFmtId="172" fontId="0" fillId="3" borderId="8" xfId="0" applyNumberFormat="1" applyFill="1" applyBorder="1" applyAlignment="1">
      <alignment horizontal="center" vertical="center"/>
    </xf>
    <xf numFmtId="172" fontId="0" fillId="3" borderId="9" xfId="0" applyNumberFormat="1" applyFill="1" applyBorder="1" applyAlignment="1">
      <alignment horizontal="center" vertical="center"/>
    </xf>
    <xf numFmtId="172" fontId="0" fillId="3" borderId="10" xfId="0" applyNumberFormat="1" applyFill="1" applyBorder="1" applyAlignment="1">
      <alignment horizontal="center" vertical="center"/>
    </xf>
    <xf numFmtId="172" fontId="0" fillId="3" borderId="11" xfId="0" applyNumberFormat="1" applyFill="1" applyBorder="1" applyAlignment="1">
      <alignment horizontal="center" vertical="center"/>
    </xf>
    <xf numFmtId="172" fontId="0" fillId="4" borderId="5" xfId="0" applyNumberFormat="1" applyFill="1" applyBorder="1" applyAlignment="1">
      <alignment horizontal="center"/>
    </xf>
    <xf numFmtId="172" fontId="0" fillId="4" borderId="12" xfId="0" applyNumberFormat="1" applyFill="1" applyBorder="1" applyAlignment="1">
      <alignment horizontal="center"/>
    </xf>
    <xf numFmtId="0" fontId="0" fillId="7" borderId="1" xfId="0" applyFill="1" applyBorder="1" applyAlignment="1">
      <alignment horizontal="center"/>
    </xf>
    <xf numFmtId="0" fontId="0" fillId="7" borderId="5" xfId="0" applyFill="1" applyBorder="1" applyAlignment="1">
      <alignment horizontal="center"/>
    </xf>
    <xf numFmtId="0" fontId="0" fillId="13" borderId="6" xfId="0" applyFill="1" applyBorder="1" applyAlignment="1">
      <alignment horizontal="center" vertical="center"/>
    </xf>
    <xf numFmtId="0" fontId="0" fillId="13" borderId="7" xfId="0" applyFill="1" applyBorder="1" applyAlignment="1">
      <alignment horizontal="center" vertical="center"/>
    </xf>
    <xf numFmtId="0" fontId="0" fillId="13" borderId="8" xfId="0" applyFill="1" applyBorder="1" applyAlignment="1">
      <alignment horizontal="center" vertical="center"/>
    </xf>
    <xf numFmtId="0" fontId="0" fillId="13" borderId="9" xfId="0" applyFill="1" applyBorder="1" applyAlignment="1">
      <alignment horizontal="center" vertical="center"/>
    </xf>
    <xf numFmtId="0" fontId="0" fillId="13" borderId="10" xfId="0" applyFill="1" applyBorder="1" applyAlignment="1">
      <alignment horizontal="center" vertical="center"/>
    </xf>
    <xf numFmtId="0" fontId="0" fillId="13" borderId="11" xfId="0" applyFill="1" applyBorder="1" applyAlignment="1">
      <alignment horizontal="center" vertical="center"/>
    </xf>
    <xf numFmtId="0" fontId="2" fillId="11" borderId="1" xfId="0" applyFont="1" applyFill="1" applyBorder="1" applyAlignment="1">
      <alignment horizontal="center"/>
    </xf>
    <xf numFmtId="0" fontId="6" fillId="10" borderId="1" xfId="0" applyFont="1" applyFill="1" applyBorder="1" applyAlignment="1">
      <alignment horizontal="center" vertical="center"/>
    </xf>
    <xf numFmtId="0" fontId="34" fillId="29" borderId="23" xfId="0" applyFont="1" applyFill="1" applyBorder="1" applyAlignment="1">
      <alignment horizontal="center" vertical="center" wrapText="1"/>
    </xf>
    <xf numFmtId="0" fontId="6" fillId="16" borderId="1" xfId="0" applyFont="1" applyFill="1" applyBorder="1" applyAlignment="1">
      <alignment horizontal="center"/>
    </xf>
    <xf numFmtId="0" fontId="6" fillId="5" borderId="1" xfId="0" applyFont="1" applyFill="1" applyBorder="1" applyAlignment="1">
      <alignment horizontal="center"/>
    </xf>
    <xf numFmtId="0" fontId="6" fillId="9" borderId="1" xfId="0" applyFont="1" applyFill="1" applyBorder="1" applyAlignment="1">
      <alignment horizontal="center"/>
    </xf>
    <xf numFmtId="0" fontId="2" fillId="15" borderId="1" xfId="0" applyFont="1" applyFill="1" applyBorder="1" applyAlignment="1">
      <alignment horizontal="center"/>
    </xf>
    <xf numFmtId="0" fontId="12" fillId="29" borderId="23" xfId="0" applyFont="1" applyFill="1" applyBorder="1" applyAlignment="1">
      <alignment horizontal="center"/>
    </xf>
    <xf numFmtId="0" fontId="50" fillId="38" borderId="116" xfId="0" applyFont="1" applyFill="1" applyBorder="1" applyAlignment="1">
      <alignment horizontal="center" vertical="center"/>
    </xf>
    <xf numFmtId="0" fontId="50" fillId="38" borderId="117" xfId="0" applyFont="1" applyFill="1" applyBorder="1" applyAlignment="1">
      <alignment horizontal="center" vertical="center"/>
    </xf>
    <xf numFmtId="0" fontId="50" fillId="38" borderId="118" xfId="0" applyFont="1" applyFill="1" applyBorder="1" applyAlignment="1">
      <alignment horizontal="center" vertical="center"/>
    </xf>
    <xf numFmtId="0" fontId="58" fillId="38" borderId="122" xfId="0" applyFont="1" applyFill="1" applyBorder="1" applyAlignment="1">
      <alignment horizontal="left" vertical="center"/>
    </xf>
    <xf numFmtId="0" fontId="58" fillId="38" borderId="123" xfId="0" applyFont="1" applyFill="1" applyBorder="1" applyAlignment="1">
      <alignment horizontal="right" vertical="center"/>
    </xf>
    <xf numFmtId="0" fontId="28" fillId="38" borderId="25" xfId="0" applyFont="1" applyFill="1" applyBorder="1" applyAlignment="1">
      <alignment horizontal="center" vertical="center"/>
    </xf>
    <xf numFmtId="0" fontId="28" fillId="38" borderId="125" xfId="0" applyFont="1" applyFill="1" applyBorder="1" applyAlignment="1">
      <alignment horizontal="center" vertical="center"/>
    </xf>
    <xf numFmtId="0" fontId="7" fillId="13" borderId="9" xfId="0" applyFont="1" applyFill="1" applyBorder="1" applyAlignment="1">
      <alignment horizontal="center"/>
    </xf>
    <xf numFmtId="0" fontId="7" fillId="13" borderId="10" xfId="0" applyFont="1" applyFill="1" applyBorder="1" applyAlignment="1">
      <alignment horizontal="center"/>
    </xf>
    <xf numFmtId="176" fontId="4" fillId="19" borderId="14" xfId="0" applyNumberFormat="1" applyFont="1" applyFill="1" applyBorder="1" applyAlignment="1">
      <alignment horizontal="center" vertical="center" wrapText="1"/>
    </xf>
    <xf numFmtId="176" fontId="4" fillId="19" borderId="15" xfId="0" applyNumberFormat="1" applyFont="1" applyFill="1" applyBorder="1" applyAlignment="1">
      <alignment horizontal="center" vertical="center" wrapText="1"/>
    </xf>
    <xf numFmtId="0" fontId="4" fillId="0" borderId="18" xfId="0" applyFont="1" applyBorder="1" applyAlignment="1">
      <alignment horizontal="center" vertical="center"/>
    </xf>
    <xf numFmtId="0" fontId="8" fillId="0" borderId="19" xfId="0" applyFont="1" applyBorder="1" applyAlignment="1">
      <alignment horizontal="center" vertical="center"/>
    </xf>
    <xf numFmtId="0" fontId="8" fillId="0" borderId="17" xfId="0" applyFont="1" applyBorder="1" applyAlignment="1">
      <alignment horizontal="center"/>
    </xf>
    <xf numFmtId="0" fontId="0" fillId="0" borderId="17" xfId="0" applyBorder="1" applyAlignment="1">
      <alignment horizontal="center"/>
    </xf>
    <xf numFmtId="0" fontId="4" fillId="0" borderId="16" xfId="0" applyFont="1" applyBorder="1" applyAlignment="1">
      <alignment horizontal="center" vertical="center"/>
    </xf>
    <xf numFmtId="0" fontId="4" fillId="0" borderId="18" xfId="0" applyFont="1" applyBorder="1" applyAlignment="1">
      <alignment horizontal="center" vertical="center" wrapText="1"/>
    </xf>
    <xf numFmtId="0" fontId="8" fillId="0" borderId="19" xfId="0" applyFont="1" applyBorder="1" applyAlignment="1">
      <alignment horizontal="center" vertical="center" wrapText="1"/>
    </xf>
    <xf numFmtId="0" fontId="34" fillId="38" borderId="0" xfId="0" applyFont="1" applyFill="1" applyAlignment="1">
      <alignment horizontal="center"/>
    </xf>
    <xf numFmtId="0" fontId="6" fillId="10" borderId="1" xfId="0" applyFont="1" applyFill="1" applyBorder="1" applyAlignment="1">
      <alignment horizontal="center"/>
    </xf>
    <xf numFmtId="0" fontId="7" fillId="25" borderId="1" xfId="0" applyFont="1" applyFill="1" applyBorder="1" applyAlignment="1">
      <alignment horizontal="center" vertical="center"/>
    </xf>
    <xf numFmtId="0" fontId="0" fillId="24" borderId="0" xfId="0" applyFill="1" applyAlignment="1">
      <alignment horizontal="center"/>
    </xf>
    <xf numFmtId="0" fontId="0" fillId="27" borderId="20" xfId="0" applyFill="1" applyBorder="1" applyAlignment="1">
      <alignment horizontal="center"/>
    </xf>
    <xf numFmtId="0" fontId="15" fillId="33" borderId="30" xfId="0" applyFont="1" applyFill="1" applyBorder="1" applyAlignment="1">
      <alignment horizontal="center" vertical="center"/>
    </xf>
    <xf numFmtId="0" fontId="15" fillId="33" borderId="31" xfId="0" applyFont="1" applyFill="1" applyBorder="1" applyAlignment="1">
      <alignment horizontal="center" vertical="center"/>
    </xf>
    <xf numFmtId="0" fontId="15" fillId="33" borderId="32" xfId="0" applyFont="1" applyFill="1" applyBorder="1" applyAlignment="1">
      <alignment horizontal="center" vertical="center"/>
    </xf>
    <xf numFmtId="0" fontId="23" fillId="33" borderId="28" xfId="0" applyFont="1" applyFill="1" applyBorder="1" applyAlignment="1">
      <alignment horizontal="center" vertical="center"/>
    </xf>
    <xf numFmtId="0" fontId="17" fillId="33" borderId="0" xfId="0" applyFont="1" applyFill="1" applyAlignment="1">
      <alignment horizontal="center" vertical="center"/>
    </xf>
    <xf numFmtId="0" fontId="17" fillId="33" borderId="29" xfId="0" applyFont="1" applyFill="1" applyBorder="1" applyAlignment="1">
      <alignment horizontal="center" vertical="center"/>
    </xf>
    <xf numFmtId="0" fontId="24" fillId="33" borderId="28" xfId="0" applyFont="1" applyFill="1" applyBorder="1" applyAlignment="1">
      <alignment horizontal="center" vertical="center"/>
    </xf>
    <xf numFmtId="0" fontId="16" fillId="33" borderId="0" xfId="0" applyFont="1" applyFill="1" applyAlignment="1">
      <alignment horizontal="center" vertical="center"/>
    </xf>
    <xf numFmtId="0" fontId="16" fillId="33" borderId="29" xfId="0" applyFont="1" applyFill="1" applyBorder="1" applyAlignment="1">
      <alignment horizontal="center" vertical="center"/>
    </xf>
    <xf numFmtId="0" fontId="10" fillId="33" borderId="28" xfId="0" applyFont="1" applyFill="1" applyBorder="1" applyAlignment="1">
      <alignment horizontal="center"/>
    </xf>
    <xf numFmtId="0" fontId="10" fillId="33" borderId="0" xfId="0" applyFont="1" applyFill="1" applyAlignment="1">
      <alignment horizontal="center"/>
    </xf>
    <xf numFmtId="0" fontId="10" fillId="33" borderId="29" xfId="0" applyFont="1" applyFill="1" applyBorder="1" applyAlignment="1">
      <alignment horizontal="center"/>
    </xf>
    <xf numFmtId="0" fontId="20" fillId="34" borderId="28" xfId="0" applyFont="1" applyFill="1" applyBorder="1" applyAlignment="1">
      <alignment horizontal="center"/>
    </xf>
    <xf numFmtId="0" fontId="20" fillId="34" borderId="0" xfId="0" applyFont="1" applyFill="1" applyAlignment="1">
      <alignment horizontal="center"/>
    </xf>
    <xf numFmtId="0" fontId="20" fillId="34" borderId="0" xfId="0" applyFont="1" applyFill="1" applyAlignment="1">
      <alignment horizontal="right"/>
    </xf>
    <xf numFmtId="0" fontId="20" fillId="34" borderId="29" xfId="0" applyFont="1" applyFill="1" applyBorder="1" applyAlignment="1">
      <alignment horizontal="center"/>
    </xf>
    <xf numFmtId="0" fontId="20" fillId="34" borderId="29" xfId="0" applyFont="1" applyFill="1" applyBorder="1"/>
    <xf numFmtId="0" fontId="4" fillId="35" borderId="28" xfId="0" applyFont="1" applyFill="1" applyBorder="1"/>
    <xf numFmtId="0" fontId="4" fillId="35" borderId="0" xfId="0" applyFont="1" applyFill="1"/>
    <xf numFmtId="0" fontId="4" fillId="35" borderId="0" xfId="0" applyFont="1" applyFill="1" applyAlignment="1">
      <alignment horizontal="right"/>
    </xf>
    <xf numFmtId="0" fontId="4" fillId="35" borderId="29" xfId="0" applyFont="1" applyFill="1" applyBorder="1"/>
    <xf numFmtId="0" fontId="22" fillId="0" borderId="34" xfId="0" applyFont="1" applyBorder="1" applyAlignment="1">
      <alignment horizontal="center"/>
    </xf>
    <xf numFmtId="0" fontId="22" fillId="0" borderId="33" xfId="0" applyFont="1" applyBorder="1"/>
    <xf numFmtId="0" fontId="22" fillId="0" borderId="33" xfId="0" applyFont="1" applyBorder="1" applyAlignment="1">
      <alignment horizontal="center"/>
    </xf>
    <xf numFmtId="0" fontId="22" fillId="0" borderId="35" xfId="0" applyFont="1" applyBorder="1"/>
    <xf numFmtId="0" fontId="10" fillId="33" borderId="31" xfId="0" applyFont="1" applyFill="1" applyBorder="1" applyAlignment="1">
      <alignment horizontal="center" vertical="center"/>
    </xf>
    <xf numFmtId="0" fontId="10" fillId="33" borderId="32" xfId="0" applyFont="1" applyFill="1" applyBorder="1" applyAlignment="1">
      <alignment horizontal="center" vertical="center"/>
    </xf>
    <xf numFmtId="0" fontId="10" fillId="33" borderId="0" xfId="0" applyFont="1" applyFill="1" applyAlignment="1">
      <alignment horizontal="center" vertical="center"/>
    </xf>
    <xf numFmtId="0" fontId="10" fillId="33" borderId="29" xfId="0" applyFont="1" applyFill="1" applyBorder="1" applyAlignment="1">
      <alignment horizontal="center" vertical="center"/>
    </xf>
    <xf numFmtId="0" fontId="20" fillId="34" borderId="28" xfId="0" applyFont="1" applyFill="1" applyBorder="1"/>
    <xf numFmtId="0" fontId="20" fillId="34" borderId="0" xfId="0" applyFont="1" applyFill="1"/>
    <xf numFmtId="0" fontId="10" fillId="35" borderId="28" xfId="0" applyFont="1" applyFill="1" applyBorder="1" applyAlignment="1">
      <alignment horizontal="center"/>
    </xf>
    <xf numFmtId="0" fontId="10" fillId="35" borderId="0" xfId="0" applyFont="1" applyFill="1" applyAlignment="1">
      <alignment horizontal="center"/>
    </xf>
    <xf numFmtId="0" fontId="10" fillId="35" borderId="0" xfId="0" applyFont="1" applyFill="1" applyAlignment="1">
      <alignment horizontal="right"/>
    </xf>
    <xf numFmtId="0" fontId="10" fillId="35" borderId="29" xfId="0" applyFont="1" applyFill="1" applyBorder="1" applyAlignment="1">
      <alignment horizontal="center"/>
    </xf>
    <xf numFmtId="0" fontId="21" fillId="0" borderId="34" xfId="0" applyFont="1" applyBorder="1" applyAlignment="1">
      <alignment horizontal="center"/>
    </xf>
    <xf numFmtId="0" fontId="21" fillId="0" borderId="33" xfId="0" applyFont="1" applyBorder="1" applyAlignment="1">
      <alignment horizontal="center"/>
    </xf>
    <xf numFmtId="0" fontId="21" fillId="0" borderId="35" xfId="0" applyFont="1" applyBorder="1" applyAlignment="1">
      <alignment horizontal="center"/>
    </xf>
    <xf numFmtId="0" fontId="43" fillId="48" borderId="69" xfId="0" applyFont="1" applyFill="1" applyBorder="1" applyAlignment="1">
      <alignment horizontal="center"/>
    </xf>
    <xf numFmtId="0" fontId="25" fillId="50" borderId="83" xfId="0" applyFont="1" applyFill="1" applyBorder="1" applyAlignment="1">
      <alignment horizontal="center"/>
    </xf>
    <xf numFmtId="0" fontId="25" fillId="50" borderId="84" xfId="0" applyFont="1" applyFill="1" applyBorder="1" applyAlignment="1">
      <alignment horizontal="center"/>
    </xf>
    <xf numFmtId="185" fontId="47" fillId="40" borderId="91" xfId="0" applyNumberFormat="1" applyFont="1" applyFill="1" applyBorder="1" applyAlignment="1">
      <alignment horizontal="center"/>
    </xf>
    <xf numFmtId="185" fontId="47" fillId="40" borderId="92" xfId="0" applyNumberFormat="1" applyFont="1" applyFill="1" applyBorder="1" applyAlignment="1">
      <alignment horizontal="center"/>
    </xf>
    <xf numFmtId="0" fontId="25" fillId="51" borderId="85" xfId="0" applyFont="1" applyFill="1" applyBorder="1" applyAlignment="1">
      <alignment horizontal="center"/>
    </xf>
    <xf numFmtId="0" fontId="25" fillId="51" borderId="86" xfId="0" applyFont="1" applyFill="1" applyBorder="1" applyAlignment="1">
      <alignment horizontal="center"/>
    </xf>
    <xf numFmtId="185" fontId="47" fillId="54" borderId="93" xfId="0" applyNumberFormat="1" applyFont="1" applyFill="1" applyBorder="1" applyAlignment="1">
      <alignment horizontal="center"/>
    </xf>
    <xf numFmtId="185" fontId="47" fillId="54" borderId="94" xfId="0" applyNumberFormat="1" applyFont="1" applyFill="1" applyBorder="1" applyAlignment="1">
      <alignment horizontal="center"/>
    </xf>
    <xf numFmtId="0" fontId="25" fillId="52" borderId="87" xfId="0" applyFont="1" applyFill="1" applyBorder="1" applyAlignment="1">
      <alignment horizontal="center"/>
    </xf>
    <xf numFmtId="0" fontId="25" fillId="52" borderId="88" xfId="0" applyFont="1" applyFill="1" applyBorder="1" applyAlignment="1">
      <alignment horizontal="center"/>
    </xf>
    <xf numFmtId="186" fontId="47" fillId="46" borderId="95" xfId="0" applyNumberFormat="1" applyFont="1" applyFill="1" applyBorder="1" applyAlignment="1">
      <alignment horizontal="center"/>
    </xf>
    <xf numFmtId="186" fontId="47" fillId="46" borderId="96" xfId="0" applyNumberFormat="1" applyFont="1" applyFill="1" applyBorder="1" applyAlignment="1">
      <alignment horizontal="center"/>
    </xf>
    <xf numFmtId="0" fontId="25" fillId="53" borderId="89" xfId="0" applyFont="1" applyFill="1" applyBorder="1" applyAlignment="1">
      <alignment horizontal="center"/>
    </xf>
    <xf numFmtId="0" fontId="25" fillId="53" borderId="90" xfId="0" applyFont="1" applyFill="1" applyBorder="1" applyAlignment="1">
      <alignment horizontal="center"/>
    </xf>
    <xf numFmtId="185" fontId="47" fillId="55" borderId="97" xfId="0" applyNumberFormat="1" applyFont="1" applyFill="1" applyBorder="1" applyAlignment="1">
      <alignment horizontal="center"/>
    </xf>
    <xf numFmtId="185" fontId="47" fillId="55" borderId="98" xfId="0" applyNumberFormat="1" applyFont="1" applyFill="1" applyBorder="1" applyAlignment="1">
      <alignment horizontal="center"/>
    </xf>
    <xf numFmtId="0" fontId="49" fillId="49" borderId="81" xfId="0" applyFont="1" applyFill="1" applyBorder="1" applyAlignment="1">
      <alignment horizontal="center"/>
    </xf>
    <xf numFmtId="0" fontId="49" fillId="49" borderId="80" xfId="0" applyFont="1" applyFill="1" applyBorder="1" applyAlignment="1">
      <alignment horizontal="center"/>
    </xf>
    <xf numFmtId="0" fontId="49" fillId="49" borderId="82" xfId="0" applyFont="1" applyFill="1" applyBorder="1" applyAlignment="1">
      <alignment horizontal="center"/>
    </xf>
    <xf numFmtId="0" fontId="50" fillId="38" borderId="107" xfId="0" applyFont="1" applyFill="1" applyBorder="1" applyAlignment="1">
      <alignment horizontal="center" vertical="center" wrapText="1"/>
    </xf>
    <xf numFmtId="0" fontId="50" fillId="38" borderId="108" xfId="0" applyFont="1" applyFill="1" applyBorder="1" applyAlignment="1">
      <alignment horizontal="center" vertical="center" wrapText="1"/>
    </xf>
    <xf numFmtId="0" fontId="50" fillId="38" borderId="109" xfId="0" applyFont="1" applyFill="1" applyBorder="1" applyAlignment="1">
      <alignment horizontal="center" vertical="center" wrapText="1"/>
    </xf>
    <xf numFmtId="0" fontId="51" fillId="57" borderId="110" xfId="0" applyFont="1" applyFill="1" applyBorder="1" applyAlignment="1">
      <alignment horizontal="left" wrapText="1"/>
    </xf>
    <xf numFmtId="0" fontId="51" fillId="57" borderId="111" xfId="0" applyFont="1" applyFill="1" applyBorder="1" applyAlignment="1">
      <alignment horizontal="left" wrapText="1"/>
    </xf>
    <xf numFmtId="0" fontId="55" fillId="34" borderId="111" xfId="0" applyFont="1" applyFill="1" applyBorder="1" applyAlignment="1">
      <alignment horizontal="left" wrapText="1"/>
    </xf>
    <xf numFmtId="0" fontId="55" fillId="34" borderId="112" xfId="0" applyFont="1" applyFill="1" applyBorder="1" applyAlignment="1">
      <alignment horizontal="left" wrapText="1"/>
    </xf>
    <xf numFmtId="0" fontId="51" fillId="38" borderId="110" xfId="0" applyFont="1" applyFill="1" applyBorder="1" applyAlignment="1">
      <alignment horizontal="left" vertical="center" wrapText="1"/>
    </xf>
    <xf numFmtId="0" fontId="51" fillId="38" borderId="111" xfId="0" applyFont="1" applyFill="1" applyBorder="1" applyAlignment="1">
      <alignment horizontal="left" vertical="center" wrapText="1"/>
    </xf>
    <xf numFmtId="0" fontId="51" fillId="38" borderId="102" xfId="0" applyFont="1" applyFill="1" applyBorder="1" applyAlignment="1">
      <alignment horizontal="left"/>
    </xf>
    <xf numFmtId="0" fontId="51" fillId="38" borderId="103" xfId="0" applyFont="1" applyFill="1" applyBorder="1" applyAlignment="1">
      <alignment horizontal="center"/>
    </xf>
    <xf numFmtId="0" fontId="51" fillId="38" borderId="104" xfId="0" applyFont="1" applyFill="1" applyBorder="1" applyAlignment="1">
      <alignment horizontal="center"/>
    </xf>
    <xf numFmtId="0" fontId="51" fillId="56" borderId="105" xfId="0" applyFont="1" applyFill="1" applyBorder="1" applyAlignment="1">
      <alignment horizontal="center"/>
    </xf>
    <xf numFmtId="0" fontId="51" fillId="56" borderId="106" xfId="0" applyFont="1" applyFill="1" applyBorder="1" applyAlignment="1">
      <alignment horizontal="center"/>
    </xf>
    <xf numFmtId="0" fontId="62" fillId="0" borderId="0" xfId="0" applyFont="1" applyAlignment="1">
      <alignment wrapText="1"/>
    </xf>
    <xf numFmtId="0" fontId="51" fillId="38" borderId="110" xfId="0" applyFont="1" applyFill="1" applyBorder="1" applyAlignment="1">
      <alignment horizontal="left" wrapText="1"/>
    </xf>
    <xf numFmtId="0" fontId="51" fillId="38" borderId="111" xfId="0" applyFont="1" applyFill="1" applyBorder="1" applyAlignment="1">
      <alignment horizontal="left" wrapText="1"/>
    </xf>
    <xf numFmtId="0" fontId="51" fillId="38" borderId="112" xfId="0" applyFont="1" applyFill="1" applyBorder="1" applyAlignment="1">
      <alignment horizontal="left" wrapText="1"/>
    </xf>
    <xf numFmtId="0" fontId="61" fillId="0" borderId="110" xfId="0" applyFont="1" applyBorder="1" applyAlignment="1">
      <alignment wrapText="1"/>
    </xf>
    <xf numFmtId="0" fontId="61" fillId="0" borderId="111" xfId="0" applyFont="1" applyBorder="1" applyAlignment="1">
      <alignment wrapText="1"/>
    </xf>
    <xf numFmtId="0" fontId="61" fillId="31" borderId="112" xfId="0" applyFont="1" applyFill="1" applyBorder="1" applyAlignment="1">
      <alignment wrapText="1"/>
    </xf>
    <xf numFmtId="0" fontId="61" fillId="0" borderId="113" xfId="0" applyFont="1" applyBorder="1" applyAlignment="1">
      <alignment wrapText="1"/>
    </xf>
    <xf numFmtId="0" fontId="61" fillId="0" borderId="114" xfId="0" applyFont="1" applyBorder="1" applyAlignment="1">
      <alignment wrapText="1"/>
    </xf>
    <xf numFmtId="0" fontId="61" fillId="31" borderId="115" xfId="0" applyFont="1" applyFill="1" applyBorder="1" applyAlignment="1">
      <alignment wrapText="1"/>
    </xf>
    <xf numFmtId="0" fontId="70" fillId="59" borderId="0" xfId="0" applyFont="1" applyFill="1" applyAlignment="1">
      <alignment wrapText="1"/>
    </xf>
    <xf numFmtId="0" fontId="68" fillId="38" borderId="0" xfId="0" applyFont="1" applyFill="1" applyAlignment="1">
      <alignment horizontal="center"/>
    </xf>
    <xf numFmtId="0" fontId="62" fillId="58" borderId="0" xfId="0" applyFont="1" applyFill="1"/>
    <xf numFmtId="0" fontId="36" fillId="38" borderId="0" xfId="0" applyFont="1" applyFill="1"/>
    <xf numFmtId="0" fontId="81" fillId="38" borderId="0" xfId="0" applyFont="1" applyFill="1" applyAlignment="1">
      <alignment horizontal="center"/>
    </xf>
    <xf numFmtId="0" fontId="0" fillId="0" borderId="0" xfId="0"/>
    <xf numFmtId="0" fontId="5" fillId="0" borderId="0" xfId="0" applyFont="1"/>
    <xf numFmtId="0" fontId="10" fillId="62" borderId="0" xfId="0" applyFont="1" applyFill="1" applyAlignment="1">
      <alignment horizontal="center"/>
    </xf>
    <xf numFmtId="0" fontId="83" fillId="56" borderId="0" xfId="0" applyFont="1" applyFill="1" applyAlignment="1">
      <alignment horizontal="center"/>
    </xf>
  </cellXfs>
  <cellStyles count="4">
    <cellStyle name="Comma" xfId="3" builtinId="3"/>
    <cellStyle name="Hyperlink" xfId="1" builtinId="8"/>
    <cellStyle name="Normal" xfId="0" builtinId="0"/>
    <cellStyle name="Percent" xfId="2" builtinId="5"/>
  </cellStyles>
  <dxfs count="444">
    <dxf>
      <font>
        <b/>
        <i val="0"/>
        <color rgb="FF9C0006"/>
      </font>
      <fill>
        <patternFill patternType="solid">
          <fgColor indexed="64"/>
          <bgColor rgb="FFFFC7CE"/>
        </patternFill>
      </fill>
    </dxf>
    <dxf>
      <font>
        <b/>
        <i val="0"/>
        <color rgb="FF9C0006"/>
      </font>
      <fill>
        <patternFill patternType="solid">
          <fgColor indexed="64"/>
          <bgColor rgb="FFFFC7CE"/>
        </patternFill>
      </fill>
    </dxf>
    <dxf>
      <font>
        <b/>
        <i val="0"/>
        <color rgb="FF9C0006"/>
      </font>
      <fill>
        <patternFill patternType="solid">
          <fgColor indexed="64"/>
          <bgColor rgb="FFFFC7CE"/>
        </patternFill>
      </fill>
    </dxf>
    <dxf>
      <font>
        <b/>
        <i val="0"/>
        <color rgb="FF9C5700"/>
      </font>
      <fill>
        <patternFill patternType="solid">
          <fgColor indexed="64"/>
          <bgColor rgb="FFFFF2CC"/>
        </patternFill>
      </fill>
    </dxf>
    <dxf>
      <font>
        <b/>
        <i val="0"/>
        <color rgb="FF006100"/>
      </font>
      <fill>
        <patternFill patternType="solid">
          <fgColor indexed="64"/>
          <bgColor rgb="FFC6EFCE"/>
        </patternFill>
      </fill>
    </dxf>
    <dxf>
      <numFmt numFmtId="0" formatCode="General"/>
      <alignment horizontal="left" vertical="center" wrapText="1"/>
    </dxf>
    <dxf>
      <numFmt numFmtId="0" formatCode="General"/>
      <alignment horizontal="left" vertical="center" wrapText="1"/>
    </dxf>
    <dxf>
      <numFmt numFmtId="0" formatCode="General"/>
      <alignment horizontal="left" vertical="center" wrapText="1"/>
    </dxf>
    <dxf>
      <numFmt numFmtId="0" formatCode="General"/>
      <alignment horizontal="left" vertical="center" wrapText="1"/>
    </dxf>
    <dxf>
      <font>
        <b/>
      </font>
      <numFmt numFmtId="0" formatCode="General"/>
      <fill>
        <patternFill patternType="solid">
          <fgColor indexed="64"/>
          <bgColor rgb="FFE2E3E5"/>
        </patternFill>
      </fill>
      <alignment horizontal="center" vertical="center" wrapText="0"/>
    </dxf>
    <dxf>
      <numFmt numFmtId="0" formatCode="General"/>
      <alignment horizontal="left" vertical="center" wrapText="1"/>
    </dxf>
    <dxf>
      <numFmt numFmtId="0" formatCode="General"/>
      <alignment horizontal="left" vertical="center" wrapText="1"/>
    </dxf>
    <dxf>
      <alignment horizontal="left" vertical="center" wrapText="1"/>
    </dxf>
    <dxf>
      <font>
        <b/>
      </font>
      <fill>
        <patternFill patternType="solid">
          <fgColor indexed="64"/>
          <bgColor rgb="FFE2E3E5"/>
        </patternFill>
      </fill>
      <alignment horizontal="center" vertical="center" wrapText="0"/>
    </dxf>
    <dxf>
      <numFmt numFmtId="0" formatCode="General"/>
      <alignment horizontal="left" vertical="center" wrapText="1"/>
    </dxf>
    <dxf>
      <numFmt numFmtId="0" formatCode="General"/>
      <alignment horizontal="left" vertical="center" wrapText="1"/>
    </dxf>
    <dxf>
      <numFmt numFmtId="0" formatCode="General"/>
      <alignment horizontal="left" vertical="center" wrapText="1"/>
    </dxf>
    <dxf>
      <numFmt numFmtId="0" formatCode="General"/>
      <alignment horizontal="left" vertical="center" wrapText="1"/>
    </dxf>
    <dxf>
      <numFmt numFmtId="0" formatCode="General"/>
      <alignment horizontal="left" vertical="center" wrapText="1"/>
    </dxf>
    <dxf>
      <alignment horizontal="left" vertical="center" wrapText="1"/>
    </dxf>
    <dxf>
      <font>
        <b/>
      </font>
      <fill>
        <patternFill patternType="solid">
          <fgColor indexed="64"/>
          <bgColor rgb="FFE2E3E5"/>
        </patternFill>
      </fill>
      <alignment horizontal="center" vertical="center" wrapText="0"/>
    </dxf>
    <dxf>
      <fill>
        <patternFill>
          <bgColor theme="5" tint="0.39994506668294322"/>
        </patternFill>
      </fill>
    </dxf>
    <dxf>
      <font>
        <b/>
        <i val="0"/>
      </font>
      <fill>
        <patternFill>
          <bgColor theme="9" tint="0.39994506668294322"/>
        </patternFill>
      </fill>
      <border>
        <left style="dashDotDot">
          <color auto="1"/>
        </left>
        <right style="dashDotDot">
          <color auto="1"/>
        </right>
        <top style="dashDotDot">
          <color auto="1"/>
        </top>
        <bottom style="dashDotDot">
          <color auto="1"/>
        </bottom>
        <vertical/>
        <horizontal/>
      </border>
    </dxf>
    <dxf>
      <fill>
        <patternFill>
          <bgColor theme="8" tint="0.79998168889431442"/>
        </patternFill>
      </fill>
    </dxf>
    <dxf>
      <border diagonalUp="0" diagonalDown="0" outline="0">
        <left/>
        <right/>
        <top style="medium">
          <color rgb="FF9CA3AF"/>
        </top>
        <bottom/>
      </border>
    </dxf>
    <dxf>
      <border diagonalUp="0" diagonalDown="0" outline="0">
        <left/>
        <right/>
        <top style="medium">
          <color rgb="FF9CA3AF"/>
        </top>
        <bottom/>
      </border>
    </dxf>
    <dxf>
      <font>
        <color rgb="FF374151"/>
      </font>
    </dxf>
    <dxf>
      <font>
        <color rgb="FF374151"/>
      </font>
    </dxf>
    <dxf>
      <font>
        <b/>
      </font>
    </dxf>
    <dxf>
      <font>
        <b/>
      </font>
    </dxf>
    <dxf>
      <fill>
        <patternFill patternType="solid">
          <fgColor indexed="64"/>
          <bgColor rgb="FFF3F4F6"/>
        </patternFill>
      </fill>
    </dxf>
    <dxf>
      <fill>
        <patternFill patternType="solid">
          <fgColor indexed="64"/>
          <bgColor rgb="FFF3F4F6"/>
        </patternFill>
      </fill>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color rgb="FF6B7280"/>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numFmt numFmtId="165" formatCode="_ &quot;₹&quot;\ * #,##0.00_ ;_ &quot;₹&quot;\ * \-#,##0.00_ ;_ &quot;₹&quot;\ * &quot;-&quot;??_ ;_ @_ "/>
    </dxf>
    <dxf>
      <numFmt numFmtId="165" formatCode="_ &quot;₹&quot;\ * #,##0.00_ ;_ &quot;₹&quot;\ * \-#,##0.00_ ;_ &quot;₹&quot;\ * &quot;-&quot;??_ ;_ @_ "/>
    </dxf>
    <dxf>
      <numFmt numFmtId="165" formatCode="_ &quot;₹&quot;\ * #,##0.00_ ;_ &quot;₹&quot;\ * \-#,##0.00_ ;_ &quot;₹&quot;\ * &quot;-&quot;??_ ;_ @_ "/>
    </dxf>
    <dxf>
      <numFmt numFmtId="178" formatCode="_ &quot;₹&quot;\ * #,##0.0_ ;_ &quot;₹&quot;\ * \-#,##0.0_ ;_ &quot;₹&quot;\ * &quot;-&quot;?_ ;_ @_ "/>
    </dxf>
    <dxf>
      <numFmt numFmtId="178" formatCode="_ &quot;₹&quot;\ * #,##0.0_ ;_ &quot;₹&quot;\ * \-#,##0.0_ ;_ &quot;₹&quot;\ * &quot;-&quot;?_ ;_ @_ "/>
    </dxf>
    <dxf>
      <numFmt numFmtId="165" formatCode="_ &quot;₹&quot;\ * #,##0.00_ ;_ &quot;₹&quot;\ * \-#,##0.00_ ;_ &quot;₹&quot;\ * &quot;-&quot;??_ ;_ @_ "/>
    </dxf>
    <dxf>
      <numFmt numFmtId="178" formatCode="_ &quot;₹&quot;\ * #,##0.0_ ;_ &quot;₹&quot;\ * \-#,##0.0_ ;_ &quot;₹&quot;\ * &quot;-&quot;?_ ;_ @_ "/>
    </dxf>
    <dxf>
      <numFmt numFmtId="178" formatCode="_ &quot;₹&quot;\ * #,##0.0_ ;_ &quot;₹&quot;\ * \-#,##0.0_ ;_ &quot;₹&quot;\ * &quot;-&quot;?_ ;_ @_ "/>
    </dxf>
    <dxf>
      <numFmt numFmtId="178" formatCode="_ &quot;₹&quot;\ * #,##0.0_ ;_ &quot;₹&quot;\ * \-#,##0.0_ ;_ &quot;₹&quot;\ * &quot;-&quot;?_ ;_ @_ "/>
    </dxf>
    <dxf>
      <numFmt numFmtId="178" formatCode="_ &quot;₹&quot;\ * #,##0.0_ ;_ &quot;₹&quot;\ * \-#,##0.0_ ;_ &quot;₹&quot;\ * &quot;-&quot;?_ ;_ @_ "/>
    </dxf>
    <dxf>
      <numFmt numFmtId="178" formatCode="_ &quot;₹&quot;\ * #,##0.0_ ;_ &quot;₹&quot;\ * \-#,##0.0_ ;_ &quot;₹&quot;\ * &quot;-&quot;?_ ;_ @_ "/>
    </dxf>
    <dxf>
      <numFmt numFmtId="178" formatCode="_ &quot;₹&quot;\ * #,##0.0_ ;_ &quot;₹&quot;\ * \-#,##0.0_ ;_ &quot;₹&quot;\ * &quot;-&quot;?_ ;_ @_ "/>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6" tint="0.3999450666829432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C65911"/>
      </font>
      <fill>
        <patternFill patternType="solid">
          <fgColor indexed="64"/>
          <bgColor rgb="FFFCE4D6"/>
        </patternFill>
      </fill>
    </dxf>
    <dxf>
      <font>
        <color rgb="FF9C0006"/>
      </font>
    </dxf>
    <dxf>
      <font>
        <color theme="7"/>
      </font>
    </dxf>
    <dxf>
      <font>
        <color theme="9"/>
      </font>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Structure" Target="richData/rdrichvaluestructure.xml"/><Relationship Id="rId47" Type="http://schemas.openxmlformats.org/officeDocument/2006/relationships/customXml" Target="../customXml/item2.xml"/><Relationship Id="rId63" Type="http://schemas.openxmlformats.org/officeDocument/2006/relationships/customXml" Target="../customXml/item18.xml"/><Relationship Id="rId68"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connections" Target="connections.xml"/><Relationship Id="rId40" Type="http://schemas.openxmlformats.org/officeDocument/2006/relationships/sheetMetadata" Target="metadata.xml"/><Relationship Id="rId45" Type="http://schemas.openxmlformats.org/officeDocument/2006/relationships/calcChain" Target="calcChain.xml"/><Relationship Id="rId53" Type="http://schemas.openxmlformats.org/officeDocument/2006/relationships/customXml" Target="../customXml/item8.xml"/><Relationship Id="rId58" Type="http://schemas.openxmlformats.org/officeDocument/2006/relationships/customXml" Target="../customXml/item13.xml"/><Relationship Id="rId66" Type="http://schemas.openxmlformats.org/officeDocument/2006/relationships/customXml" Target="../customXml/item21.xml"/><Relationship Id="rId5" Type="http://schemas.openxmlformats.org/officeDocument/2006/relationships/worksheet" Target="worksheets/sheet5.xml"/><Relationship Id="rId61" Type="http://schemas.openxmlformats.org/officeDocument/2006/relationships/customXml" Target="../customXml/item1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5.xml"/><Relationship Id="rId43" Type="http://schemas.microsoft.com/office/2017/06/relationships/rdRichValueTypes" Target="richData/rdRichValueTypes.xml"/><Relationship Id="rId48" Type="http://schemas.openxmlformats.org/officeDocument/2006/relationships/customXml" Target="../customXml/item3.xml"/><Relationship Id="rId56" Type="http://schemas.openxmlformats.org/officeDocument/2006/relationships/customXml" Target="../customXml/item11.xml"/><Relationship Id="rId64" Type="http://schemas.openxmlformats.org/officeDocument/2006/relationships/customXml" Target="../customXml/item19.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tyles" Target="styles.xml"/><Relationship Id="rId46" Type="http://schemas.openxmlformats.org/officeDocument/2006/relationships/customXml" Target="../customXml/item1.xml"/><Relationship Id="rId59" Type="http://schemas.openxmlformats.org/officeDocument/2006/relationships/customXml" Target="../customXml/item14.xml"/><Relationship Id="rId67" Type="http://schemas.openxmlformats.org/officeDocument/2006/relationships/customXml" Target="../customXml/item22.xml"/><Relationship Id="rId20" Type="http://schemas.openxmlformats.org/officeDocument/2006/relationships/worksheet" Target="worksheets/sheet20.xml"/><Relationship Id="rId41" Type="http://schemas.microsoft.com/office/2017/06/relationships/rdRichValue" Target="richData/rdrichvalue.xml"/><Relationship Id="rId54" Type="http://schemas.openxmlformats.org/officeDocument/2006/relationships/customXml" Target="../customXml/item9.xml"/><Relationship Id="rId62"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4.xml"/><Relationship Id="rId57" Type="http://schemas.openxmlformats.org/officeDocument/2006/relationships/customXml" Target="../customXml/item12.xml"/><Relationship Id="rId10" Type="http://schemas.openxmlformats.org/officeDocument/2006/relationships/worksheet" Target="worksheets/sheet10.xml"/><Relationship Id="rId31" Type="http://schemas.openxmlformats.org/officeDocument/2006/relationships/pivotCacheDefinition" Target="pivotCache/pivotCacheDefinition1.xml"/><Relationship Id="rId44" Type="http://schemas.openxmlformats.org/officeDocument/2006/relationships/powerPivotData" Target="model/item.data"/><Relationship Id="rId52" Type="http://schemas.openxmlformats.org/officeDocument/2006/relationships/customXml" Target="../customXml/item7.xml"/><Relationship Id="rId60" Type="http://schemas.openxmlformats.org/officeDocument/2006/relationships/customXml" Target="../customXml/item15.xml"/><Relationship Id="rId65"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haredStrings" Target="sharedStrings.xml"/><Relationship Id="rId34" Type="http://schemas.openxmlformats.org/officeDocument/2006/relationships/pivotCacheDefinition" Target="pivotCache/pivotCacheDefinition4.xml"/><Relationship Id="rId50" Type="http://schemas.openxmlformats.org/officeDocument/2006/relationships/customXml" Target="../customXml/item5.xml"/><Relationship Id="rId55" Type="http://schemas.openxmlformats.org/officeDocument/2006/relationships/customXml" Target="../customXml/item1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 average by subject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2E75B6"/>
            </a:solidFill>
            <a:ln>
              <a:noFill/>
            </a:ln>
            <a:effectLst/>
          </c:spPr>
          <c:invertIfNegative val="0"/>
          <c:cat>
            <c:strRef>
              <c:f>marksheet!$G$34:$G$40</c:f>
              <c:strCache>
                <c:ptCount val="7"/>
                <c:pt idx="0">
                  <c:v>English</c:v>
                </c:pt>
                <c:pt idx="1">
                  <c:v>Maths</c:v>
                </c:pt>
                <c:pt idx="2">
                  <c:v>Accounts</c:v>
                </c:pt>
                <c:pt idx="3">
                  <c:v>Economics</c:v>
                </c:pt>
                <c:pt idx="4">
                  <c:v>BST</c:v>
                </c:pt>
                <c:pt idx="5">
                  <c:v>IT</c:v>
                </c:pt>
                <c:pt idx="6">
                  <c:v>Office</c:v>
                </c:pt>
              </c:strCache>
            </c:strRef>
          </c:cat>
          <c:val>
            <c:numRef>
              <c:f>marksheet!$H$34:$H$40</c:f>
              <c:numCache>
                <c:formatCode>0.0</c:formatCode>
                <c:ptCount val="7"/>
                <c:pt idx="0">
                  <c:v>65.269230769230774</c:v>
                </c:pt>
                <c:pt idx="1">
                  <c:v>64.192307692307693</c:v>
                </c:pt>
                <c:pt idx="2">
                  <c:v>66.8</c:v>
                </c:pt>
                <c:pt idx="3">
                  <c:v>61.115384615384613</c:v>
                </c:pt>
                <c:pt idx="4">
                  <c:v>67.44</c:v>
                </c:pt>
                <c:pt idx="5">
                  <c:v>69.769230769230774</c:v>
                </c:pt>
                <c:pt idx="6">
                  <c:v>65.730769230769226</c:v>
                </c:pt>
              </c:numCache>
            </c:numRef>
          </c:val>
          <c:extLst>
            <c:ext xmlns:c16="http://schemas.microsoft.com/office/drawing/2014/chart" uri="{C3380CC4-5D6E-409C-BE32-E72D297353CC}">
              <c16:uniqueId val="{00000000-013C-4F64-A43E-C8E035F77E33}"/>
            </c:ext>
          </c:extLst>
        </c:ser>
        <c:dLbls>
          <c:showLegendKey val="0"/>
          <c:showVal val="0"/>
          <c:showCatName val="0"/>
          <c:showSerName val="0"/>
          <c:showPercent val="0"/>
          <c:showBubbleSize val="0"/>
        </c:dLbls>
        <c:gapWidth val="219"/>
        <c:overlap val="-27"/>
        <c:axId val="1656777168"/>
        <c:axId val="769908112"/>
      </c:barChart>
      <c:catAx>
        <c:axId val="165677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908112"/>
        <c:crosses val="autoZero"/>
        <c:auto val="1"/>
        <c:lblAlgn val="ctr"/>
        <c:lblOffset val="100"/>
        <c:noMultiLvlLbl val="0"/>
      </c:catAx>
      <c:valAx>
        <c:axId val="769908112"/>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777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Grade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1F4E78"/>
            </a:solidFill>
            <a:ln>
              <a:noFill/>
            </a:ln>
            <a:effectLst/>
          </c:spPr>
          <c:invertIfNegative val="0"/>
          <c:cat>
            <c:strRef>
              <c:f>marksheet!$D$34:$D$38</c:f>
              <c:strCache>
                <c:ptCount val="5"/>
                <c:pt idx="0">
                  <c:v>A</c:v>
                </c:pt>
                <c:pt idx="1">
                  <c:v>B</c:v>
                </c:pt>
                <c:pt idx="2">
                  <c:v>C</c:v>
                </c:pt>
                <c:pt idx="3">
                  <c:v>D</c:v>
                </c:pt>
                <c:pt idx="4">
                  <c:v>F</c:v>
                </c:pt>
              </c:strCache>
            </c:strRef>
          </c:cat>
          <c:val>
            <c:numRef>
              <c:f>marksheet!$E$34:$E$38</c:f>
              <c:numCache>
                <c:formatCode>General</c:formatCode>
                <c:ptCount val="5"/>
                <c:pt idx="0">
                  <c:v>3</c:v>
                </c:pt>
                <c:pt idx="1">
                  <c:v>16</c:v>
                </c:pt>
                <c:pt idx="2">
                  <c:v>5</c:v>
                </c:pt>
                <c:pt idx="3">
                  <c:v>2</c:v>
                </c:pt>
                <c:pt idx="4">
                  <c:v>0</c:v>
                </c:pt>
              </c:numCache>
            </c:numRef>
          </c:val>
          <c:extLst>
            <c:ext xmlns:c16="http://schemas.microsoft.com/office/drawing/2014/chart" uri="{C3380CC4-5D6E-409C-BE32-E72D297353CC}">
              <c16:uniqueId val="{00000000-3F1F-4BF7-BABA-9D5B53B30157}"/>
            </c:ext>
          </c:extLst>
        </c:ser>
        <c:dLbls>
          <c:showLegendKey val="0"/>
          <c:showVal val="0"/>
          <c:showCatName val="0"/>
          <c:showSerName val="0"/>
          <c:showPercent val="0"/>
          <c:showBubbleSize val="0"/>
        </c:dLbls>
        <c:gapWidth val="219"/>
        <c:overlap val="-27"/>
        <c:axId val="1656890848"/>
        <c:axId val="769669552"/>
      </c:barChart>
      <c:catAx>
        <c:axId val="165689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669552"/>
        <c:crosses val="autoZero"/>
        <c:auto val="1"/>
        <c:lblAlgn val="ctr"/>
        <c:lblOffset val="100"/>
        <c:noMultiLvlLbl val="0"/>
      </c:catAx>
      <c:valAx>
        <c:axId val="7696695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89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Revenue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 consolidate'!$K$105</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 consolidate'!$J$106:$J$117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 consolidate'!$K$106:$K$117</c:f>
              <c:numCache>
                <c:formatCode>\₹\ #,##0</c:formatCode>
                <c:ptCount val="12"/>
                <c:pt idx="0">
                  <c:v>2779794</c:v>
                </c:pt>
                <c:pt idx="1">
                  <c:v>2593423</c:v>
                </c:pt>
                <c:pt idx="2">
                  <c:v>3232184</c:v>
                </c:pt>
                <c:pt idx="3">
                  <c:v>20963149</c:v>
                </c:pt>
                <c:pt idx="4">
                  <c:v>2406018</c:v>
                </c:pt>
                <c:pt idx="5">
                  <c:v>3416167</c:v>
                </c:pt>
                <c:pt idx="6">
                  <c:v>21509822</c:v>
                </c:pt>
                <c:pt idx="7">
                  <c:v>3198002</c:v>
                </c:pt>
                <c:pt idx="8">
                  <c:v>3924103</c:v>
                </c:pt>
                <c:pt idx="9">
                  <c:v>2344874</c:v>
                </c:pt>
                <c:pt idx="10">
                  <c:v>7202823</c:v>
                </c:pt>
                <c:pt idx="11">
                  <c:v>142294858</c:v>
                </c:pt>
              </c:numCache>
            </c:numRef>
          </c:val>
          <c:smooth val="0"/>
          <c:extLst>
            <c:ext xmlns:c16="http://schemas.microsoft.com/office/drawing/2014/chart" uri="{C3380CC4-5D6E-409C-BE32-E72D297353CC}">
              <c16:uniqueId val="{00000000-60AB-4D87-9B21-925CB1ECDB01}"/>
            </c:ext>
          </c:extLst>
        </c:ser>
        <c:dLbls>
          <c:showLegendKey val="0"/>
          <c:showVal val="0"/>
          <c:showCatName val="0"/>
          <c:showSerName val="0"/>
          <c:showPercent val="0"/>
          <c:showBubbleSize val="0"/>
        </c:dLbls>
        <c:marker val="1"/>
        <c:smooth val="0"/>
        <c:axId val="2021799007"/>
        <c:axId val="1961527887"/>
      </c:lineChart>
      <c:catAx>
        <c:axId val="20217990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527887"/>
        <c:crosses val="autoZero"/>
        <c:auto val="1"/>
        <c:lblAlgn val="ctr"/>
        <c:lblOffset val="100"/>
        <c:noMultiLvlLbl val="0"/>
      </c:catAx>
      <c:valAx>
        <c:axId val="1961527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799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Products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'data consolidate'!$E$105</c:f>
              <c:strCache>
                <c:ptCount val="1"/>
                <c:pt idx="0">
                  <c:v>Total Revenue</c:v>
                </c:pt>
              </c:strCache>
            </c:strRef>
          </c:tx>
          <c:spPr>
            <a:solidFill>
              <a:schemeClr val="accent1"/>
            </a:solidFill>
            <a:ln>
              <a:noFill/>
            </a:ln>
            <a:effectLst/>
          </c:spPr>
          <c:invertIfNegative val="0"/>
          <c:cat>
            <c:strRef>
              <c:f>'data consolidate'!$D$106:$D$115</c:f>
              <c:strCache>
                <c:ptCount val="10"/>
                <c:pt idx="0">
                  <c:v>Mouse</c:v>
                </c:pt>
                <c:pt idx="1">
                  <c:v>Performance Enhancer</c:v>
                </c:pt>
                <c:pt idx="2">
                  <c:v>Paracetamol</c:v>
                </c:pt>
                <c:pt idx="3">
                  <c:v>Toy Cars</c:v>
                </c:pt>
                <c:pt idx="4">
                  <c:v>Pencils</c:v>
                </c:pt>
                <c:pt idx="5">
                  <c:v>Jackets</c:v>
                </c:pt>
                <c:pt idx="6">
                  <c:v>Shirts</c:v>
                </c:pt>
                <c:pt idx="7">
                  <c:v>Leather Armor</c:v>
                </c:pt>
                <c:pt idx="8">
                  <c:v>Whey Protein</c:v>
                </c:pt>
                <c:pt idx="9">
                  <c:v>Desktop</c:v>
                </c:pt>
              </c:strCache>
            </c:strRef>
          </c:cat>
          <c:val>
            <c:numRef>
              <c:f>'data consolidate'!$E$106:$E$115</c:f>
              <c:numCache>
                <c:formatCode>"₹"\ #,##0</c:formatCode>
                <c:ptCount val="10"/>
                <c:pt idx="0">
                  <c:v>10713376</c:v>
                </c:pt>
                <c:pt idx="1">
                  <c:v>9923698</c:v>
                </c:pt>
                <c:pt idx="2">
                  <c:v>9661440</c:v>
                </c:pt>
                <c:pt idx="3">
                  <c:v>9417489</c:v>
                </c:pt>
                <c:pt idx="4">
                  <c:v>8963205</c:v>
                </c:pt>
                <c:pt idx="5">
                  <c:v>8727467</c:v>
                </c:pt>
                <c:pt idx="6">
                  <c:v>8428344</c:v>
                </c:pt>
                <c:pt idx="7">
                  <c:v>8041640</c:v>
                </c:pt>
                <c:pt idx="8">
                  <c:v>8017771</c:v>
                </c:pt>
                <c:pt idx="9">
                  <c:v>7862855</c:v>
                </c:pt>
              </c:numCache>
            </c:numRef>
          </c:val>
          <c:extLst>
            <c:ext xmlns:c16="http://schemas.microsoft.com/office/drawing/2014/chart" uri="{C3380CC4-5D6E-409C-BE32-E72D297353CC}">
              <c16:uniqueId val="{00000000-821F-4E2F-B78B-5F13B891B426}"/>
            </c:ext>
          </c:extLst>
        </c:ser>
        <c:dLbls>
          <c:showLegendKey val="0"/>
          <c:showVal val="0"/>
          <c:showCatName val="0"/>
          <c:showSerName val="0"/>
          <c:showPercent val="0"/>
          <c:showBubbleSize val="0"/>
        </c:dLbls>
        <c:gapWidth val="182"/>
        <c:axId val="2021754927"/>
        <c:axId val="1961572047"/>
      </c:barChart>
      <c:catAx>
        <c:axId val="202175492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572047"/>
        <c:crosses val="autoZero"/>
        <c:auto val="1"/>
        <c:lblAlgn val="ctr"/>
        <c:lblOffset val="100"/>
        <c:noMultiLvlLbl val="0"/>
      </c:catAx>
      <c:valAx>
        <c:axId val="19615720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Revenue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754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Active Products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 consolidate'!$K$105</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 consolidate'!$J$106:$J$117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 consolidate'!$K$106:$K$117</c:f>
              <c:numCache>
                <c:formatCode>\₹\ #,##0</c:formatCode>
                <c:ptCount val="12"/>
                <c:pt idx="0">
                  <c:v>2779794</c:v>
                </c:pt>
                <c:pt idx="1">
                  <c:v>2593423</c:v>
                </c:pt>
                <c:pt idx="2">
                  <c:v>3232184</c:v>
                </c:pt>
                <c:pt idx="3">
                  <c:v>20963149</c:v>
                </c:pt>
                <c:pt idx="4">
                  <c:v>2406018</c:v>
                </c:pt>
                <c:pt idx="5">
                  <c:v>3416167</c:v>
                </c:pt>
                <c:pt idx="6">
                  <c:v>21509822</c:v>
                </c:pt>
                <c:pt idx="7">
                  <c:v>3198002</c:v>
                </c:pt>
                <c:pt idx="8">
                  <c:v>3924103</c:v>
                </c:pt>
                <c:pt idx="9">
                  <c:v>2344874</c:v>
                </c:pt>
                <c:pt idx="10">
                  <c:v>7202823</c:v>
                </c:pt>
                <c:pt idx="11">
                  <c:v>142294858</c:v>
                </c:pt>
              </c:numCache>
            </c:numRef>
          </c:val>
          <c:smooth val="0"/>
          <c:extLst>
            <c:ext xmlns:c16="http://schemas.microsoft.com/office/drawing/2014/chart" uri="{C3380CC4-5D6E-409C-BE32-E72D297353CC}">
              <c16:uniqueId val="{00000000-5AB8-45F6-BC9F-B9D3ED1C0081}"/>
            </c:ext>
          </c:extLst>
        </c:ser>
        <c:dLbls>
          <c:showLegendKey val="0"/>
          <c:showVal val="0"/>
          <c:showCatName val="0"/>
          <c:showSerName val="0"/>
          <c:showPercent val="0"/>
          <c:showBubbleSize val="0"/>
        </c:dLbls>
        <c:marker val="1"/>
        <c:smooth val="0"/>
        <c:axId val="2021782303"/>
        <c:axId val="1961432367"/>
      </c:lineChart>
      <c:catAx>
        <c:axId val="20217823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432367"/>
        <c:crosses val="autoZero"/>
        <c:auto val="1"/>
        <c:lblAlgn val="ctr"/>
        <c:lblOffset val="100"/>
        <c:noMultiLvlLbl val="0"/>
      </c:catAx>
      <c:valAx>
        <c:axId val="19614323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Active Products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782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consolidate'!$H$105</c:f>
              <c:strCache>
                <c:ptCount val="1"/>
                <c:pt idx="0">
                  <c:v>Total Revenue</c:v>
                </c:pt>
              </c:strCache>
            </c:strRef>
          </c:tx>
          <c:spPr>
            <a:solidFill>
              <a:schemeClr val="accent1"/>
            </a:solidFill>
            <a:ln>
              <a:noFill/>
            </a:ln>
            <a:effectLst/>
          </c:spPr>
          <c:invertIfNegative val="0"/>
          <c:cat>
            <c:strRef>
              <c:f>'data consolidate'!$G$106:$G$110</c:f>
              <c:strCache>
                <c:ptCount val="5"/>
                <c:pt idx="0">
                  <c:v>Mouse</c:v>
                </c:pt>
                <c:pt idx="1">
                  <c:v>Performance Enhancer</c:v>
                </c:pt>
                <c:pt idx="2">
                  <c:v>Paracetamol</c:v>
                </c:pt>
                <c:pt idx="3">
                  <c:v>Toy Cars</c:v>
                </c:pt>
                <c:pt idx="4">
                  <c:v>Pencils</c:v>
                </c:pt>
              </c:strCache>
            </c:strRef>
          </c:cat>
          <c:val>
            <c:numRef>
              <c:f>'data consolidate'!$H$106:$H$110</c:f>
              <c:numCache>
                <c:formatCode>"₹"\ #,##0</c:formatCode>
                <c:ptCount val="5"/>
                <c:pt idx="0">
                  <c:v>10713376</c:v>
                </c:pt>
                <c:pt idx="1">
                  <c:v>9923698</c:v>
                </c:pt>
                <c:pt idx="2">
                  <c:v>9661440</c:v>
                </c:pt>
                <c:pt idx="3">
                  <c:v>9417489</c:v>
                </c:pt>
                <c:pt idx="4">
                  <c:v>8963205</c:v>
                </c:pt>
              </c:numCache>
            </c:numRef>
          </c:val>
          <c:extLst>
            <c:ext xmlns:c16="http://schemas.microsoft.com/office/drawing/2014/chart" uri="{C3380CC4-5D6E-409C-BE32-E72D297353CC}">
              <c16:uniqueId val="{00000000-B411-40CD-ADA0-6A7AE87E9143}"/>
            </c:ext>
          </c:extLst>
        </c:ser>
        <c:dLbls>
          <c:showLegendKey val="0"/>
          <c:showVal val="0"/>
          <c:showCatName val="0"/>
          <c:showSerName val="0"/>
          <c:showPercent val="0"/>
          <c:showBubbleSize val="0"/>
        </c:dLbls>
        <c:gapWidth val="219"/>
        <c:axId val="2022904191"/>
        <c:axId val="1961556207"/>
      </c:barChart>
      <c:catAx>
        <c:axId val="20229041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556207"/>
        <c:crosses val="autoZero"/>
        <c:auto val="1"/>
        <c:lblAlgn val="ctr"/>
        <c:lblOffset val="100"/>
        <c:noMultiLvlLbl val="0"/>
      </c:catAx>
      <c:valAx>
        <c:axId val="19615562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Revenue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904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Payroll Composition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'salary slip'!$O$108</c:f>
              <c:strCache>
                <c:ptCount val="1"/>
                <c:pt idx="0">
                  <c:v>Amount</c:v>
                </c:pt>
              </c:strCache>
            </c:strRef>
          </c:tx>
          <c:spPr>
            <a:ln w="31750">
              <a:solidFill>
                <a:srgbClr val="1F77B4"/>
              </a:solidFill>
              <a:prstDash val="solid"/>
            </a:ln>
          </c:spPr>
          <c:dPt>
            <c:idx val="0"/>
            <c:bubble3D val="0"/>
            <c:spPr>
              <a:solidFill>
                <a:schemeClr val="accent1"/>
              </a:solidFill>
              <a:ln w="31750">
                <a:solidFill>
                  <a:srgbClr val="1F77B4"/>
                </a:solidFill>
                <a:prstDash val="solid"/>
              </a:ln>
              <a:effectLst/>
            </c:spPr>
            <c:extLst>
              <c:ext xmlns:c16="http://schemas.microsoft.com/office/drawing/2014/chart" uri="{C3380CC4-5D6E-409C-BE32-E72D297353CC}">
                <c16:uniqueId val="{00000001-76B2-427C-803D-4530F738A4EF}"/>
              </c:ext>
            </c:extLst>
          </c:dPt>
          <c:dPt>
            <c:idx val="1"/>
            <c:bubble3D val="0"/>
            <c:spPr>
              <a:solidFill>
                <a:schemeClr val="accent2"/>
              </a:solidFill>
              <a:ln w="31750">
                <a:solidFill>
                  <a:srgbClr val="1F77B4"/>
                </a:solidFill>
                <a:prstDash val="solid"/>
              </a:ln>
              <a:effectLst/>
            </c:spPr>
            <c:extLst>
              <c:ext xmlns:c16="http://schemas.microsoft.com/office/drawing/2014/chart" uri="{C3380CC4-5D6E-409C-BE32-E72D297353CC}">
                <c16:uniqueId val="{00000003-76B2-427C-803D-4530F738A4EF}"/>
              </c:ext>
            </c:extLst>
          </c:dPt>
          <c:dPt>
            <c:idx val="2"/>
            <c:bubble3D val="0"/>
            <c:spPr>
              <a:solidFill>
                <a:schemeClr val="accent3"/>
              </a:solidFill>
              <a:ln w="31750">
                <a:solidFill>
                  <a:srgbClr val="1F77B4"/>
                </a:solidFill>
                <a:prstDash val="solid"/>
              </a:ln>
              <a:effectLst/>
            </c:spPr>
            <c:extLst>
              <c:ext xmlns:c16="http://schemas.microsoft.com/office/drawing/2014/chart" uri="{C3380CC4-5D6E-409C-BE32-E72D297353CC}">
                <c16:uniqueId val="{00000005-76B2-427C-803D-4530F738A4EF}"/>
              </c:ext>
            </c:extLst>
          </c:dPt>
          <c:cat>
            <c:strRef>
              <c:f>'salary slip'!$N$109:$N$111</c:f>
              <c:strCache>
                <c:ptCount val="3"/>
                <c:pt idx="0">
                  <c:v>Basic Salary</c:v>
                </c:pt>
                <c:pt idx="1">
                  <c:v>Total Allowances</c:v>
                </c:pt>
                <c:pt idx="2">
                  <c:v>PF + ESI</c:v>
                </c:pt>
              </c:strCache>
            </c:strRef>
          </c:cat>
          <c:val>
            <c:numRef>
              <c:f>'salary slip'!$O$109:$O$111</c:f>
              <c:numCache>
                <c:formatCode>"₹"\ #,##0.0</c:formatCode>
                <c:ptCount val="3"/>
                <c:pt idx="0">
                  <c:v>2309890</c:v>
                </c:pt>
                <c:pt idx="1">
                  <c:v>669868.1</c:v>
                </c:pt>
                <c:pt idx="2">
                  <c:v>347862.18100000004</c:v>
                </c:pt>
              </c:numCache>
            </c:numRef>
          </c:val>
          <c:extLst>
            <c:ext xmlns:c16="http://schemas.microsoft.com/office/drawing/2014/chart" uri="{C3380CC4-5D6E-409C-BE32-E72D297353CC}">
              <c16:uniqueId val="{00000000-E04E-4800-B6B9-B798CFAAB6E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Attendance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'attendance sheet'!$AY$1</c:f>
              <c:strCache>
                <c:ptCount val="1"/>
                <c:pt idx="0">
                  <c:v>Present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'attendance sheet'!$AX$2:$AX$32</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'attendance sheet'!$AY$2:$AY$32</c:f>
              <c:numCache>
                <c:formatCode>General</c:formatCode>
                <c:ptCount val="31"/>
                <c:pt idx="0">
                  <c:v>163</c:v>
                </c:pt>
                <c:pt idx="1">
                  <c:v>151</c:v>
                </c:pt>
                <c:pt idx="2">
                  <c:v>155</c:v>
                </c:pt>
                <c:pt idx="3">
                  <c:v>164</c:v>
                </c:pt>
                <c:pt idx="4">
                  <c:v>170</c:v>
                </c:pt>
                <c:pt idx="5">
                  <c:v>174</c:v>
                </c:pt>
                <c:pt idx="6">
                  <c:v>166</c:v>
                </c:pt>
                <c:pt idx="7">
                  <c:v>175</c:v>
                </c:pt>
                <c:pt idx="8">
                  <c:v>155</c:v>
                </c:pt>
                <c:pt idx="9">
                  <c:v>166</c:v>
                </c:pt>
                <c:pt idx="10">
                  <c:v>164</c:v>
                </c:pt>
                <c:pt idx="11">
                  <c:v>168</c:v>
                </c:pt>
                <c:pt idx="12">
                  <c:v>167</c:v>
                </c:pt>
                <c:pt idx="13">
                  <c:v>175</c:v>
                </c:pt>
                <c:pt idx="14">
                  <c:v>157</c:v>
                </c:pt>
                <c:pt idx="15">
                  <c:v>169</c:v>
                </c:pt>
                <c:pt idx="16">
                  <c:v>158</c:v>
                </c:pt>
                <c:pt idx="17">
                  <c:v>158</c:v>
                </c:pt>
                <c:pt idx="18">
                  <c:v>166</c:v>
                </c:pt>
                <c:pt idx="19">
                  <c:v>169</c:v>
                </c:pt>
                <c:pt idx="20">
                  <c:v>160</c:v>
                </c:pt>
                <c:pt idx="21">
                  <c:v>167</c:v>
                </c:pt>
                <c:pt idx="22">
                  <c:v>165</c:v>
                </c:pt>
                <c:pt idx="23">
                  <c:v>165</c:v>
                </c:pt>
                <c:pt idx="24">
                  <c:v>166</c:v>
                </c:pt>
                <c:pt idx="25">
                  <c:v>168</c:v>
                </c:pt>
                <c:pt idx="26">
                  <c:v>165</c:v>
                </c:pt>
                <c:pt idx="27">
                  <c:v>173</c:v>
                </c:pt>
                <c:pt idx="28">
                  <c:v>165</c:v>
                </c:pt>
                <c:pt idx="29">
                  <c:v>165</c:v>
                </c:pt>
                <c:pt idx="30">
                  <c:v>164</c:v>
                </c:pt>
              </c:numCache>
            </c:numRef>
          </c:val>
          <c:smooth val="0"/>
          <c:extLst>
            <c:ext xmlns:c16="http://schemas.microsoft.com/office/drawing/2014/chart" uri="{C3380CC4-5D6E-409C-BE32-E72D297353CC}">
              <c16:uniqueId val="{00000000-D54E-4E7E-8CD0-B9154EC6CB1A}"/>
            </c:ext>
          </c:extLst>
        </c:ser>
        <c:ser>
          <c:idx val="1"/>
          <c:order val="1"/>
          <c:tx>
            <c:strRef>
              <c:f>'attendance sheet'!$AZ$1</c:f>
              <c:strCache>
                <c:ptCount val="1"/>
                <c:pt idx="0">
                  <c:v>Absent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'attendance sheet'!$AX$2:$AX$32</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'attendance sheet'!$AZ$2:$AZ$32</c:f>
              <c:numCache>
                <c:formatCode>General</c:formatCode>
                <c:ptCount val="31"/>
                <c:pt idx="0">
                  <c:v>42</c:v>
                </c:pt>
                <c:pt idx="1">
                  <c:v>54</c:v>
                </c:pt>
                <c:pt idx="2">
                  <c:v>50</c:v>
                </c:pt>
                <c:pt idx="3">
                  <c:v>41</c:v>
                </c:pt>
                <c:pt idx="4">
                  <c:v>35</c:v>
                </c:pt>
                <c:pt idx="5">
                  <c:v>31</c:v>
                </c:pt>
                <c:pt idx="6">
                  <c:v>39</c:v>
                </c:pt>
                <c:pt idx="7">
                  <c:v>30</c:v>
                </c:pt>
                <c:pt idx="8">
                  <c:v>50</c:v>
                </c:pt>
                <c:pt idx="9">
                  <c:v>39</c:v>
                </c:pt>
                <c:pt idx="10">
                  <c:v>41</c:v>
                </c:pt>
                <c:pt idx="11">
                  <c:v>37</c:v>
                </c:pt>
                <c:pt idx="12">
                  <c:v>38</c:v>
                </c:pt>
                <c:pt idx="13">
                  <c:v>30</c:v>
                </c:pt>
                <c:pt idx="14">
                  <c:v>48</c:v>
                </c:pt>
                <c:pt idx="15">
                  <c:v>36</c:v>
                </c:pt>
                <c:pt idx="16">
                  <c:v>47</c:v>
                </c:pt>
                <c:pt idx="17">
                  <c:v>47</c:v>
                </c:pt>
                <c:pt idx="18">
                  <c:v>39</c:v>
                </c:pt>
                <c:pt idx="19">
                  <c:v>36</c:v>
                </c:pt>
                <c:pt idx="20">
                  <c:v>45</c:v>
                </c:pt>
                <c:pt idx="21">
                  <c:v>38</c:v>
                </c:pt>
                <c:pt idx="22">
                  <c:v>40</c:v>
                </c:pt>
                <c:pt idx="23">
                  <c:v>40</c:v>
                </c:pt>
                <c:pt idx="24">
                  <c:v>39</c:v>
                </c:pt>
                <c:pt idx="25">
                  <c:v>37</c:v>
                </c:pt>
                <c:pt idx="26">
                  <c:v>40</c:v>
                </c:pt>
                <c:pt idx="27">
                  <c:v>32</c:v>
                </c:pt>
                <c:pt idx="28">
                  <c:v>40</c:v>
                </c:pt>
                <c:pt idx="29">
                  <c:v>40</c:v>
                </c:pt>
                <c:pt idx="30">
                  <c:v>41</c:v>
                </c:pt>
              </c:numCache>
            </c:numRef>
          </c:val>
          <c:smooth val="0"/>
          <c:extLst>
            <c:ext xmlns:c16="http://schemas.microsoft.com/office/drawing/2014/chart" uri="{C3380CC4-5D6E-409C-BE32-E72D297353CC}">
              <c16:uniqueId val="{00000001-D54E-4E7E-8CD0-B9154EC6CB1A}"/>
            </c:ext>
          </c:extLst>
        </c:ser>
        <c:dLbls>
          <c:showLegendKey val="0"/>
          <c:showVal val="0"/>
          <c:showCatName val="0"/>
          <c:showSerName val="0"/>
          <c:showPercent val="0"/>
          <c:showBubbleSize val="0"/>
        </c:dLbls>
        <c:marker val="1"/>
        <c:smooth val="0"/>
        <c:axId val="2053989824"/>
        <c:axId val="1759857296"/>
      </c:lineChart>
      <c:catAx>
        <c:axId val="2053989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857296"/>
        <c:crosses val="autoZero"/>
        <c:auto val="1"/>
        <c:lblAlgn val="ctr"/>
        <c:lblOffset val="100"/>
        <c:noMultiLvlLbl val="0"/>
      </c:catAx>
      <c:valAx>
        <c:axId val="1759857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Employees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398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Dashboard!$B$48</c:f>
              <c:strCache>
                <c:ptCount val="1"/>
                <c:pt idx="0">
                  <c:v>Sales</c:v>
                </c:pt>
              </c:strCache>
            </c:strRef>
          </c:tx>
          <c:spPr>
            <a:solidFill>
              <a:schemeClr val="accent1"/>
            </a:solidFill>
            <a:ln>
              <a:noFill/>
            </a:ln>
            <a:effectLst/>
          </c:spPr>
          <c:invertIfNegative val="0"/>
          <c:dPt>
            <c:idx val="0"/>
            <c:invertIfNegative val="0"/>
            <c:bubble3D val="0"/>
            <c:spPr>
              <a:solidFill>
                <a:srgbClr val="F4CCCC"/>
              </a:solidFill>
              <a:ln>
                <a:noFill/>
              </a:ln>
              <a:effectLst/>
            </c:spPr>
            <c:extLst>
              <c:ext xmlns:c16="http://schemas.microsoft.com/office/drawing/2014/chart" uri="{C3380CC4-5D6E-409C-BE32-E72D297353CC}">
                <c16:uniqueId val="{00000000-AB91-493A-B93D-0FE4331C028A}"/>
              </c:ext>
            </c:extLst>
          </c:dPt>
          <c:dPt>
            <c:idx val="1"/>
            <c:invertIfNegative val="0"/>
            <c:bubble3D val="0"/>
            <c:spPr>
              <a:solidFill>
                <a:srgbClr val="F1C4C4"/>
              </a:solidFill>
              <a:ln>
                <a:noFill/>
              </a:ln>
              <a:effectLst/>
            </c:spPr>
            <c:extLst>
              <c:ext xmlns:c16="http://schemas.microsoft.com/office/drawing/2014/chart" uri="{C3380CC4-5D6E-409C-BE32-E72D297353CC}">
                <c16:uniqueId val="{00000001-AB91-493A-B93D-0FE4331C028A}"/>
              </c:ext>
            </c:extLst>
          </c:dPt>
          <c:dPt>
            <c:idx val="2"/>
            <c:invertIfNegative val="0"/>
            <c:bubble3D val="0"/>
            <c:spPr>
              <a:solidFill>
                <a:srgbClr val="F4CBCB"/>
              </a:solidFill>
              <a:ln>
                <a:noFill/>
              </a:ln>
              <a:effectLst/>
            </c:spPr>
            <c:extLst>
              <c:ext xmlns:c16="http://schemas.microsoft.com/office/drawing/2014/chart" uri="{C3380CC4-5D6E-409C-BE32-E72D297353CC}">
                <c16:uniqueId val="{00000002-AB91-493A-B93D-0FE4331C028A}"/>
              </c:ext>
            </c:extLst>
          </c:dPt>
          <c:dPt>
            <c:idx val="3"/>
            <c:invertIfNegative val="0"/>
            <c:bubble3D val="0"/>
            <c:spPr>
              <a:solidFill>
                <a:srgbClr val="F4CBCB"/>
              </a:solidFill>
              <a:ln>
                <a:noFill/>
              </a:ln>
              <a:effectLst/>
            </c:spPr>
            <c:extLst>
              <c:ext xmlns:c16="http://schemas.microsoft.com/office/drawing/2014/chart" uri="{C3380CC4-5D6E-409C-BE32-E72D297353CC}">
                <c16:uniqueId val="{00000003-AB91-493A-B93D-0FE4331C028A}"/>
              </c:ext>
            </c:extLst>
          </c:dPt>
          <c:dPt>
            <c:idx val="4"/>
            <c:invertIfNegative val="0"/>
            <c:bubble3D val="0"/>
            <c:spPr>
              <a:solidFill>
                <a:srgbClr val="F4CCCC"/>
              </a:solidFill>
              <a:ln>
                <a:noFill/>
              </a:ln>
              <a:effectLst/>
            </c:spPr>
            <c:extLst>
              <c:ext xmlns:c16="http://schemas.microsoft.com/office/drawing/2014/chart" uri="{C3380CC4-5D6E-409C-BE32-E72D297353CC}">
                <c16:uniqueId val="{00000004-AB91-493A-B93D-0FE4331C028A}"/>
              </c:ext>
            </c:extLst>
          </c:dPt>
          <c:dPt>
            <c:idx val="5"/>
            <c:invertIfNegative val="0"/>
            <c:bubble3D val="0"/>
            <c:spPr>
              <a:solidFill>
                <a:srgbClr val="F4CCCC"/>
              </a:solidFill>
              <a:ln>
                <a:noFill/>
              </a:ln>
              <a:effectLst/>
            </c:spPr>
            <c:extLst>
              <c:ext xmlns:c16="http://schemas.microsoft.com/office/drawing/2014/chart" uri="{C3380CC4-5D6E-409C-BE32-E72D297353CC}">
                <c16:uniqueId val="{00000005-AB91-493A-B93D-0FE4331C028A}"/>
              </c:ext>
            </c:extLst>
          </c:dPt>
          <c:dPt>
            <c:idx val="6"/>
            <c:invertIfNegative val="0"/>
            <c:bubble3D val="0"/>
            <c:spPr>
              <a:solidFill>
                <a:srgbClr val="F4CCCC"/>
              </a:solidFill>
              <a:ln>
                <a:noFill/>
              </a:ln>
              <a:effectLst/>
            </c:spPr>
            <c:extLst>
              <c:ext xmlns:c16="http://schemas.microsoft.com/office/drawing/2014/chart" uri="{C3380CC4-5D6E-409C-BE32-E72D297353CC}">
                <c16:uniqueId val="{00000006-AB91-493A-B93D-0FE4331C028A}"/>
              </c:ext>
            </c:extLst>
          </c:dPt>
          <c:dPt>
            <c:idx val="7"/>
            <c:invertIfNegative val="0"/>
            <c:bubble3D val="0"/>
            <c:spPr>
              <a:solidFill>
                <a:srgbClr val="990000"/>
              </a:solidFill>
              <a:ln>
                <a:noFill/>
              </a:ln>
              <a:effectLst/>
            </c:spPr>
            <c:extLst>
              <c:ext xmlns:c16="http://schemas.microsoft.com/office/drawing/2014/chart" uri="{C3380CC4-5D6E-409C-BE32-E72D297353CC}">
                <c16:uniqueId val="{00000007-AB91-493A-B93D-0FE4331C028A}"/>
              </c:ext>
            </c:extLst>
          </c:dPt>
          <c:dPt>
            <c:idx val="8"/>
            <c:invertIfNegative val="0"/>
            <c:bubble3D val="0"/>
            <c:spPr>
              <a:solidFill>
                <a:srgbClr val="A21313"/>
              </a:solidFill>
              <a:ln>
                <a:noFill/>
              </a:ln>
              <a:effectLst/>
            </c:spPr>
            <c:extLst>
              <c:ext xmlns:c16="http://schemas.microsoft.com/office/drawing/2014/chart" uri="{C3380CC4-5D6E-409C-BE32-E72D297353CC}">
                <c16:uniqueId val="{00000008-AB91-493A-B93D-0FE4331C028A}"/>
              </c:ext>
            </c:extLst>
          </c:dPt>
          <c:cat>
            <c:strRef>
              <c:f>Dashboard!$A$49:$A$63</c:f>
              <c:strCache>
                <c:ptCount val="15"/>
                <c:pt idx="0">
                  <c:v>ahmedabad</c:v>
                </c:pt>
                <c:pt idx="1">
                  <c:v>bengaluru</c:v>
                </c:pt>
                <c:pt idx="2">
                  <c:v>bhubaneswar</c:v>
                </c:pt>
                <c:pt idx="3">
                  <c:v>chandigarh</c:v>
                </c:pt>
                <c:pt idx="4">
                  <c:v>chennai</c:v>
                </c:pt>
                <c:pt idx="5">
                  <c:v>dehradun</c:v>
                </c:pt>
                <c:pt idx="6">
                  <c:v>gurugram</c:v>
                </c:pt>
                <c:pt idx="7">
                  <c:v>guwahati</c:v>
                </c:pt>
                <c:pt idx="8">
                  <c:v>hyderabad</c:v>
                </c:pt>
                <c:pt idx="9">
                  <c:v>indore</c:v>
                </c:pt>
                <c:pt idx="10">
                  <c:v>jaipur</c:v>
                </c:pt>
                <c:pt idx="11">
                  <c:v>kochi</c:v>
                </c:pt>
                <c:pt idx="12">
                  <c:v>panaji</c:v>
                </c:pt>
                <c:pt idx="13">
                  <c:v>raipur</c:v>
                </c:pt>
                <c:pt idx="14">
                  <c:v>ranchi</c:v>
                </c:pt>
              </c:strCache>
            </c:strRef>
          </c:cat>
          <c:val>
            <c:numRef>
              <c:f>Dashboard!$B$49:$B$63</c:f>
              <c:numCache>
                <c:formatCode>\₹#,##0</c:formatCode>
                <c:ptCount val="15"/>
                <c:pt idx="0">
                  <c:v>190570</c:v>
                </c:pt>
                <c:pt idx="1">
                  <c:v>4818912</c:v>
                </c:pt>
                <c:pt idx="2">
                  <c:v>42858</c:v>
                </c:pt>
                <c:pt idx="3">
                  <c:v>0</c:v>
                </c:pt>
                <c:pt idx="4">
                  <c:v>186588</c:v>
                </c:pt>
                <c:pt idx="5">
                  <c:v>38416</c:v>
                </c:pt>
                <c:pt idx="6">
                  <c:v>59612</c:v>
                </c:pt>
                <c:pt idx="7">
                  <c:v>0</c:v>
                </c:pt>
                <c:pt idx="8">
                  <c:v>785805</c:v>
                </c:pt>
                <c:pt idx="9">
                  <c:v>0</c:v>
                </c:pt>
                <c:pt idx="10">
                  <c:v>116205</c:v>
                </c:pt>
                <c:pt idx="11">
                  <c:v>62856</c:v>
                </c:pt>
                <c:pt idx="12">
                  <c:v>0</c:v>
                </c:pt>
                <c:pt idx="13">
                  <c:v>64870</c:v>
                </c:pt>
                <c:pt idx="14">
                  <c:v>117162</c:v>
                </c:pt>
              </c:numCache>
            </c:numRef>
          </c:val>
          <c:extLst>
            <c:ext xmlns:c16="http://schemas.microsoft.com/office/drawing/2014/chart" uri="{C3380CC4-5D6E-409C-BE32-E72D297353CC}">
              <c16:uniqueId val="{00000000-4057-4127-9F53-C1593718C58E}"/>
            </c:ext>
          </c:extLst>
        </c:ser>
        <c:dLbls>
          <c:showLegendKey val="0"/>
          <c:showVal val="0"/>
          <c:showCatName val="0"/>
          <c:showSerName val="0"/>
          <c:showPercent val="0"/>
          <c:showBubbleSize val="0"/>
        </c:dLbls>
        <c:gapWidth val="182"/>
        <c:axId val="1828929231"/>
        <c:axId val="1803313903"/>
      </c:barChart>
      <c:catAx>
        <c:axId val="182892923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313903"/>
        <c:crosses val="autoZero"/>
        <c:auto val="1"/>
        <c:lblAlgn val="ctr"/>
        <c:lblOffset val="100"/>
        <c:noMultiLvlLbl val="0"/>
      </c:catAx>
      <c:valAx>
        <c:axId val="1803313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929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Sales Reps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Dashboard!$V$48</c:f>
              <c:strCache>
                <c:ptCount val="1"/>
                <c:pt idx="0">
                  <c:v>Sales</c:v>
                </c:pt>
              </c:strCache>
            </c:strRef>
          </c:tx>
          <c:spPr>
            <a:solidFill>
              <a:schemeClr val="accent1"/>
            </a:solidFill>
            <a:ln>
              <a:noFill/>
            </a:ln>
            <a:effectLst/>
          </c:spPr>
          <c:invertIfNegative val="0"/>
          <c:cat>
            <c:strRef>
              <c:f>Dashboard!$U$49:$U$58</c:f>
              <c:strCache>
                <c:ptCount val="10"/>
                <c:pt idx="0">
                  <c:v>poonam</c:v>
                </c:pt>
                <c:pt idx="1">
                  <c:v>rohit</c:v>
                </c:pt>
                <c:pt idx="2">
                  <c:v>monika</c:v>
                </c:pt>
                <c:pt idx="3">
                  <c:v>mamta</c:v>
                </c:pt>
                <c:pt idx="4">
                  <c:v>sonal</c:v>
                </c:pt>
                <c:pt idx="5">
                  <c:v>deepak</c:v>
                </c:pt>
                <c:pt idx="6">
                  <c:v>ayush</c:v>
                </c:pt>
                <c:pt idx="7">
                  <c:v>akash</c:v>
                </c:pt>
                <c:pt idx="8">
                  <c:v>arya</c:v>
                </c:pt>
                <c:pt idx="9">
                  <c:v>dev</c:v>
                </c:pt>
              </c:strCache>
            </c:strRef>
          </c:cat>
          <c:val>
            <c:numRef>
              <c:f>Dashboard!$V$49:$V$58</c:f>
              <c:numCache>
                <c:formatCode>\₹#,##0</c:formatCode>
                <c:ptCount val="10"/>
                <c:pt idx="0">
                  <c:v>9303525</c:v>
                </c:pt>
                <c:pt idx="1">
                  <c:v>7436536</c:v>
                </c:pt>
                <c:pt idx="2">
                  <c:v>4647192</c:v>
                </c:pt>
                <c:pt idx="3">
                  <c:v>2015680</c:v>
                </c:pt>
                <c:pt idx="4">
                  <c:v>1053360</c:v>
                </c:pt>
                <c:pt idx="5">
                  <c:v>954810</c:v>
                </c:pt>
                <c:pt idx="6">
                  <c:v>857967</c:v>
                </c:pt>
                <c:pt idx="7">
                  <c:v>520641</c:v>
                </c:pt>
                <c:pt idx="8">
                  <c:v>450104</c:v>
                </c:pt>
                <c:pt idx="9">
                  <c:v>362890</c:v>
                </c:pt>
              </c:numCache>
            </c:numRef>
          </c:val>
          <c:extLst>
            <c:ext xmlns:c16="http://schemas.microsoft.com/office/drawing/2014/chart" uri="{C3380CC4-5D6E-409C-BE32-E72D297353CC}">
              <c16:uniqueId val="{00000000-C5C5-4AE4-9CD5-9D531B46CFD8}"/>
            </c:ext>
          </c:extLst>
        </c:ser>
        <c:dLbls>
          <c:showLegendKey val="0"/>
          <c:showVal val="0"/>
          <c:showCatName val="0"/>
          <c:showSerName val="0"/>
          <c:showPercent val="0"/>
          <c:showBubbleSize val="0"/>
        </c:dLbls>
        <c:gapWidth val="182"/>
        <c:axId val="1828886079"/>
        <c:axId val="1803337423"/>
      </c:barChart>
      <c:catAx>
        <c:axId val="18288860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 Rep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337423"/>
        <c:crosses val="autoZero"/>
        <c:auto val="1"/>
        <c:lblAlgn val="ctr"/>
        <c:lblOffset val="100"/>
        <c:noMultiLvlLbl val="0"/>
      </c:catAx>
      <c:valAx>
        <c:axId val="180333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86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Dashboard!$K$48</c:f>
              <c:strCache>
                <c:ptCount val="1"/>
                <c:pt idx="0">
                  <c:v>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Dashboard!$J$49:$J$59</c:f>
              <c:strCache>
                <c:ptCount val="11"/>
                <c:pt idx="0">
                  <c:v>January</c:v>
                </c:pt>
                <c:pt idx="1">
                  <c:v>February</c:v>
                </c:pt>
                <c:pt idx="2">
                  <c:v>March</c:v>
                </c:pt>
                <c:pt idx="3">
                  <c:v>April</c:v>
                </c:pt>
                <c:pt idx="4">
                  <c:v>May</c:v>
                </c:pt>
                <c:pt idx="5">
                  <c:v>June</c:v>
                </c:pt>
                <c:pt idx="6">
                  <c:v>July</c:v>
                </c:pt>
                <c:pt idx="7">
                  <c:v>August</c:v>
                </c:pt>
                <c:pt idx="8">
                  <c:v>September</c:v>
                </c:pt>
                <c:pt idx="9">
                  <c:v>October</c:v>
                </c:pt>
                <c:pt idx="10">
                  <c:v>November</c:v>
                </c:pt>
              </c:strCache>
            </c:strRef>
          </c:cat>
          <c:val>
            <c:numRef>
              <c:f>Dashboard!$K$49:$K$59</c:f>
              <c:numCache>
                <c:formatCode>\₹#,##0</c:formatCode>
                <c:ptCount val="11"/>
                <c:pt idx="0">
                  <c:v>21582961</c:v>
                </c:pt>
                <c:pt idx="1">
                  <c:v>8754198</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5CD9-49B0-BBA8-35EA95DB8351}"/>
            </c:ext>
          </c:extLst>
        </c:ser>
        <c:dLbls>
          <c:showLegendKey val="0"/>
          <c:showVal val="0"/>
          <c:showCatName val="0"/>
          <c:showSerName val="0"/>
          <c:showPercent val="0"/>
          <c:showBubbleSize val="0"/>
        </c:dLbls>
        <c:marker val="1"/>
        <c:smooth val="0"/>
        <c:axId val="1828948255"/>
        <c:axId val="1803113743"/>
      </c:lineChart>
      <c:catAx>
        <c:axId val="18289482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113743"/>
        <c:crosses val="autoZero"/>
        <c:auto val="1"/>
        <c:lblAlgn val="ctr"/>
        <c:lblOffset val="100"/>
        <c:noMultiLvlLbl val="0"/>
      </c:catAx>
      <c:valAx>
        <c:axId val="180311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948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Dashboard!$E$48</c:f>
              <c:strCache>
                <c:ptCount val="1"/>
                <c:pt idx="0">
                  <c:v>Sales</c:v>
                </c:pt>
              </c:strCache>
            </c:strRef>
          </c:tx>
          <c:spPr>
            <a:solidFill>
              <a:schemeClr val="accent1"/>
            </a:solidFill>
            <a:ln>
              <a:noFill/>
            </a:ln>
            <a:effectLst/>
          </c:spPr>
          <c:invertIfNegative val="0"/>
          <c:cat>
            <c:strRef>
              <c:f>Dashboard!$D$49:$D$59</c:f>
              <c:strCache>
                <c:ptCount val="11"/>
                <c:pt idx="0">
                  <c:v>armory</c:v>
                </c:pt>
                <c:pt idx="1">
                  <c:v>beauty</c:v>
                </c:pt>
                <c:pt idx="2">
                  <c:v>books</c:v>
                </c:pt>
                <c:pt idx="3">
                  <c:v>clothes</c:v>
                </c:pt>
                <c:pt idx="4">
                  <c:v>electronic</c:v>
                </c:pt>
                <c:pt idx="5">
                  <c:v>gym equpments</c:v>
                </c:pt>
                <c:pt idx="6">
                  <c:v>kitchen</c:v>
                </c:pt>
                <c:pt idx="7">
                  <c:v>medicine</c:v>
                </c:pt>
                <c:pt idx="8">
                  <c:v>stationary</c:v>
                </c:pt>
                <c:pt idx="9">
                  <c:v>supplyments</c:v>
                </c:pt>
                <c:pt idx="10">
                  <c:v>toys</c:v>
                </c:pt>
              </c:strCache>
            </c:strRef>
          </c:cat>
          <c:val>
            <c:numRef>
              <c:f>Dashboard!$E$49:$E$59</c:f>
              <c:numCache>
                <c:formatCode>\₹#,##0</c:formatCode>
                <c:ptCount val="11"/>
                <c:pt idx="0">
                  <c:v>329243</c:v>
                </c:pt>
                <c:pt idx="1">
                  <c:v>140112</c:v>
                </c:pt>
                <c:pt idx="2">
                  <c:v>85940</c:v>
                </c:pt>
                <c:pt idx="3">
                  <c:v>556362</c:v>
                </c:pt>
                <c:pt idx="4">
                  <c:v>5953482</c:v>
                </c:pt>
                <c:pt idx="5">
                  <c:v>169330</c:v>
                </c:pt>
                <c:pt idx="6">
                  <c:v>495060</c:v>
                </c:pt>
                <c:pt idx="7">
                  <c:v>235124</c:v>
                </c:pt>
                <c:pt idx="8">
                  <c:v>158184</c:v>
                </c:pt>
                <c:pt idx="9">
                  <c:v>179645</c:v>
                </c:pt>
                <c:pt idx="10">
                  <c:v>14056353</c:v>
                </c:pt>
              </c:numCache>
            </c:numRef>
          </c:val>
          <c:extLst>
            <c:ext xmlns:c16="http://schemas.microsoft.com/office/drawing/2014/chart" uri="{C3380CC4-5D6E-409C-BE32-E72D297353CC}">
              <c16:uniqueId val="{00000000-6CFA-450D-8819-712F55FBD6AA}"/>
            </c:ext>
          </c:extLst>
        </c:ser>
        <c:dLbls>
          <c:showLegendKey val="0"/>
          <c:showVal val="0"/>
          <c:showCatName val="0"/>
          <c:showSerName val="0"/>
          <c:showPercent val="0"/>
          <c:showBubbleSize val="0"/>
        </c:dLbls>
        <c:gapWidth val="182"/>
        <c:axId val="1828962639"/>
        <c:axId val="1803197263"/>
      </c:barChart>
      <c:catAx>
        <c:axId val="182896263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Category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197263"/>
        <c:crosses val="autoZero"/>
        <c:auto val="1"/>
        <c:lblAlgn val="ctr"/>
        <c:lblOffset val="100"/>
        <c:noMultiLvlLbl val="0"/>
      </c:catAx>
      <c:valAx>
        <c:axId val="18031972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Sales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962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products by 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rgbClr val="2E75B6"/>
            </a:solidFill>
            <a:ln>
              <a:noFill/>
            </a:ln>
            <a:effectLst/>
          </c:spPr>
          <c:invertIfNegative val="0"/>
          <c:cat>
            <c:strRef>
              <c:f>'Validation Dashboard'!$E$6:$E$15</c:f>
              <c:strCache>
                <c:ptCount val="10"/>
                <c:pt idx="0">
                  <c:v>Moniter</c:v>
                </c:pt>
                <c:pt idx="1">
                  <c:v>Laptop</c:v>
                </c:pt>
                <c:pt idx="2">
                  <c:v>Mouse</c:v>
                </c:pt>
                <c:pt idx="3">
                  <c:v>Dollo</c:v>
                </c:pt>
                <c:pt idx="4">
                  <c:v>Sunsscreen</c:v>
                </c:pt>
                <c:pt idx="5">
                  <c:v>Auto</c:v>
                </c:pt>
                <c:pt idx="6">
                  <c:v>B.Com(Hons) Set</c:v>
                </c:pt>
                <c:pt idx="7">
                  <c:v>Maths</c:v>
                </c:pt>
                <c:pt idx="8">
                  <c:v>Mobile Phone</c:v>
                </c:pt>
                <c:pt idx="9">
                  <c:v>Pencils</c:v>
                </c:pt>
              </c:strCache>
            </c:strRef>
          </c:cat>
          <c:val>
            <c:numRef>
              <c:f>'Validation Dashboard'!$F$6:$F$15</c:f>
              <c:numCache>
                <c:formatCode>\₹\ #,##0</c:formatCode>
                <c:ptCount val="10"/>
                <c:pt idx="0">
                  <c:v>34124101</c:v>
                </c:pt>
                <c:pt idx="1">
                  <c:v>26514653</c:v>
                </c:pt>
                <c:pt idx="2">
                  <c:v>23839610</c:v>
                </c:pt>
                <c:pt idx="3">
                  <c:v>17418089</c:v>
                </c:pt>
                <c:pt idx="4">
                  <c:v>17136413</c:v>
                </c:pt>
                <c:pt idx="5">
                  <c:v>17135453</c:v>
                </c:pt>
                <c:pt idx="6">
                  <c:v>17121731</c:v>
                </c:pt>
                <c:pt idx="7">
                  <c:v>15982485</c:v>
                </c:pt>
                <c:pt idx="8">
                  <c:v>15971827</c:v>
                </c:pt>
                <c:pt idx="9">
                  <c:v>15782096</c:v>
                </c:pt>
              </c:numCache>
            </c:numRef>
          </c:val>
          <c:extLst>
            <c:ext xmlns:c16="http://schemas.microsoft.com/office/drawing/2014/chart" uri="{C3380CC4-5D6E-409C-BE32-E72D297353CC}">
              <c16:uniqueId val="{00000000-17EE-4786-B05A-B55B3DA85AFC}"/>
            </c:ext>
          </c:extLst>
        </c:ser>
        <c:dLbls>
          <c:showLegendKey val="0"/>
          <c:showVal val="0"/>
          <c:showCatName val="0"/>
          <c:showSerName val="0"/>
          <c:showPercent val="0"/>
          <c:showBubbleSize val="0"/>
        </c:dLbls>
        <c:gapWidth val="182"/>
        <c:axId val="1097185023"/>
        <c:axId val="995642031"/>
      </c:barChart>
      <c:catAx>
        <c:axId val="109718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642031"/>
        <c:crosses val="autoZero"/>
        <c:auto val="1"/>
        <c:lblAlgn val="ctr"/>
        <c:lblOffset val="100"/>
        <c:noMultiLvlLbl val="0"/>
      </c:catAx>
      <c:valAx>
        <c:axId val="995642031"/>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1850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Lines vs unique vs duplicates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1F4E78"/>
            </a:solidFill>
            <a:ln>
              <a:noFill/>
            </a:ln>
            <a:effectLst/>
          </c:spPr>
          <c:invertIfNegative val="0"/>
          <c:cat>
            <c:strRef>
              <c:f>'Validation Dashboard'!$A$5:$A$8</c:f>
              <c:strCache>
                <c:ptCount val="4"/>
                <c:pt idx="0">
                  <c:v>Line items</c:v>
                </c:pt>
                <c:pt idx="1">
                  <c:v>Unique products</c:v>
                </c:pt>
                <c:pt idx="2">
                  <c:v>Duplicate rows</c:v>
                </c:pt>
                <c:pt idx="3">
                  <c:v>Duplicate rate</c:v>
                </c:pt>
              </c:strCache>
            </c:strRef>
          </c:cat>
          <c:val>
            <c:numRef>
              <c:f>'Validation Dashboard'!$B$5:$B$8</c:f>
              <c:numCache>
                <c:formatCode>General</c:formatCode>
                <c:ptCount val="4"/>
                <c:pt idx="0">
                  <c:v>116</c:v>
                </c:pt>
                <c:pt idx="1">
                  <c:v>55</c:v>
                </c:pt>
                <c:pt idx="2">
                  <c:v>61</c:v>
                </c:pt>
                <c:pt idx="3" formatCode="0.0%">
                  <c:v>0.52586206896551724</c:v>
                </c:pt>
              </c:numCache>
            </c:numRef>
          </c:val>
          <c:extLst>
            <c:ext xmlns:c16="http://schemas.microsoft.com/office/drawing/2014/chart" uri="{C3380CC4-5D6E-409C-BE32-E72D297353CC}">
              <c16:uniqueId val="{00000000-89A6-4A2D-AE28-A5F1E9F99A0A}"/>
            </c:ext>
          </c:extLst>
        </c:ser>
        <c:dLbls>
          <c:showLegendKey val="0"/>
          <c:showVal val="0"/>
          <c:showCatName val="0"/>
          <c:showSerName val="0"/>
          <c:showPercent val="0"/>
          <c:showBubbleSize val="0"/>
        </c:dLbls>
        <c:gapWidth val="219"/>
        <c:overlap val="-27"/>
        <c:axId val="1990338015"/>
        <c:axId val="995654511"/>
      </c:barChart>
      <c:catAx>
        <c:axId val="1990338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654511"/>
        <c:crosses val="autoZero"/>
        <c:auto val="1"/>
        <c:lblAlgn val="ctr"/>
        <c:lblOffset val="100"/>
        <c:noMultiLvlLbl val="0"/>
      </c:catAx>
      <c:valAx>
        <c:axId val="99565451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338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Each student's total marks</cx:v>
        </cx:txData>
      </cx:tx>
    </cx:title>
    <cx:plotArea>
      <cx:plotAreaRegion>
        <cx:series layoutId="waterfall" uniqueId="{00000000-EFD0-4361-AE74-D9FFA563BE67}">
          <cx:tx>
            <cx:txData>
              <cx:f>_xlchart.v1.1</cx:f>
              <cx:v>Total</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City sales build-up</cx:v>
        </cx:txData>
      </cx:tx>
    </cx:title>
    <cx:plotArea>
      <cx:plotAreaRegion>
        <cx:series layoutId="waterfall" uniqueId="{00000000-CDB1-4571-AC3D-817234B970D7}">
          <cx:tx>
            <cx:txData>
              <cx:f>_xlchart.v1.4</cx:f>
              <cx:v>Sales Value</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xdr:colOff>
      <xdr:row>54</xdr:row>
      <xdr:rowOff>0</xdr:rowOff>
    </xdr:from>
    <xdr:to>
      <xdr:col>4</xdr:col>
      <xdr:colOff>1</xdr:colOff>
      <xdr:row>70</xdr:row>
      <xdr:rowOff>0</xdr:rowOff>
    </xdr:to>
    <xdr:graphicFrame macro="">
      <xdr:nvGraphicFramePr>
        <xdr:cNvPr id="2" name="SubjectAverages">
          <a:extLst>
            <a:ext uri="{FF2B5EF4-FFF2-40B4-BE49-F238E27FC236}">
              <a16:creationId xmlns:a16="http://schemas.microsoft.com/office/drawing/2014/main" id="{3CE3DABA-ACAF-86FA-CC60-3CA798324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54</xdr:row>
      <xdr:rowOff>0</xdr:rowOff>
    </xdr:from>
    <xdr:to>
      <xdr:col>8</xdr:col>
      <xdr:colOff>0</xdr:colOff>
      <xdr:row>70</xdr:row>
      <xdr:rowOff>0</xdr:rowOff>
    </xdr:to>
    <xdr:graphicFrame macro="">
      <xdr:nvGraphicFramePr>
        <xdr:cNvPr id="3" name="GradeMix">
          <a:extLst>
            <a:ext uri="{FF2B5EF4-FFF2-40B4-BE49-F238E27FC236}">
              <a16:creationId xmlns:a16="http://schemas.microsoft.com/office/drawing/2014/main" id="{CC7864AE-2E9B-60FB-0D7B-9AC8901341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62</xdr:row>
      <xdr:rowOff>0</xdr:rowOff>
    </xdr:from>
    <xdr:to>
      <xdr:col>24</xdr:col>
      <xdr:colOff>0</xdr:colOff>
      <xdr:row>82</xdr:row>
      <xdr:rowOff>0</xdr:rowOff>
    </xdr:to>
    <mc:AlternateContent xmlns:mc="http://schemas.openxmlformats.org/markup-compatibility/2006">
      <mc:Choice xmlns:cx1="http://schemas.microsoft.com/office/drawing/2015/9/8/chartex" Requires="cx1">
        <xdr:graphicFrame macro="">
          <xdr:nvGraphicFramePr>
            <xdr:cNvPr id="5" name="StudentMarksWaterfall">
              <a:extLst>
                <a:ext uri="{FF2B5EF4-FFF2-40B4-BE49-F238E27FC236}">
                  <a16:creationId xmlns:a16="http://schemas.microsoft.com/office/drawing/2014/main" id="{35DA9189-A85F-B4BC-FF11-78F5D76D788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4087475" y="13382625"/>
              <a:ext cx="8839200" cy="3810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1200148</xdr:colOff>
      <xdr:row>15</xdr:row>
      <xdr:rowOff>1</xdr:rowOff>
    </xdr:from>
    <xdr:to>
      <xdr:col>17</xdr:col>
      <xdr:colOff>1457323</xdr:colOff>
      <xdr:row>31</xdr:row>
      <xdr:rowOff>1</xdr:rowOff>
    </xdr:to>
    <mc:AlternateContent xmlns:mc="http://schemas.openxmlformats.org/markup-compatibility/2006">
      <mc:Choice xmlns:cx1="http://schemas.microsoft.com/office/drawing/2015/9/8/chartex" Requires="cx1">
        <xdr:graphicFrame macro="">
          <xdr:nvGraphicFramePr>
            <xdr:cNvPr id="3" name="CitySalesValueChart">
              <a:extLst>
                <a:ext uri="{FF2B5EF4-FFF2-40B4-BE49-F238E27FC236}">
                  <a16:creationId xmlns:a16="http://schemas.microsoft.com/office/drawing/2014/main" id="{2FB8E1F0-9AD7-6BF3-6089-0810930C50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040223" y="2876551"/>
              <a:ext cx="9439275" cy="601027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59</xdr:row>
      <xdr:rowOff>0</xdr:rowOff>
    </xdr:from>
    <xdr:to>
      <xdr:col>8</xdr:col>
      <xdr:colOff>0</xdr:colOff>
      <xdr:row>76</xdr:row>
      <xdr:rowOff>0</xdr:rowOff>
    </xdr:to>
    <xdr:graphicFrame macro="">
      <xdr:nvGraphicFramePr>
        <xdr:cNvPr id="2" name="MonthlyRevenueTrend">
          <a:extLst>
            <a:ext uri="{FF2B5EF4-FFF2-40B4-BE49-F238E27FC236}">
              <a16:creationId xmlns:a16="http://schemas.microsoft.com/office/drawing/2014/main" id="{6FAB56C2-5B84-8FFA-CE15-0D8256FD34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xdr:colOff>
      <xdr:row>59</xdr:row>
      <xdr:rowOff>0</xdr:rowOff>
    </xdr:from>
    <xdr:to>
      <xdr:col>17</xdr:col>
      <xdr:colOff>1</xdr:colOff>
      <xdr:row>76</xdr:row>
      <xdr:rowOff>0</xdr:rowOff>
    </xdr:to>
    <xdr:graphicFrame macro="">
      <xdr:nvGraphicFramePr>
        <xdr:cNvPr id="3" name="Top10Products">
          <a:extLst>
            <a:ext uri="{FF2B5EF4-FFF2-40B4-BE49-F238E27FC236}">
              <a16:creationId xmlns:a16="http://schemas.microsoft.com/office/drawing/2014/main" id="{6C70A9BC-D79F-0B4F-4960-9F34E300DE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78</xdr:row>
      <xdr:rowOff>0</xdr:rowOff>
    </xdr:from>
    <xdr:to>
      <xdr:col>17</xdr:col>
      <xdr:colOff>1</xdr:colOff>
      <xdr:row>95</xdr:row>
      <xdr:rowOff>0</xdr:rowOff>
    </xdr:to>
    <xdr:graphicFrame macro="">
      <xdr:nvGraphicFramePr>
        <xdr:cNvPr id="5" name="ActiveProductsTrend">
          <a:extLst>
            <a:ext uri="{FF2B5EF4-FFF2-40B4-BE49-F238E27FC236}">
              <a16:creationId xmlns:a16="http://schemas.microsoft.com/office/drawing/2014/main" id="{0FDF485F-37FF-6244-C2D1-DFD350BE29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78</xdr:row>
      <xdr:rowOff>0</xdr:rowOff>
    </xdr:from>
    <xdr:to>
      <xdr:col>8</xdr:col>
      <xdr:colOff>0</xdr:colOff>
      <xdr:row>95</xdr:row>
      <xdr:rowOff>0</xdr:rowOff>
    </xdr:to>
    <xdr:graphicFrame macro="">
      <xdr:nvGraphicFramePr>
        <xdr:cNvPr id="7" name="Top5ProductMixColumn">
          <a:extLst>
            <a:ext uri="{FF2B5EF4-FFF2-40B4-BE49-F238E27FC236}">
              <a16:creationId xmlns:a16="http://schemas.microsoft.com/office/drawing/2014/main" id="{384A9B92-9ACC-A8EC-E420-2D2ACBDEB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114</xdr:row>
      <xdr:rowOff>0</xdr:rowOff>
    </xdr:from>
    <xdr:to>
      <xdr:col>12</xdr:col>
      <xdr:colOff>0</xdr:colOff>
      <xdr:row>134</xdr:row>
      <xdr:rowOff>0</xdr:rowOff>
    </xdr:to>
    <xdr:graphicFrame macro="">
      <xdr:nvGraphicFramePr>
        <xdr:cNvPr id="3" name="OverallPayrollMixChart">
          <a:extLst>
            <a:ext uri="{FF2B5EF4-FFF2-40B4-BE49-F238E27FC236}">
              <a16:creationId xmlns:a16="http://schemas.microsoft.com/office/drawing/2014/main" id="{5BFC5A23-8123-C64C-528C-582AC0C219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9525</xdr:colOff>
          <xdr:row>1</xdr:row>
          <xdr:rowOff>171450</xdr:rowOff>
        </xdr:from>
        <xdr:to>
          <xdr:col>16</xdr:col>
          <xdr:colOff>438150</xdr:colOff>
          <xdr:row>2</xdr:row>
          <xdr:rowOff>180975</xdr:rowOff>
        </xdr:to>
        <xdr:sp macro="" textlink="">
          <xdr:nvSpPr>
            <xdr:cNvPr id="19457" name="ListBox1"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39</xdr:col>
      <xdr:colOff>0</xdr:colOff>
      <xdr:row>0</xdr:row>
      <xdr:rowOff>0</xdr:rowOff>
    </xdr:from>
    <xdr:to>
      <xdr:col>49</xdr:col>
      <xdr:colOff>0</xdr:colOff>
      <xdr:row>20</xdr:row>
      <xdr:rowOff>0</xdr:rowOff>
    </xdr:to>
    <xdr:graphicFrame macro="">
      <xdr:nvGraphicFramePr>
        <xdr:cNvPr id="2" name="AttendanceTrendLine">
          <a:extLst>
            <a:ext uri="{FF2B5EF4-FFF2-40B4-BE49-F238E27FC236}">
              <a16:creationId xmlns:a16="http://schemas.microsoft.com/office/drawing/2014/main" id="{C929141C-42E4-ADD0-AC6D-D0ED51FC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12</xdr:row>
      <xdr:rowOff>0</xdr:rowOff>
    </xdr:from>
    <xdr:to>
      <xdr:col>5</xdr:col>
      <xdr:colOff>314325</xdr:colOff>
      <xdr:row>28</xdr:row>
      <xdr:rowOff>0</xdr:rowOff>
    </xdr:to>
    <xdr:graphicFrame macro="">
      <xdr:nvGraphicFramePr>
        <xdr:cNvPr id="2" name="CitySalesChart">
          <a:extLst>
            <a:ext uri="{FF2B5EF4-FFF2-40B4-BE49-F238E27FC236}">
              <a16:creationId xmlns:a16="http://schemas.microsoft.com/office/drawing/2014/main" id="{58B20F42-E7FF-95B7-18D6-9B2F2C505D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28</xdr:row>
      <xdr:rowOff>0</xdr:rowOff>
    </xdr:from>
    <xdr:to>
      <xdr:col>6</xdr:col>
      <xdr:colOff>0</xdr:colOff>
      <xdr:row>44</xdr:row>
      <xdr:rowOff>0</xdr:rowOff>
    </xdr:to>
    <xdr:graphicFrame macro="">
      <xdr:nvGraphicFramePr>
        <xdr:cNvPr id="4" name="RepPerformanceChart">
          <a:extLst>
            <a:ext uri="{FF2B5EF4-FFF2-40B4-BE49-F238E27FC236}">
              <a16:creationId xmlns:a16="http://schemas.microsoft.com/office/drawing/2014/main" id="{998F81F9-A999-CC49-D56C-AA5795B97D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28</xdr:row>
      <xdr:rowOff>0</xdr:rowOff>
    </xdr:from>
    <xdr:to>
      <xdr:col>12</xdr:col>
      <xdr:colOff>0</xdr:colOff>
      <xdr:row>44</xdr:row>
      <xdr:rowOff>0</xdr:rowOff>
    </xdr:to>
    <xdr:graphicFrame macro="">
      <xdr:nvGraphicFramePr>
        <xdr:cNvPr id="5" name="MonthlySalesChart">
          <a:extLst>
            <a:ext uri="{FF2B5EF4-FFF2-40B4-BE49-F238E27FC236}">
              <a16:creationId xmlns:a16="http://schemas.microsoft.com/office/drawing/2014/main" id="{6311DA5D-8F8B-2BA9-D2E4-CC30F9CF89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542924</xdr:colOff>
      <xdr:row>12</xdr:row>
      <xdr:rowOff>0</xdr:rowOff>
    </xdr:from>
    <xdr:to>
      <xdr:col>10</xdr:col>
      <xdr:colOff>1181099</xdr:colOff>
      <xdr:row>28</xdr:row>
      <xdr:rowOff>0</xdr:rowOff>
    </xdr:to>
    <xdr:graphicFrame macro="">
      <xdr:nvGraphicFramePr>
        <xdr:cNvPr id="6" name="CategorySalesChart">
          <a:extLst>
            <a:ext uri="{FF2B5EF4-FFF2-40B4-BE49-F238E27FC236}">
              <a16:creationId xmlns:a16="http://schemas.microsoft.com/office/drawing/2014/main" id="{57201E03-9B9B-2B37-7D3C-AA169CB5E5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1139825</xdr:colOff>
      <xdr:row>47</xdr:row>
      <xdr:rowOff>254000</xdr:rowOff>
    </xdr:from>
    <xdr:to>
      <xdr:col>5</xdr:col>
      <xdr:colOff>0</xdr:colOff>
      <xdr:row>48</xdr:row>
      <xdr:rowOff>266700</xdr:rowOff>
    </xdr:to>
    <xdr:sp macro="[0]!GeneratePDFReport" textlink="">
      <xdr:nvSpPr>
        <xdr:cNvPr id="2" name="btnGeneratePDF">
          <a:extLst>
            <a:ext uri="{FF2B5EF4-FFF2-40B4-BE49-F238E27FC236}">
              <a16:creationId xmlns:a16="http://schemas.microsoft.com/office/drawing/2014/main" id="{A80F48F1-7975-4C22-990B-F78F4CED55A0}"/>
            </a:ext>
          </a:extLst>
        </xdr:cNvPr>
        <xdr:cNvSpPr/>
      </xdr:nvSpPr>
      <xdr:spPr>
        <a:xfrm>
          <a:off x="3502025" y="10779125"/>
          <a:ext cx="2470150" cy="288925"/>
        </a:xfrm>
        <a:prstGeom prst="roundRect">
          <a:avLst/>
        </a:prstGeom>
        <a:solidFill>
          <a:srgbClr val="C00000"/>
        </a:solidFill>
        <a:ln w="12700" cap="flat" cmpd="sng" algn="ctr">
          <a:solidFill>
            <a:srgbClr val="1F4E78"/>
          </a:solidFill>
          <a:prstDash val="solid"/>
          <a:miter lim="800000"/>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0" lang="en-IN" sz="1100" b="1" i="0" u="none" strike="noStrike" kern="0" cap="none" spc="0" normalizeH="0" baseline="0" noProof="0">
              <a:ln>
                <a:noFill/>
              </a:ln>
              <a:solidFill>
                <a:srgbClr val="FFFFFF"/>
              </a:solidFill>
              <a:effectLst/>
              <a:uLnTx/>
              <a:uFillTx/>
              <a:latin typeface="Calibri"/>
              <a:ea typeface="Calibri"/>
              <a:cs typeface="Calibri"/>
            </a:rPr>
            <a:t>add all files</a:t>
          </a:r>
        </a:p>
      </xdr:txBody>
    </xdr:sp>
    <xdr:clientData/>
  </xdr:twoCellAnchor>
  <xdr:twoCellAnchor>
    <xdr:from>
      <xdr:col>0</xdr:col>
      <xdr:colOff>0</xdr:colOff>
      <xdr:row>47</xdr:row>
      <xdr:rowOff>247650</xdr:rowOff>
    </xdr:from>
    <xdr:to>
      <xdr:col>2</xdr:col>
      <xdr:colOff>0</xdr:colOff>
      <xdr:row>48</xdr:row>
      <xdr:rowOff>276224</xdr:rowOff>
    </xdr:to>
    <xdr:sp macro="[0]!GeneratePDFReport" textlink="">
      <xdr:nvSpPr>
        <xdr:cNvPr id="3" name="btnGenerateAllReports">
          <a:extLst>
            <a:ext uri="{FF2B5EF4-FFF2-40B4-BE49-F238E27FC236}">
              <a16:creationId xmlns:a16="http://schemas.microsoft.com/office/drawing/2014/main" id="{91F39258-6508-4299-93D5-56690656EA58}"/>
            </a:ext>
          </a:extLst>
        </xdr:cNvPr>
        <xdr:cNvSpPr/>
      </xdr:nvSpPr>
      <xdr:spPr>
        <a:xfrm>
          <a:off x="0" y="10772775"/>
          <a:ext cx="2362200" cy="304799"/>
        </a:xfrm>
        <a:prstGeom prst="roundRect">
          <a:avLst/>
        </a:prstGeom>
        <a:solidFill>
          <a:srgbClr val="C00000"/>
        </a:solidFill>
        <a:ln w="12700" cap="flat" cmpd="sng" algn="ctr">
          <a:solidFill>
            <a:srgbClr val="548235"/>
          </a:solidFill>
          <a:prstDash val="solid"/>
          <a:miter lim="800000"/>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0" lang="en-IN" sz="1100" b="1" i="0" u="none" strike="noStrike" kern="0" cap="none" spc="0" normalizeH="0" baseline="0" noProof="0">
              <a:ln>
                <a:noFill/>
              </a:ln>
              <a:solidFill>
                <a:srgbClr val="FFFFFF"/>
              </a:solidFill>
              <a:effectLst/>
              <a:uLnTx/>
              <a:uFillTx/>
              <a:latin typeface="Calibri"/>
              <a:ea typeface="Calibri"/>
              <a:cs typeface="Calibri"/>
            </a:rPr>
            <a:t>generate PDF</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31</xdr:row>
      <xdr:rowOff>0</xdr:rowOff>
    </xdr:from>
    <xdr:to>
      <xdr:col>4</xdr:col>
      <xdr:colOff>0</xdr:colOff>
      <xdr:row>48</xdr:row>
      <xdr:rowOff>0</xdr:rowOff>
    </xdr:to>
    <xdr:graphicFrame macro="">
      <xdr:nvGraphicFramePr>
        <xdr:cNvPr id="2" name="Top10Amount">
          <a:extLst>
            <a:ext uri="{FF2B5EF4-FFF2-40B4-BE49-F238E27FC236}">
              <a16:creationId xmlns:a16="http://schemas.microsoft.com/office/drawing/2014/main" id="{19CC9BE8-8DC8-29B7-8C7D-687A13BFB5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xdr:colOff>
      <xdr:row>31</xdr:row>
      <xdr:rowOff>0</xdr:rowOff>
    </xdr:from>
    <xdr:to>
      <xdr:col>7</xdr:col>
      <xdr:colOff>1</xdr:colOff>
      <xdr:row>48</xdr:row>
      <xdr:rowOff>0</xdr:rowOff>
    </xdr:to>
    <xdr:graphicFrame macro="">
      <xdr:nvGraphicFramePr>
        <xdr:cNvPr id="3" name="RegisterMix">
          <a:extLst>
            <a:ext uri="{FF2B5EF4-FFF2-40B4-BE49-F238E27FC236}">
              <a16:creationId xmlns:a16="http://schemas.microsoft.com/office/drawing/2014/main" id="{8AE0A8E1-9F9E-51E0-8937-B3460E494A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7</xdr:row>
          <xdr:rowOff>0</xdr:rowOff>
        </xdr:from>
        <xdr:to>
          <xdr:col>7</xdr:col>
          <xdr:colOff>9525</xdr:colOff>
          <xdr:row>8</xdr:row>
          <xdr:rowOff>38100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1A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New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600075</xdr:colOff>
          <xdr:row>6</xdr:row>
          <xdr:rowOff>171450</xdr:rowOff>
        </xdr:from>
        <xdr:to>
          <xdr:col>10</xdr:col>
          <xdr:colOff>104775</xdr:colOff>
          <xdr:row>8</xdr:row>
          <xdr:rowOff>38100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1A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playtwoplayers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180975</xdr:rowOff>
        </xdr:from>
        <xdr:to>
          <xdr:col>13</xdr:col>
          <xdr:colOff>28575</xdr:colOff>
          <xdr:row>8</xdr:row>
          <xdr:rowOff>28575</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A00-000003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playVScomputer</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F56F5BEC-CA6A-4EFC-9C2B-E472198674CD}"/>
</namedSheetView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shar kumar" refreshedDate="46208.930283333335" createdVersion="8" refreshedVersion="8" minRefreshableVersion="3" recordCount="29" xr:uid="{F5397391-2462-44BE-8703-C4F71A55FAAB}">
  <cacheSource type="worksheet">
    <worksheetSource ref="A1:D30" sheet="item list"/>
  </cacheSource>
  <cacheFields count="4">
    <cacheField name="items" numFmtId="0">
      <sharedItems count="29">
        <s v="oats"/>
        <s v="eggs"/>
        <s v="milk"/>
        <s v="soya chunks"/>
        <s v="rice"/>
        <s v="peanuts"/>
        <s v="cheakpics"/>
        <s v="paneer"/>
        <s v="roti"/>
        <s v="dal"/>
        <s v="cucumbr"/>
        <s v="accounts"/>
        <s v="maths"/>
        <s v="english"/>
        <s v="economics"/>
        <s v="bst"/>
        <s v="it"/>
        <s v="formula book"/>
        <s v="oddissy"/>
        <s v="avengers"/>
        <s v="doomsday"/>
        <s v="gpu"/>
        <s v="ram"/>
        <s v="ssd"/>
        <s v="cabinet"/>
        <s v="motherboard"/>
        <s v="cooling fan"/>
        <s v="psu"/>
        <s v="grand total"/>
      </sharedItems>
    </cacheField>
    <cacheField name="quantity" numFmtId="0">
      <sharedItems containsBlank="1" count="5">
        <s v="2 pcs"/>
        <s v="12 pcs"/>
        <s v="3 pcs"/>
        <s v="1 pcs"/>
        <m/>
      </sharedItems>
    </cacheField>
    <cacheField name="rate" numFmtId="172">
      <sharedItems containsSemiMixedTypes="0" containsString="0" containsNumber="1" containsInteger="1" minValue="1" maxValue="101954" count="27">
        <n v="1"/>
        <n v="13"/>
        <n v="10"/>
        <n v="3"/>
        <n v="4"/>
        <n v="5"/>
        <n v="3538"/>
        <n v="731"/>
        <n v="4542"/>
        <n v="4373"/>
        <n v="7201"/>
        <n v="2976"/>
        <n v="5720"/>
        <n v="4161"/>
        <n v="5314"/>
        <n v="7488"/>
        <n v="1260"/>
        <n v="8007"/>
        <n v="5916"/>
        <n v="8015"/>
        <n v="9928"/>
        <n v="4646"/>
        <n v="6247"/>
        <n v="6689"/>
        <n v="1083"/>
        <n v="4076"/>
        <n v="101954"/>
      </sharedItems>
    </cacheField>
    <cacheField name="amount" numFmtId="172">
      <sharedItems containsSemiMixedTypes="0" containsString="0" containsNumber="1" containsInteger="1" minValue="2" maxValue="1021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shar kumar" refreshedDate="46247.692026736113" createdVersion="8" refreshedVersion="8" minRefreshableVersion="3" recordCount="116" xr:uid="{FFAA87E6-FF76-4BBD-B54F-E9F99B7B373C}">
  <cacheSource type="worksheet">
    <worksheetSource ref="A2:C118" sheet="data velidation"/>
  </cacheSource>
  <cacheFields count="3">
    <cacheField name="product sheet " numFmtId="0">
      <sharedItems count="55">
        <s v="Mouse"/>
        <s v="Keyboard"/>
        <s v="Name"/>
        <s v="Moniter"/>
        <s v="Computer"/>
        <s v="Laptop"/>
        <s v="Tablet Phone"/>
        <s v="Mobile Phone"/>
        <s v="Led Tub Light"/>
        <s v="Seeling Fan"/>
        <s v="Table Fan"/>
        <s v="Bulb"/>
        <s v="Electicity Cables"/>
        <s v="Pencils"/>
        <s v="Jeans"/>
        <s v="Megzins"/>
        <s v="Vildamecm 50/500"/>
        <s v="Streps"/>
        <s v="Slingshots"/>
        <s v="Sword"/>
        <s v="Creatine"/>
        <s v="Whey Protein"/>
        <s v="Leather Armor"/>
        <s v="Auto"/>
        <s v="Pajamas"/>
        <s v="Lowers"/>
        <s v="Colors"/>
        <s v="Perfomence Inhancer"/>
        <s v="Toys Cars"/>
        <s v="Peracitamole"/>
        <s v="Shirts"/>
        <s v="Desktop"/>
        <s v="Belts"/>
        <s v="Tv"/>
        <s v="Stove"/>
        <s v="Maths"/>
        <s v="Cardboard"/>
        <s v="Copies"/>
        <s v="Bikes"/>
        <s v="Small Cars"/>
        <s v="Sunsscreen"/>
        <s v="Pc"/>
        <s v="Headphones"/>
        <s v="Cars"/>
        <s v="Cream"/>
        <s v="Cookers"/>
        <s v="Pans"/>
        <s v="T-Shirts"/>
        <s v="Pants"/>
        <s v="B.Com(Hons) Set"/>
        <s v="Oven"/>
        <s v="Lipstick"/>
        <s v="Vickes"/>
        <s v="Dollo"/>
        <s v="2 RAM 64GB DDR5 6400MT/s CL36"/>
      </sharedItems>
    </cacheField>
    <cacheField name="Quantity" numFmtId="0">
      <sharedItems containsSemiMixedTypes="0" containsString="0" containsNumber="1" containsInteger="1" minValue="100" maxValue="997"/>
    </cacheField>
    <cacheField name="Amount" numFmtId="172">
      <sharedItems containsSemiMixedTypes="0" containsString="0" containsNumber="1" containsInteger="1" minValue="317765" maxValue="994199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shar kumar" refreshedDate="46247.707732523151" createdVersion="8" refreshedVersion="8" minRefreshableVersion="3" recordCount="100" xr:uid="{08C1167A-A8B2-4E0E-8D18-7A79F9EFC15F}">
  <cacheSource type="worksheet">
    <worksheetSource ref="A2:T102" sheet="salary slip"/>
  </cacheSource>
  <cacheFields count="18">
    <cacheField name="SERIAL NO." numFmtId="0">
      <sharedItems containsSemiMixedTypes="0" containsString="0" containsNumber="1" containsInteger="1" minValue="1" maxValue="100"/>
    </cacheField>
    <cacheField name="EMPLOYMENT ID " numFmtId="0">
      <sharedItems containsSemiMixedTypes="0" containsString="0" containsNumber="1" containsInteger="1" minValue="1000" maxValue="1099"/>
    </cacheField>
    <cacheField name="NAME" numFmtId="0">
      <sharedItems count="81">
        <s v="dev"/>
        <s v="chand"/>
        <s v="daksh"/>
        <s v="rajnikant"/>
        <s v="kunal"/>
        <s v="ayush"/>
        <s v="mayank"/>
        <s v="arya"/>
        <s v="amit"/>
        <s v="deepak"/>
        <s v="rohit"/>
        <s v="bhawesh"/>
        <s v="chirag"/>
        <s v="ramesh"/>
        <s v="suresh"/>
        <s v="rc sharma"/>
        <s v="poonem"/>
        <s v="mukesh"/>
        <s v="mahesh"/>
        <s v="rakesh"/>
        <s v="ram"/>
        <s v="lokesh"/>
        <s v="kuldeep"/>
        <s v="manish"/>
        <s v="rahul"/>
        <s v="karan"/>
        <s v="shubhu"/>
        <s v="dhruv"/>
        <s v="hement"/>
        <s v="arjun"/>
        <s v="dinesh"/>
        <s v="sudeep"/>
        <s v="gorev"/>
        <s v="ushank"/>
        <s v="ashu"/>
        <s v="anshu"/>
        <s v="arman"/>
        <s v="prakash"/>
        <s v="harsh"/>
        <s v="shivam"/>
        <s v="jatin"/>
        <s v="ashish"/>
        <s v="vishal"/>
        <s v="zishan"/>
        <s v="akash"/>
        <s v="vivek"/>
        <s v="tushar"/>
        <s v="sahil"/>
        <s v="Aarav"/>
        <s v="Vivaan"/>
        <s v="Aditya"/>
        <s v="Krishna"/>
        <s v="Rohan"/>
        <s v="Aman"/>
        <s v="Varun"/>
        <s v="Vikram"/>
        <s v="Ankit"/>
        <s v="Rajesh"/>
        <s v="Nitin"/>
        <s v="Sumit"/>
        <s v="Ravi"/>
        <s v="Ajay"/>
        <s v="Vijay"/>
        <s v="Sanjay"/>
        <s v="Manoj"/>
        <s v="Pankaj"/>
        <s v="Pradeep"/>
        <s v="Ashok"/>
        <s v="Sunil"/>
        <s v="Anil"/>
        <s v="Sachin"/>
        <s v="Abhishek"/>
        <s v="Naveen"/>
        <s v="Gaurav"/>
        <s v="Tarun"/>
        <s v="Yash"/>
        <s v="Shubham"/>
        <s v="Nikhil"/>
        <s v="Aayush"/>
        <s v="Mohit"/>
        <s v="Hemant"/>
      </sharedItems>
    </cacheField>
    <cacheField name="POSITION" numFmtId="0">
      <sharedItems count="2">
        <s v="manager"/>
        <s v="employe"/>
      </sharedItems>
    </cacheField>
    <cacheField name="BASIC SALARY" numFmtId="172">
      <sharedItems containsSemiMixedTypes="0" containsString="0" containsNumber="1" containsInteger="1" minValue="10000" maxValue="70000"/>
    </cacheField>
    <cacheField name="HRA 10%" numFmtId="172">
      <sharedItems containsSemiMixedTypes="0" containsString="0" containsNumber="1" containsInteger="1" minValue="1000" maxValue="7000"/>
    </cacheField>
    <cacheField name="DA 12%" numFmtId="172">
      <sharedItems containsSemiMixedTypes="0" containsString="0" containsNumber="1" minValue="1200" maxValue="8400"/>
    </cacheField>
    <cacheField name="LTA 6%" numFmtId="172">
      <sharedItems containsSemiMixedTypes="0" containsString="0" containsNumber="1" minValue="600" maxValue="4200"/>
    </cacheField>
    <cacheField name="TOTAL SALARY" numFmtId="172">
      <sharedItems containsSemiMixedTypes="0" containsString="0" containsNumber="1" minValue="12800" maxValue="89600"/>
    </cacheField>
    <cacheField name="PF 10%" numFmtId="172">
      <sharedItems containsSemiMixedTypes="0" containsString="0" containsNumber="1" minValue="1280" maxValue="8960"/>
    </cacheField>
    <cacheField name="ESI 1.75%" numFmtId="168">
      <sharedItems containsSemiMixedTypes="0" containsString="0" containsNumber="1" minValue="224.00000000000003" maxValue="1568.0000000000002"/>
    </cacheField>
    <cacheField name="LD" numFmtId="0">
      <sharedItems containsSemiMixedTypes="0" containsString="0" containsNumber="1" containsInteger="1" minValue="2" maxValue="5"/>
    </cacheField>
    <cacheField name="LDA" numFmtId="172">
      <sharedItems containsSemiMixedTypes="0" containsString="0" containsNumber="1" minValue="846.15384615384619" maxValue="13461.538461538461"/>
    </cacheField>
    <cacheField name="OT" numFmtId="0">
      <sharedItems containsSemiMixedTypes="0" containsString="0" containsNumber="1" containsInteger="1" minValue="12" maxValue="15"/>
    </cacheField>
    <cacheField name="OTA" numFmtId="172">
      <sharedItems containsSemiMixedTypes="0" containsString="0" containsNumber="1" minValue="729.16666666666674" maxValue="5468.75"/>
    </cacheField>
    <cacheField name="NET SALARY" numFmtId="168">
      <sharedItems containsSemiMixedTypes="0" containsString="0" containsNumber="1" minValue="10102.089743589742" maxValue="71079.211538461532"/>
    </cacheField>
    <cacheField name="GROSS SALARY" numFmtId="168">
      <sharedItems containsSemiMixedTypes="0" containsString="0" containsNumber="1" minValue="121225.07692307691" maxValue="852950.53846153838"/>
    </cacheField>
    <cacheField name="TAX 12%" numFmtId="168">
      <sharedItems containsSemiMixedTypes="0" containsString="0" containsNumber="1" minValue="14547.009230769228" maxValue="102354.064615384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ushar kumar" refreshedDate="46248.859026851853" backgroundQuery="1" createdVersion="8" refreshedVersion="8" minRefreshableVersion="3" recordCount="0" supportSubquery="1" supportAdvancedDrill="1" xr:uid="{E374595D-4607-4B20-AB06-CBE5683B4A9B}">
  <cacheSource type="external" connectionId="10"/>
  <cacheFields count="13">
    <cacheField name="[Range].[product/months].[product/months]" caption="product/months" numFmtId="0" level="1">
      <sharedItems count="46">
        <s v="auto"/>
        <s v="b.com(hons) set"/>
        <s v="belts"/>
        <s v="bikes"/>
        <s v="cardboard"/>
        <s v="cars"/>
        <s v="colors"/>
        <s v="cookers"/>
        <s v="copies"/>
        <s v="cream"/>
        <s v="creatine"/>
        <s v="desktop"/>
        <s v="dollo"/>
        <s v="dols"/>
        <s v="jackets"/>
        <s v="jeans"/>
        <s v="keyboard"/>
        <s v="laptop"/>
        <s v="leather armor"/>
        <s v="lipstick"/>
        <s v="lowers"/>
        <s v="makeup kit"/>
        <s v="maths"/>
        <s v="megzins"/>
        <s v="moniter"/>
        <s v="mouse"/>
        <s v="oven"/>
        <s v="pajamas"/>
        <s v="pans"/>
        <s v="pants"/>
        <s v="pencils"/>
        <s v="peracitamole"/>
        <s v="perfomence inhancer"/>
        <s v="puppets"/>
        <s v="shirts"/>
        <s v="slingshots"/>
        <s v="stove"/>
        <s v="streps"/>
        <s v="sword"/>
        <s v="three wheelers"/>
        <s v="toys cars"/>
        <s v="t-shirts"/>
        <s v="tv"/>
        <s v="vickes"/>
        <s v="vildamecM 50/500"/>
        <s v="whey protein"/>
      </sharedItems>
    </cacheField>
    <cacheField name="[Measures].[Sum of februrary]" caption="Sum of februrary" numFmtId="0" hierarchy="37" level="32767"/>
    <cacheField name="[Measures].[Sum of march]" caption="Sum of march" numFmtId="0" hierarchy="38" level="32767"/>
    <cacheField name="[Measures].[Sum of april]" caption="Sum of april" numFmtId="0" hierarchy="39" level="32767"/>
    <cacheField name="[Measures].[Sum of may]" caption="Sum of may" numFmtId="0" hierarchy="40" level="32767"/>
    <cacheField name="[Measures].[Sum of june]" caption="Sum of june" numFmtId="0" hierarchy="41" level="32767"/>
    <cacheField name="[Measures].[Sum of july]" caption="Sum of july" numFmtId="0" hierarchy="42" level="32767"/>
    <cacheField name="[Measures].[Sum of august]" caption="Sum of august" numFmtId="0" hierarchy="43" level="32767"/>
    <cacheField name="[Measures].[Sum of september]" caption="Sum of september" numFmtId="0" hierarchy="44" level="32767"/>
    <cacheField name="[Measures].[Sum of october]" caption="Sum of october" numFmtId="0" hierarchy="45" level="32767"/>
    <cacheField name="[Measures].[Sum of november]" caption="Sum of november" numFmtId="0" hierarchy="46" level="32767"/>
    <cacheField name="[Measures].[Sum of december]" caption="Sum of december" numFmtId="0" hierarchy="47" level="32767"/>
    <cacheField name="[Measures].[Sum of january]" caption="Sum of january" numFmtId="0" hierarchy="36" level="32767"/>
  </cacheFields>
  <cacheHierarchies count="48">
    <cacheHierarchy uniqueName="[Range].[product/months]" caption="product/months" attribute="1" defaultMemberUniqueName="[Range].[product/months].[All]" allUniqueName="[Range].[product/months].[All]" dimensionUniqueName="[Range]" displayFolder="" count="2" memberValueDatatype="130" unbalanced="0">
      <fieldsUsage count="2">
        <fieldUsage x="-1"/>
        <fieldUsage x="0"/>
      </fieldsUsage>
    </cacheHierarchy>
    <cacheHierarchy uniqueName="[Range].[january]" caption="january" attribute="1" defaultMemberUniqueName="[Range].[january].[All]" allUniqueName="[Range].[january].[All]" dimensionUniqueName="[Range]" displayFolder="" count="0" memberValueDatatype="20" unbalanced="0"/>
    <cacheHierarchy uniqueName="[Range].[februrary]" caption="februrary" attribute="1" defaultMemberUniqueName="[Range].[februrary].[All]" allUniqueName="[Range].[februrary].[All]" dimensionUniqueName="[Range]" displayFolder="" count="0" memberValueDatatype="20" unbalanced="0"/>
    <cacheHierarchy uniqueName="[Range].[march]" caption="march" attribute="1" defaultMemberUniqueName="[Range].[march].[All]" allUniqueName="[Range].[march].[All]" dimensionUniqueName="[Range]" displayFolder="" count="0" memberValueDatatype="20" unbalanced="0"/>
    <cacheHierarchy uniqueName="[Range].[april]" caption="april" attribute="1" defaultMemberUniqueName="[Range].[april].[All]" allUniqueName="[Range].[april].[All]" dimensionUniqueName="[Range]" displayFolder="" count="0" memberValueDatatype="20" unbalanced="0"/>
    <cacheHierarchy uniqueName="[Range].[may]" caption="may" attribute="1" defaultMemberUniqueName="[Range].[may].[All]" allUniqueName="[Range].[may].[All]" dimensionUniqueName="[Range]" displayFolder="" count="0" memberValueDatatype="20" unbalanced="0"/>
    <cacheHierarchy uniqueName="[Range].[june]" caption="june" attribute="1" defaultMemberUniqueName="[Range].[june].[All]" allUniqueName="[Range].[june].[All]" dimensionUniqueName="[Range]" displayFolder="" count="0" memberValueDatatype="20" unbalanced="0"/>
    <cacheHierarchy uniqueName="[Range].[july]" caption="july" attribute="1" defaultMemberUniqueName="[Range].[july].[All]" allUniqueName="[Range].[july].[All]" dimensionUniqueName="[Range]" displayFolder="" count="0" memberValueDatatype="20" unbalanced="0"/>
    <cacheHierarchy uniqueName="[Range].[august]" caption="august" attribute="1" defaultMemberUniqueName="[Range].[august].[All]" allUniqueName="[Range].[august].[All]" dimensionUniqueName="[Range]" displayFolder="" count="0" memberValueDatatype="20" unbalanced="0"/>
    <cacheHierarchy uniqueName="[Range].[september]" caption="september" attribute="1" defaultMemberUniqueName="[Range].[september].[All]" allUniqueName="[Range].[september].[All]" dimensionUniqueName="[Range]" displayFolder="" count="0" memberValueDatatype="20" unbalanced="0"/>
    <cacheHierarchy uniqueName="[Range].[october]" caption="october" attribute="1" defaultMemberUniqueName="[Range].[october].[All]" allUniqueName="[Range].[october].[All]" dimensionUniqueName="[Range]" displayFolder="" count="0" memberValueDatatype="20" unbalanced="0"/>
    <cacheHierarchy uniqueName="[Range].[november]" caption="november" attribute="1" defaultMemberUniqueName="[Range].[november].[All]" allUniqueName="[Range].[november].[All]" dimensionUniqueName="[Range]" displayFolder="" count="0" memberValueDatatype="20" unbalanced="0"/>
    <cacheHierarchy uniqueName="[Range].[december]" caption="december" attribute="1" defaultMemberUniqueName="[Range].[december].[All]" allUniqueName="[Range].[december].[All]" dimensionUniqueName="[Range]" displayFolder="" count="0" memberValueDatatype="20" unbalanced="0"/>
    <cacheHierarchy uniqueName="[Table 1  2].[Column1]" caption="Column1" attribute="1" defaultMemberUniqueName="[Table 1  2].[Column1].[All]" allUniqueName="[Table 1  2].[Column1].[All]" dimensionUniqueName="[Table 1  2]" displayFolder="" count="0" memberValueDatatype="130" unbalanced="0"/>
    <cacheHierarchy uniqueName="[Table 1  2].[Column2]" caption="Column2" attribute="1" defaultMemberUniqueName="[Table 1  2].[Column2].[All]" allUniqueName="[Table 1  2].[Column2].[All]" dimensionUniqueName="[Table 1  2]" displayFolder="" count="0" memberValueDatatype="130" unbalanced="0"/>
    <cacheHierarchy uniqueName="[Table 1  2].[Column3]" caption="Column3" attribute="1" defaultMemberUniqueName="[Table 1  2].[Column3].[All]" allUniqueName="[Table 1  2].[Column3].[All]" dimensionUniqueName="[Table 1  2]" displayFolder="" count="0" memberValueDatatype="130" unbalanced="0"/>
    <cacheHierarchy uniqueName="[Table 1  2].[Column4]" caption="Column4" attribute="1" defaultMemberUniqueName="[Table 1  2].[Column4].[All]" allUniqueName="[Table 1  2].[Column4].[All]" dimensionUniqueName="[Table 1  2]" displayFolder="" count="0" memberValueDatatype="130" unbalanced="0"/>
    <cacheHierarchy uniqueName="[Table 1  2].[Column5]" caption="Column5" attribute="1" defaultMemberUniqueName="[Table 1  2].[Column5].[All]" allUniqueName="[Table 1  2].[Column5].[All]" dimensionUniqueName="[Table 1  2]" displayFolder="" count="0" memberValueDatatype="130" unbalanced="0"/>
    <cacheHierarchy uniqueName="[Table 2].[Column1]" caption="Column1" attribute="1" defaultMemberUniqueName="[Table 2].[Column1].[All]" allUniqueName="[Table 2].[Column1].[All]" dimensionUniqueName="[Table 2]" displayFolder="" count="0" memberValueDatatype="130" unbalanced="0"/>
    <cacheHierarchy uniqueName="[Table 2].[Column2]" caption="Column2" attribute="1" defaultMemberUniqueName="[Table 2].[Column2].[All]" allUniqueName="[Table 2].[Column2].[All]" dimensionUniqueName="[Table 2]" displayFolder="" count="0" memberValueDatatype="130" unbalanced="0"/>
    <cacheHierarchy uniqueName="[Table 2].[Column3]" caption="Column3" attribute="1" defaultMemberUniqueName="[Table 2].[Column3].[All]" allUniqueName="[Table 2].[Column3].[All]" dimensionUniqueName="[Table 2]" displayFolder="" count="0" memberValueDatatype="130" unbalanced="0"/>
    <cacheHierarchy uniqueName="[Table 2].[Column4]" caption="Column4" attribute="1" defaultMemberUniqueName="[Table 2].[Column4].[All]" allUniqueName="[Table 2].[Column4].[All]" dimensionUniqueName="[Table 2]" displayFolder="" count="0" memberValueDatatype="130" unbalanced="0"/>
    <cacheHierarchy uniqueName="[Table 3].[Column1]" caption="Column1" attribute="1" defaultMemberUniqueName="[Table 3].[Column1].[All]" allUniqueName="[Table 3].[Column1].[All]" dimensionUniqueName="[Table 3]" displayFolder="" count="0" memberValueDatatype="130" unbalanced="0"/>
    <cacheHierarchy uniqueName="[Table 3].[Column2]" caption="Column2" attribute="1" defaultMemberUniqueName="[Table 3].[Column2].[All]" allUniqueName="[Table 3].[Column2].[All]" dimensionUniqueName="[Table 3]" displayFolder="" count="0" memberValueDatatype="130" unbalanced="0"/>
    <cacheHierarchy uniqueName="[Table 4].[Column1]" caption="Column1" attribute="1" defaultMemberUniqueName="[Table 4].[Column1].[All]" allUniqueName="[Table 4].[Column1].[All]" dimensionUniqueName="[Table 4]" displayFolder="" count="0" memberValueDatatype="130" unbalanced="0"/>
    <cacheHierarchy uniqueName="[Table 4].[Column2]" caption="Column2" attribute="1" defaultMemberUniqueName="[Table 4].[Column2].[All]" allUniqueName="[Table 4].[Column2].[All]" dimensionUniqueName="[Table 4]" displayFolder="" count="0" memberValueDatatype="130" unbalanced="0"/>
    <cacheHierarchy uniqueName="[Table 5].[Column1]" caption="Column1" attribute="1" defaultMemberUniqueName="[Table 5].[Column1].[All]" allUniqueName="[Table 5].[Column1].[All]" dimensionUniqueName="[Table 5]" displayFolder="" count="0" memberValueDatatype="130" unbalanced="0"/>
    <cacheHierarchy uniqueName="[Table 5].[Column2]" caption="Column2" attribute="1" defaultMemberUniqueName="[Table 5].[Column2].[All]" allUniqueName="[Table 5].[Column2].[All]" dimensionUniqueName="[Table 5]" displayFolder="" count="0" memberValueDatatype="130" unbalanced="0"/>
    <cacheHierarchy uniqueName="[Table 5].[Column3]" caption="Column3" attribute="1" defaultMemberUniqueName="[Table 5].[Column3].[All]" allUniqueName="[Table 5].[Column3].[All]" dimensionUniqueName="[Table 5]" displayFolder="" count="0" memberValueDatatype="130" unbalanced="0"/>
    <cacheHierarchy uniqueName="[Measures].[__XL_Count Table 1  2]" caption="__XL_Count Table 1  2" measure="1" displayFolder="" measureGroup="Table 1  2" count="0" hidden="1"/>
    <cacheHierarchy uniqueName="[Measures].[__XL_Count Table 2]" caption="__XL_Count Table 2" measure="1" displayFolder="" measureGroup="Table 2" count="0" hidden="1"/>
    <cacheHierarchy uniqueName="[Measures].[__XL_Count Table 3]" caption="__XL_Count Table 3" measure="1" displayFolder="" measureGroup="Table 3" count="0" hidden="1"/>
    <cacheHierarchy uniqueName="[Measures].[__XL_Count Table 4]" caption="__XL_Count Table 4" measure="1" displayFolder="" measureGroup="Table 4" count="0" hidden="1"/>
    <cacheHierarchy uniqueName="[Measures].[__XL_Count Table 5]" caption="__XL_Count Table 5" measure="1" displayFolder="" measureGroup="Table 5"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january]" caption="Sum of january" measure="1" displayFolder="" measureGroup="Range" count="0" oneField="1" hidden="1">
      <fieldsUsage count="1">
        <fieldUsage x="12"/>
      </fieldsUsage>
      <extLst>
        <ext xmlns:x15="http://schemas.microsoft.com/office/spreadsheetml/2010/11/main" uri="{B97F6D7D-B522-45F9-BDA1-12C45D357490}">
          <x15:cacheHierarchy aggregatedColumn="1"/>
        </ext>
      </extLst>
    </cacheHierarchy>
    <cacheHierarchy uniqueName="[Measures].[Sum of februrary]" caption="Sum of februrary" measure="1" displayFolder="" measureGroup="Range"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march]" caption="Sum of march"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april]" caption="Sum of april" measure="1" displayFolder="" measureGroup="Range"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may]" caption="Sum of may" measure="1" displayFolder="" measureGroup="Range" count="0" oneField="1" hidden="1">
      <fieldsUsage count="1">
        <fieldUsage x="4"/>
      </fieldsUsage>
      <extLst>
        <ext xmlns:x15="http://schemas.microsoft.com/office/spreadsheetml/2010/11/main" uri="{B97F6D7D-B522-45F9-BDA1-12C45D357490}">
          <x15:cacheHierarchy aggregatedColumn="5"/>
        </ext>
      </extLst>
    </cacheHierarchy>
    <cacheHierarchy uniqueName="[Measures].[Sum of june]" caption="Sum of june" measure="1" displayFolder="" measureGroup="Range" count="0" oneField="1" hidden="1">
      <fieldsUsage count="1">
        <fieldUsage x="5"/>
      </fieldsUsage>
      <extLst>
        <ext xmlns:x15="http://schemas.microsoft.com/office/spreadsheetml/2010/11/main" uri="{B97F6D7D-B522-45F9-BDA1-12C45D357490}">
          <x15:cacheHierarchy aggregatedColumn="6"/>
        </ext>
      </extLst>
    </cacheHierarchy>
    <cacheHierarchy uniqueName="[Measures].[Sum of july]" caption="Sum of july" measure="1" displayFolder="" measureGroup="Range" count="0" oneField="1" hidden="1">
      <fieldsUsage count="1">
        <fieldUsage x="6"/>
      </fieldsUsage>
      <extLst>
        <ext xmlns:x15="http://schemas.microsoft.com/office/spreadsheetml/2010/11/main" uri="{B97F6D7D-B522-45F9-BDA1-12C45D357490}">
          <x15:cacheHierarchy aggregatedColumn="7"/>
        </ext>
      </extLst>
    </cacheHierarchy>
    <cacheHierarchy uniqueName="[Measures].[Sum of august]" caption="Sum of august" measure="1" displayFolder="" measureGroup="Range" count="0" oneField="1" hidden="1">
      <fieldsUsage count="1">
        <fieldUsage x="7"/>
      </fieldsUsage>
      <extLst>
        <ext xmlns:x15="http://schemas.microsoft.com/office/spreadsheetml/2010/11/main" uri="{B97F6D7D-B522-45F9-BDA1-12C45D357490}">
          <x15:cacheHierarchy aggregatedColumn="8"/>
        </ext>
      </extLst>
    </cacheHierarchy>
    <cacheHierarchy uniqueName="[Measures].[Sum of september]" caption="Sum of september" measure="1" displayFolder="" measureGroup="Range" count="0" oneField="1" hidden="1">
      <fieldsUsage count="1">
        <fieldUsage x="8"/>
      </fieldsUsage>
      <extLst>
        <ext xmlns:x15="http://schemas.microsoft.com/office/spreadsheetml/2010/11/main" uri="{B97F6D7D-B522-45F9-BDA1-12C45D357490}">
          <x15:cacheHierarchy aggregatedColumn="9"/>
        </ext>
      </extLst>
    </cacheHierarchy>
    <cacheHierarchy uniqueName="[Measures].[Sum of october]" caption="Sum of october" measure="1" displayFolder="" measureGroup="Range" count="0" oneField="1" hidden="1">
      <fieldsUsage count="1">
        <fieldUsage x="9"/>
      </fieldsUsage>
      <extLst>
        <ext xmlns:x15="http://schemas.microsoft.com/office/spreadsheetml/2010/11/main" uri="{B97F6D7D-B522-45F9-BDA1-12C45D357490}">
          <x15:cacheHierarchy aggregatedColumn="10"/>
        </ext>
      </extLst>
    </cacheHierarchy>
    <cacheHierarchy uniqueName="[Measures].[Sum of november]" caption="Sum of november" measure="1" displayFolder="" measureGroup="Range" count="0" oneField="1" hidden="1">
      <fieldsUsage count="1">
        <fieldUsage x="10"/>
      </fieldsUsage>
      <extLst>
        <ext xmlns:x15="http://schemas.microsoft.com/office/spreadsheetml/2010/11/main" uri="{B97F6D7D-B522-45F9-BDA1-12C45D357490}">
          <x15:cacheHierarchy aggregatedColumn="11"/>
        </ext>
      </extLst>
    </cacheHierarchy>
    <cacheHierarchy uniqueName="[Measures].[Sum of december]" caption="Sum of december" measure="1" displayFolder="" measureGroup="Range" count="0" oneField="1" hidden="1">
      <fieldsUsage count="1">
        <fieldUsage x="11"/>
      </fieldsUsage>
      <extLst>
        <ext xmlns:x15="http://schemas.microsoft.com/office/spreadsheetml/2010/11/main" uri="{B97F6D7D-B522-45F9-BDA1-12C45D357490}">
          <x15:cacheHierarchy aggregatedColumn="12"/>
        </ext>
      </extLst>
    </cacheHierarchy>
  </cacheHierarchies>
  <kpis count="0"/>
  <dimensions count="7">
    <dimension measure="1" name="Measures" uniqueName="[Measures]" caption="Measures"/>
    <dimension name="Range" uniqueName="[Range]" caption="Range"/>
    <dimension name="Table 1  2" uniqueName="[Table 1  2]" caption="Table 1  2"/>
    <dimension name="Table 2" uniqueName="[Table 2]" caption="Table 2"/>
    <dimension name="Table 3" uniqueName="[Table 3]" caption="Table 3"/>
    <dimension name="Table 4" uniqueName="[Table 4]" caption="Table 4"/>
    <dimension name="Table 5" uniqueName="[Table 5]" caption="Table 5"/>
  </dimensions>
  <measureGroups count="6">
    <measureGroup name="Range" caption="Range"/>
    <measureGroup name="Table 1  2" caption="Table 1  2"/>
    <measureGroup name="Table 2" caption="Table 2"/>
    <measureGroup name="Table 3" caption="Table 3"/>
    <measureGroup name="Table 4" caption="Table 4"/>
    <measureGroup name="Table 5" caption="Table 5"/>
  </measureGroups>
  <maps count="6">
    <map measureGroup="0" dimension="1"/>
    <map measureGroup="1" dimension="2"/>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shar kumar" refreshedDate="46256.444013310182" createdVersion="8" refreshedVersion="8" minRefreshableVersion="3" recordCount="18" xr:uid="{5E502792-4FEA-4282-8246-67A85DDC4504}">
  <cacheSource type="worksheet">
    <worksheetSource ref="A2:E20" sheet="age sheet"/>
  </cacheSource>
  <cacheFields count="8">
    <cacheField name="s.no" numFmtId="0">
      <sharedItems containsSemiMixedTypes="0" containsString="0" containsNumber="1" containsInteger="1" minValue="1" maxValue="18"/>
    </cacheField>
    <cacheField name="name" numFmtId="0">
      <sharedItems count="18">
        <s v="tushar"/>
        <s v="sahil"/>
        <s v="prakash"/>
        <s v="chirag"/>
        <s v="Aarav"/>
        <s v="Vivaan"/>
        <s v="Aditya"/>
        <s v="Arjun"/>
        <s v="Krishna"/>
        <s v="Rohan"/>
        <s v="Rahul"/>
        <s v="Aman"/>
        <s v="Karan"/>
        <s v="Varun"/>
        <s v="Vikram"/>
        <s v="Ankit"/>
        <s v="Akash"/>
        <s v="Deepak"/>
      </sharedItems>
    </cacheField>
    <cacheField name="DOB" numFmtId="14">
      <sharedItems containsSemiMixedTypes="0" containsNonDate="0" containsDate="1" containsString="0" minDate="2006-05-24T00:00:00" maxDate="2008-12-16T00:00:00" count="18">
        <d v="2008-09-01T00:00:00"/>
        <d v="2007-07-05T00:00:00"/>
        <d v="2008-04-25T00:00:00"/>
        <d v="2007-05-03T00:00:00"/>
        <d v="2008-09-05T00:00:00"/>
        <d v="2007-12-17T00:00:00"/>
        <d v="2007-12-31T00:00:00"/>
        <d v="2007-03-20T00:00:00"/>
        <d v="2007-08-15T00:00:00"/>
        <d v="2008-05-15T00:00:00"/>
        <d v="2008-06-05T00:00:00"/>
        <d v="2007-07-15T00:00:00"/>
        <d v="2006-12-25T00:00:00"/>
        <d v="2008-12-15T00:00:00"/>
        <d v="2007-08-31T00:00:00"/>
        <d v="2006-05-24T00:00:00"/>
        <d v="2008-08-04T00:00:00"/>
        <d v="2006-08-21T00:00:00"/>
      </sharedItems>
      <fieldGroup par="7"/>
    </cacheField>
    <cacheField name="todays date" numFmtId="14">
      <sharedItems containsSemiMixedTypes="0" containsNonDate="0" containsDate="1" containsString="0" minDate="2026-07-01T00:00:00" maxDate="2026-07-02T00:00:00" count="1">
        <d v="2026-07-01T00:00:00"/>
      </sharedItems>
    </cacheField>
    <cacheField name="age" numFmtId="0">
      <sharedItems containsSemiMixedTypes="0" containsString="0" containsNumber="1" containsInteger="1" minValue="17" maxValue="20"/>
    </cacheField>
    <cacheField name="Months (DOB)" numFmtId="0" databaseField="0">
      <fieldGroup base="2">
        <rangePr groupBy="months" startDate="2006-05-24T00:00:00" endDate="2008-12-16T00:00:00"/>
        <groupItems count="14">
          <s v="&lt;24-05-2006"/>
          <s v="Jan"/>
          <s v="Feb"/>
          <s v="Mar"/>
          <s v="Apr"/>
          <s v="May"/>
          <s v="Jun"/>
          <s v="Jul"/>
          <s v="Aug"/>
          <s v="Sep"/>
          <s v="Oct"/>
          <s v="Nov"/>
          <s v="Dec"/>
          <s v="&gt;16-12-2008"/>
        </groupItems>
      </fieldGroup>
    </cacheField>
    <cacheField name="Quarters (DOB)" numFmtId="0" databaseField="0">
      <fieldGroup base="2">
        <rangePr groupBy="quarters" startDate="2006-05-24T00:00:00" endDate="2008-12-16T00:00:00"/>
        <groupItems count="6">
          <s v="&lt;24-05-2006"/>
          <s v="Qtr1"/>
          <s v="Qtr2"/>
          <s v="Qtr3"/>
          <s v="Qtr4"/>
          <s v="&gt;16-12-2008"/>
        </groupItems>
      </fieldGroup>
    </cacheField>
    <cacheField name="Years (DOB)" numFmtId="0" databaseField="0">
      <fieldGroup base="2">
        <rangePr groupBy="years" startDate="2006-05-24T00:00:00" endDate="2008-12-16T00:00:00"/>
        <groupItems count="5">
          <s v="&lt;24-05-2006"/>
          <s v="2006"/>
          <s v="2007"/>
          <s v="2008"/>
          <s v="&gt;16-12-200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x v="0"/>
    <n v="2"/>
  </r>
  <r>
    <x v="1"/>
    <x v="1"/>
    <x v="1"/>
    <n v="156"/>
  </r>
  <r>
    <x v="2"/>
    <x v="0"/>
    <x v="2"/>
    <n v="20"/>
  </r>
  <r>
    <x v="3"/>
    <x v="2"/>
    <x v="3"/>
    <n v="9"/>
  </r>
  <r>
    <x v="4"/>
    <x v="3"/>
    <x v="4"/>
    <n v="4"/>
  </r>
  <r>
    <x v="5"/>
    <x v="3"/>
    <x v="5"/>
    <n v="5"/>
  </r>
  <r>
    <x v="6"/>
    <x v="3"/>
    <x v="3"/>
    <n v="3"/>
  </r>
  <r>
    <x v="7"/>
    <x v="3"/>
    <x v="4"/>
    <n v="4"/>
  </r>
  <r>
    <x v="8"/>
    <x v="3"/>
    <x v="6"/>
    <n v="3538"/>
  </r>
  <r>
    <x v="9"/>
    <x v="3"/>
    <x v="7"/>
    <n v="731"/>
  </r>
  <r>
    <x v="10"/>
    <x v="3"/>
    <x v="8"/>
    <n v="4542"/>
  </r>
  <r>
    <x v="11"/>
    <x v="3"/>
    <x v="9"/>
    <n v="4373"/>
  </r>
  <r>
    <x v="12"/>
    <x v="3"/>
    <x v="10"/>
    <n v="7201"/>
  </r>
  <r>
    <x v="13"/>
    <x v="3"/>
    <x v="11"/>
    <n v="2976"/>
  </r>
  <r>
    <x v="14"/>
    <x v="3"/>
    <x v="12"/>
    <n v="5720"/>
  </r>
  <r>
    <x v="15"/>
    <x v="3"/>
    <x v="13"/>
    <n v="4161"/>
  </r>
  <r>
    <x v="16"/>
    <x v="3"/>
    <x v="14"/>
    <n v="5314"/>
  </r>
  <r>
    <x v="17"/>
    <x v="3"/>
    <x v="15"/>
    <n v="7488"/>
  </r>
  <r>
    <x v="18"/>
    <x v="3"/>
    <x v="16"/>
    <n v="1260"/>
  </r>
  <r>
    <x v="19"/>
    <x v="3"/>
    <x v="17"/>
    <n v="8007"/>
  </r>
  <r>
    <x v="20"/>
    <x v="3"/>
    <x v="18"/>
    <n v="5916"/>
  </r>
  <r>
    <x v="21"/>
    <x v="3"/>
    <x v="19"/>
    <n v="8015"/>
  </r>
  <r>
    <x v="22"/>
    <x v="3"/>
    <x v="20"/>
    <n v="9928"/>
  </r>
  <r>
    <x v="23"/>
    <x v="3"/>
    <x v="21"/>
    <n v="4646"/>
  </r>
  <r>
    <x v="24"/>
    <x v="3"/>
    <x v="22"/>
    <n v="6247"/>
  </r>
  <r>
    <x v="25"/>
    <x v="3"/>
    <x v="23"/>
    <n v="6689"/>
  </r>
  <r>
    <x v="26"/>
    <x v="3"/>
    <x v="24"/>
    <n v="1083"/>
  </r>
  <r>
    <x v="27"/>
    <x v="3"/>
    <x v="25"/>
    <n v="4076"/>
  </r>
  <r>
    <x v="28"/>
    <x v="4"/>
    <x v="26"/>
    <n v="1021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n v="175"/>
    <n v="8687387"/>
  </r>
  <r>
    <x v="1"/>
    <n v="619"/>
    <n v="7737252"/>
  </r>
  <r>
    <x v="2"/>
    <n v="426"/>
    <n v="6599568"/>
  </r>
  <r>
    <x v="3"/>
    <n v="457"/>
    <n v="9793270"/>
  </r>
  <r>
    <x v="4"/>
    <n v="512"/>
    <n v="6962424"/>
  </r>
  <r>
    <x v="5"/>
    <n v="265"/>
    <n v="9065592"/>
  </r>
  <r>
    <x v="6"/>
    <n v="767"/>
    <n v="3098981"/>
  </r>
  <r>
    <x v="7"/>
    <n v="733"/>
    <n v="8116825"/>
  </r>
  <r>
    <x v="8"/>
    <n v="966"/>
    <n v="1018131"/>
  </r>
  <r>
    <x v="9"/>
    <n v="952"/>
    <n v="6441661"/>
  </r>
  <r>
    <x v="10"/>
    <n v="920"/>
    <n v="2912599"/>
  </r>
  <r>
    <x v="11"/>
    <n v="171"/>
    <n v="5051888"/>
  </r>
  <r>
    <x v="12"/>
    <n v="878"/>
    <n v="6038198"/>
  </r>
  <r>
    <x v="13"/>
    <n v="432"/>
    <n v="8833929"/>
  </r>
  <r>
    <x v="14"/>
    <n v="163"/>
    <n v="6608553"/>
  </r>
  <r>
    <x v="15"/>
    <n v="974"/>
    <n v="9394911"/>
  </r>
  <r>
    <x v="16"/>
    <n v="884"/>
    <n v="1279832"/>
  </r>
  <r>
    <x v="17"/>
    <n v="780"/>
    <n v="4053303"/>
  </r>
  <r>
    <x v="18"/>
    <n v="347"/>
    <n v="1717126"/>
  </r>
  <r>
    <x v="19"/>
    <n v="100"/>
    <n v="1307144"/>
  </r>
  <r>
    <x v="20"/>
    <n v="562"/>
    <n v="3348132"/>
  </r>
  <r>
    <x v="21"/>
    <n v="537"/>
    <n v="5549901"/>
  </r>
  <r>
    <x v="22"/>
    <n v="403"/>
    <n v="6826032"/>
  </r>
  <r>
    <x v="23"/>
    <n v="720"/>
    <n v="7605811"/>
  </r>
  <r>
    <x v="24"/>
    <n v="906"/>
    <n v="4601996"/>
  </r>
  <r>
    <x v="25"/>
    <n v="287"/>
    <n v="8412070"/>
  </r>
  <r>
    <x v="3"/>
    <n v="861"/>
    <n v="9391664"/>
  </r>
  <r>
    <x v="26"/>
    <n v="215"/>
    <n v="7541367"/>
  </r>
  <r>
    <x v="27"/>
    <n v="985"/>
    <n v="726303"/>
  </r>
  <r>
    <x v="28"/>
    <n v="675"/>
    <n v="5499720"/>
  </r>
  <r>
    <x v="29"/>
    <n v="192"/>
    <n v="9349520"/>
  </r>
  <r>
    <x v="30"/>
    <n v="354"/>
    <n v="9811825"/>
  </r>
  <r>
    <x v="31"/>
    <n v="939"/>
    <n v="3210859"/>
  </r>
  <r>
    <x v="32"/>
    <n v="616"/>
    <n v="4325524"/>
  </r>
  <r>
    <x v="33"/>
    <n v="964"/>
    <n v="8303487"/>
  </r>
  <r>
    <x v="34"/>
    <n v="262"/>
    <n v="8691145"/>
  </r>
  <r>
    <x v="35"/>
    <n v="421"/>
    <n v="7984927"/>
  </r>
  <r>
    <x v="5"/>
    <n v="841"/>
    <n v="2455727"/>
  </r>
  <r>
    <x v="36"/>
    <n v="707"/>
    <n v="2515566"/>
  </r>
  <r>
    <x v="0"/>
    <n v="113"/>
    <n v="398251"/>
  </r>
  <r>
    <x v="37"/>
    <n v="278"/>
    <n v="3194507"/>
  </r>
  <r>
    <x v="38"/>
    <n v="521"/>
    <n v="2081297"/>
  </r>
  <r>
    <x v="39"/>
    <n v="118"/>
    <n v="2477976"/>
  </r>
  <r>
    <x v="40"/>
    <n v="194"/>
    <n v="8870063"/>
  </r>
  <r>
    <x v="41"/>
    <n v="190"/>
    <n v="317765"/>
  </r>
  <r>
    <x v="42"/>
    <n v="920"/>
    <n v="6685812"/>
  </r>
  <r>
    <x v="43"/>
    <n v="610"/>
    <n v="2275357"/>
  </r>
  <r>
    <x v="44"/>
    <n v="599"/>
    <n v="538936"/>
  </r>
  <r>
    <x v="45"/>
    <n v="372"/>
    <n v="4916218"/>
  </r>
  <r>
    <x v="46"/>
    <n v="978"/>
    <n v="3059703"/>
  </r>
  <r>
    <x v="47"/>
    <n v="537"/>
    <n v="2313802"/>
  </r>
  <r>
    <x v="48"/>
    <n v="399"/>
    <n v="8856544"/>
  </r>
  <r>
    <x v="49"/>
    <n v="241"/>
    <n v="9246191"/>
  </r>
  <r>
    <x v="50"/>
    <n v="176"/>
    <n v="5321319"/>
  </r>
  <r>
    <x v="51"/>
    <n v="633"/>
    <n v="1403750"/>
  </r>
  <r>
    <x v="52"/>
    <n v="122"/>
    <n v="1107670"/>
  </r>
  <r>
    <x v="53"/>
    <n v="254"/>
    <n v="8457199"/>
  </r>
  <r>
    <x v="54"/>
    <n v="333"/>
    <n v="509676"/>
  </r>
  <r>
    <x v="0"/>
    <n v="584"/>
    <n v="8320221"/>
  </r>
  <r>
    <x v="1"/>
    <n v="805"/>
    <n v="8017765"/>
  </r>
  <r>
    <x v="2"/>
    <n v="774"/>
    <n v="7326855"/>
  </r>
  <r>
    <x v="3"/>
    <n v="628"/>
    <n v="9288022"/>
  </r>
  <r>
    <x v="4"/>
    <n v="967"/>
    <n v="6964180"/>
  </r>
  <r>
    <x v="5"/>
    <n v="841"/>
    <n v="9380168"/>
  </r>
  <r>
    <x v="6"/>
    <n v="777"/>
    <n v="5011847"/>
  </r>
  <r>
    <x v="7"/>
    <n v="675"/>
    <n v="7855002"/>
  </r>
  <r>
    <x v="8"/>
    <n v="788"/>
    <n v="7281150"/>
  </r>
  <r>
    <x v="9"/>
    <n v="743"/>
    <n v="7061563"/>
  </r>
  <r>
    <x v="10"/>
    <n v="689"/>
    <n v="7198996"/>
  </r>
  <r>
    <x v="11"/>
    <n v="505"/>
    <n v="5283311"/>
  </r>
  <r>
    <x v="12"/>
    <n v="534"/>
    <n v="8208637"/>
  </r>
  <r>
    <x v="13"/>
    <n v="868"/>
    <n v="6948167"/>
  </r>
  <r>
    <x v="14"/>
    <n v="730"/>
    <n v="7737611"/>
  </r>
  <r>
    <x v="15"/>
    <n v="588"/>
    <n v="5984990"/>
  </r>
  <r>
    <x v="16"/>
    <n v="731"/>
    <n v="5476546"/>
  </r>
  <r>
    <x v="17"/>
    <n v="637"/>
    <n v="8354489"/>
  </r>
  <r>
    <x v="18"/>
    <n v="586"/>
    <n v="9090806"/>
  </r>
  <r>
    <x v="19"/>
    <n v="764"/>
    <n v="7630563"/>
  </r>
  <r>
    <x v="20"/>
    <n v="615"/>
    <n v="7403988"/>
  </r>
  <r>
    <x v="21"/>
    <n v="778"/>
    <n v="5821586"/>
  </r>
  <r>
    <x v="22"/>
    <n v="844"/>
    <n v="8918202"/>
  </r>
  <r>
    <x v="23"/>
    <n v="825"/>
    <n v="9529642"/>
  </r>
  <r>
    <x v="24"/>
    <n v="816"/>
    <n v="5684791"/>
  </r>
  <r>
    <x v="25"/>
    <n v="629"/>
    <n v="7320495"/>
  </r>
  <r>
    <x v="3"/>
    <n v="752"/>
    <n v="5651145"/>
  </r>
  <r>
    <x v="26"/>
    <n v="568"/>
    <n v="7299054"/>
  </r>
  <r>
    <x v="27"/>
    <n v="828"/>
    <n v="9774730"/>
  </r>
  <r>
    <x v="28"/>
    <n v="986"/>
    <n v="9381329"/>
  </r>
  <r>
    <x v="29"/>
    <n v="845"/>
    <n v="6421390"/>
  </r>
  <r>
    <x v="30"/>
    <n v="680"/>
    <n v="5753698"/>
  </r>
  <r>
    <x v="31"/>
    <n v="773"/>
    <n v="8216119"/>
  </r>
  <r>
    <x v="32"/>
    <n v="688"/>
    <n v="6041372"/>
  </r>
  <r>
    <x v="33"/>
    <n v="634"/>
    <n v="5954032"/>
  </r>
  <r>
    <x v="34"/>
    <n v="791"/>
    <n v="5475781"/>
  </r>
  <r>
    <x v="35"/>
    <n v="862"/>
    <n v="7997558"/>
  </r>
  <r>
    <x v="5"/>
    <n v="664"/>
    <n v="5613166"/>
  </r>
  <r>
    <x v="36"/>
    <n v="506"/>
    <n v="7631656"/>
  </r>
  <r>
    <x v="0"/>
    <n v="786"/>
    <n v="6433751"/>
  </r>
  <r>
    <x v="37"/>
    <n v="683"/>
    <n v="9321894"/>
  </r>
  <r>
    <x v="38"/>
    <n v="660"/>
    <n v="9682556"/>
  </r>
  <r>
    <x v="39"/>
    <n v="755"/>
    <n v="7434435"/>
  </r>
  <r>
    <x v="40"/>
    <n v="701"/>
    <n v="8266350"/>
  </r>
  <r>
    <x v="41"/>
    <n v="611"/>
    <n v="6861020"/>
  </r>
  <r>
    <x v="42"/>
    <n v="587"/>
    <n v="8651172"/>
  </r>
  <r>
    <x v="43"/>
    <n v="935"/>
    <n v="9595551"/>
  </r>
  <r>
    <x v="44"/>
    <n v="850"/>
    <n v="9941992"/>
  </r>
  <r>
    <x v="45"/>
    <n v="711"/>
    <n v="8899175"/>
  </r>
  <r>
    <x v="46"/>
    <n v="984"/>
    <n v="5765608"/>
  </r>
  <r>
    <x v="47"/>
    <n v="678"/>
    <n v="7192749"/>
  </r>
  <r>
    <x v="48"/>
    <n v="525"/>
    <n v="6268175"/>
  </r>
  <r>
    <x v="49"/>
    <n v="718"/>
    <n v="7875540"/>
  </r>
  <r>
    <x v="50"/>
    <n v="519"/>
    <n v="5079909"/>
  </r>
  <r>
    <x v="51"/>
    <n v="997"/>
    <n v="9339180"/>
  </r>
  <r>
    <x v="52"/>
    <n v="565"/>
    <n v="9536897"/>
  </r>
  <r>
    <x v="53"/>
    <n v="921"/>
    <n v="8960890"/>
  </r>
  <r>
    <x v="54"/>
    <n v="626"/>
    <n v="850665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n v="1000"/>
    <x v="0"/>
    <x v="0"/>
    <n v="50000"/>
    <n v="5000"/>
    <n v="6000"/>
    <n v="3000"/>
    <n v="64000"/>
    <n v="6400"/>
    <n v="1120"/>
    <n v="3"/>
    <n v="5769.2307692307695"/>
    <n v="15"/>
    <n v="3125"/>
    <n v="53835.769230769234"/>
    <n v="646029.23076923075"/>
    <n v="77523.507692307685"/>
  </r>
  <r>
    <n v="2"/>
    <n v="1001"/>
    <x v="1"/>
    <x v="0"/>
    <n v="40000"/>
    <n v="4000"/>
    <n v="4800"/>
    <n v="2400"/>
    <n v="51200"/>
    <n v="5120"/>
    <n v="896.00000000000011"/>
    <n v="2"/>
    <n v="3076.9230769230771"/>
    <n v="12"/>
    <n v="2500"/>
    <n v="44607.076923076922"/>
    <n v="535284.92307692301"/>
    <n v="64234.190769230758"/>
  </r>
  <r>
    <n v="3"/>
    <n v="1002"/>
    <x v="2"/>
    <x v="0"/>
    <n v="40000"/>
    <n v="4000"/>
    <n v="4800"/>
    <n v="2400"/>
    <n v="51200"/>
    <n v="5120"/>
    <n v="896.00000000000011"/>
    <n v="4"/>
    <n v="6153.8461538461543"/>
    <n v="13"/>
    <n v="2708.3333333333335"/>
    <n v="41738.48717948718"/>
    <n v="500861.84615384613"/>
    <n v="60103.421538461531"/>
  </r>
  <r>
    <n v="4"/>
    <n v="1003"/>
    <x v="3"/>
    <x v="0"/>
    <n v="60000"/>
    <n v="6000"/>
    <n v="7200"/>
    <n v="3600"/>
    <n v="76800"/>
    <n v="7680"/>
    <n v="1344.0000000000002"/>
    <n v="3"/>
    <n v="6923.0769230769229"/>
    <n v="15"/>
    <n v="4687.5"/>
    <n v="65540.423076923078"/>
    <n v="786485.07692307699"/>
    <n v="94378.209230769236"/>
  </r>
  <r>
    <n v="5"/>
    <n v="1004"/>
    <x v="4"/>
    <x v="0"/>
    <n v="70000"/>
    <n v="7000"/>
    <n v="8400"/>
    <n v="4200"/>
    <n v="89600"/>
    <n v="8960"/>
    <n v="1568.0000000000002"/>
    <n v="5"/>
    <n v="13461.538461538461"/>
    <n v="15"/>
    <n v="5468.75"/>
    <n v="71079.211538461532"/>
    <n v="852950.53846153838"/>
    <n v="102354.0646153846"/>
  </r>
  <r>
    <n v="6"/>
    <n v="1005"/>
    <x v="5"/>
    <x v="0"/>
    <n v="50000"/>
    <n v="5000"/>
    <n v="6000"/>
    <n v="3000"/>
    <n v="64000"/>
    <n v="6400"/>
    <n v="1120"/>
    <n v="3"/>
    <n v="5769.2307692307695"/>
    <n v="12"/>
    <n v="3125"/>
    <n v="53835.769230769234"/>
    <n v="646029.23076923075"/>
    <n v="77523.507692307685"/>
  </r>
  <r>
    <n v="7"/>
    <n v="1006"/>
    <x v="6"/>
    <x v="1"/>
    <n v="18000"/>
    <n v="1800"/>
    <n v="2160"/>
    <n v="1080"/>
    <n v="23040"/>
    <n v="2304"/>
    <n v="403.20000000000005"/>
    <n v="4"/>
    <n v="2769.2307692307691"/>
    <n v="13"/>
    <n v="1218.75"/>
    <n v="18782.31923076923"/>
    <n v="225387.83076923076"/>
    <n v="27046.539692307691"/>
  </r>
  <r>
    <n v="8"/>
    <n v="1007"/>
    <x v="7"/>
    <x v="1"/>
    <n v="26000"/>
    <n v="2600"/>
    <n v="3120"/>
    <n v="1560"/>
    <n v="33280"/>
    <n v="3328"/>
    <n v="582.40000000000009"/>
    <n v="5"/>
    <n v="5000"/>
    <n v="13"/>
    <n v="1760.4166666666665"/>
    <n v="26130.016666666666"/>
    <n v="313560.2"/>
    <n v="37627.224000000002"/>
  </r>
  <r>
    <n v="9"/>
    <n v="1008"/>
    <x v="6"/>
    <x v="1"/>
    <n v="11000"/>
    <n v="1100"/>
    <n v="1320"/>
    <n v="660"/>
    <n v="14080"/>
    <n v="1408"/>
    <n v="246.40000000000003"/>
    <n v="2"/>
    <n v="846.15384615384619"/>
    <n v="15"/>
    <n v="859.375"/>
    <n v="12438.821153846155"/>
    <n v="149265.85384615386"/>
    <n v="17911.902461538462"/>
  </r>
  <r>
    <n v="10"/>
    <n v="1009"/>
    <x v="8"/>
    <x v="1"/>
    <n v="22000"/>
    <n v="2200"/>
    <n v="2640"/>
    <n v="1320"/>
    <n v="28160"/>
    <n v="2816"/>
    <n v="492.80000000000007"/>
    <n v="3"/>
    <n v="2538.4615384615386"/>
    <n v="15"/>
    <n v="1718.75"/>
    <n v="24031.488461538462"/>
    <n v="288377.86153846153"/>
    <n v="34605.343384615378"/>
  </r>
  <r>
    <n v="11"/>
    <n v="1010"/>
    <x v="2"/>
    <x v="1"/>
    <n v="22000"/>
    <n v="2200"/>
    <n v="2640"/>
    <n v="1320"/>
    <n v="28160"/>
    <n v="2816"/>
    <n v="492.80000000000007"/>
    <n v="4"/>
    <n v="3384.6153846153848"/>
    <n v="15"/>
    <n v="1718.75"/>
    <n v="23185.334615384614"/>
    <n v="278224.0153846154"/>
    <n v="33386.881846153847"/>
  </r>
  <r>
    <n v="12"/>
    <n v="1011"/>
    <x v="9"/>
    <x v="1"/>
    <n v="29000"/>
    <n v="2900"/>
    <n v="3480"/>
    <n v="1740"/>
    <n v="37120"/>
    <n v="3712"/>
    <n v="649.6"/>
    <n v="4"/>
    <n v="4461.5384615384619"/>
    <n v="12"/>
    <n v="1812.5"/>
    <n v="30109.36153846154"/>
    <n v="361312.33846153849"/>
    <n v="43357.480615384615"/>
  </r>
  <r>
    <n v="13"/>
    <n v="1012"/>
    <x v="10"/>
    <x v="1"/>
    <n v="22000"/>
    <n v="2200"/>
    <n v="2640"/>
    <n v="1320"/>
    <n v="28160"/>
    <n v="2816"/>
    <n v="492.80000000000007"/>
    <n v="3"/>
    <n v="2538.4615384615386"/>
    <n v="13"/>
    <n v="1489.5833333333333"/>
    <n v="23802.321794871794"/>
    <n v="285627.86153846153"/>
    <n v="34275.343384615378"/>
  </r>
  <r>
    <n v="14"/>
    <n v="1013"/>
    <x v="11"/>
    <x v="1"/>
    <n v="22000"/>
    <n v="2200"/>
    <n v="2640"/>
    <n v="1320"/>
    <n v="28160"/>
    <n v="2816"/>
    <n v="492.80000000000007"/>
    <n v="3"/>
    <n v="2538.4615384615386"/>
    <n v="12"/>
    <n v="1375"/>
    <n v="23687.738461538462"/>
    <n v="284252.86153846153"/>
    <n v="34110.343384615378"/>
  </r>
  <r>
    <n v="15"/>
    <n v="1014"/>
    <x v="12"/>
    <x v="1"/>
    <n v="25000"/>
    <n v="2500"/>
    <n v="3000"/>
    <n v="1500"/>
    <n v="32000"/>
    <n v="3200"/>
    <n v="560"/>
    <n v="3"/>
    <n v="2884.6153846153848"/>
    <n v="14"/>
    <n v="1822.9166666666667"/>
    <n v="27178.301282051285"/>
    <n v="326139.61538461543"/>
    <n v="39136.75384615385"/>
  </r>
  <r>
    <n v="16"/>
    <n v="1015"/>
    <x v="13"/>
    <x v="1"/>
    <n v="24000"/>
    <n v="2400"/>
    <n v="2880"/>
    <n v="1440"/>
    <n v="30720"/>
    <n v="3072"/>
    <n v="537.6"/>
    <n v="3"/>
    <n v="2769.2307692307695"/>
    <n v="15"/>
    <n v="1875"/>
    <n v="26216.169230769232"/>
    <n v="314594.0307692308"/>
    <n v="37751.283692307697"/>
  </r>
  <r>
    <n v="17"/>
    <n v="1016"/>
    <x v="14"/>
    <x v="1"/>
    <n v="26000"/>
    <n v="2600"/>
    <n v="3120"/>
    <n v="1560"/>
    <n v="33280"/>
    <n v="3328"/>
    <n v="582.40000000000009"/>
    <n v="2"/>
    <n v="2000"/>
    <n v="14"/>
    <n v="1895.8333333333333"/>
    <n v="29265.433333333331"/>
    <n v="351185.19999999995"/>
    <n v="42142.223999999995"/>
  </r>
  <r>
    <n v="18"/>
    <n v="1017"/>
    <x v="15"/>
    <x v="1"/>
    <n v="14000"/>
    <n v="1400"/>
    <n v="1680"/>
    <n v="840"/>
    <n v="17920"/>
    <n v="1792"/>
    <n v="313.60000000000002"/>
    <n v="4"/>
    <n v="2153.8461538461538"/>
    <n v="14"/>
    <n v="1020.8333333333334"/>
    <n v="14681.387179487179"/>
    <n v="176176.64615384614"/>
    <n v="21141.197538461536"/>
  </r>
  <r>
    <n v="19"/>
    <n v="1018"/>
    <x v="16"/>
    <x v="1"/>
    <n v="29000"/>
    <n v="2900"/>
    <n v="3480"/>
    <n v="1740"/>
    <n v="37120"/>
    <n v="3712"/>
    <n v="649.6"/>
    <n v="3"/>
    <n v="3346.1538461538466"/>
    <n v="14"/>
    <n v="2114.583333333333"/>
    <n v="31526.829487179486"/>
    <n v="378321.9538461538"/>
    <n v="45398.634461538451"/>
  </r>
  <r>
    <n v="20"/>
    <n v="1019"/>
    <x v="17"/>
    <x v="1"/>
    <n v="25000"/>
    <n v="2500"/>
    <n v="3000"/>
    <n v="1500"/>
    <n v="32000"/>
    <n v="3200"/>
    <n v="560"/>
    <n v="5"/>
    <n v="4807.6923076923076"/>
    <n v="15"/>
    <n v="1953.1250000000002"/>
    <n v="25385.432692307691"/>
    <n v="304625.19230769231"/>
    <n v="36555.023076923077"/>
  </r>
  <r>
    <n v="21"/>
    <n v="1020"/>
    <x v="18"/>
    <x v="1"/>
    <n v="12000"/>
    <n v="1200"/>
    <n v="1440"/>
    <n v="720"/>
    <n v="15360"/>
    <n v="1536"/>
    <n v="268.8"/>
    <n v="5"/>
    <n v="2307.6923076923076"/>
    <n v="12"/>
    <n v="750"/>
    <n v="11997.507692307692"/>
    <n v="143970.09230769231"/>
    <n v="17276.411076923076"/>
  </r>
  <r>
    <n v="22"/>
    <n v="1021"/>
    <x v="19"/>
    <x v="1"/>
    <n v="13000"/>
    <n v="1300"/>
    <n v="1560"/>
    <n v="780"/>
    <n v="16640"/>
    <n v="1664"/>
    <n v="291.20000000000005"/>
    <n v="4"/>
    <n v="2000"/>
    <n v="14"/>
    <n v="947.91666666666663"/>
    <n v="13632.716666666665"/>
    <n v="163592.59999999998"/>
    <n v="19631.111999999997"/>
  </r>
  <r>
    <n v="23"/>
    <n v="1022"/>
    <x v="20"/>
    <x v="1"/>
    <n v="25000"/>
    <n v="2500"/>
    <n v="3000"/>
    <n v="1500"/>
    <n v="32000"/>
    <n v="3200"/>
    <n v="560"/>
    <n v="5"/>
    <n v="4807.6923076923076"/>
    <n v="14"/>
    <n v="1822.9166666666667"/>
    <n v="25255.224358974359"/>
    <n v="303062.69230769231"/>
    <n v="36367.523076923077"/>
  </r>
  <r>
    <n v="24"/>
    <n v="1023"/>
    <x v="21"/>
    <x v="1"/>
    <n v="17000"/>
    <n v="1700"/>
    <n v="2040"/>
    <n v="1020"/>
    <n v="21760"/>
    <n v="2176"/>
    <n v="380.8"/>
    <n v="2"/>
    <n v="1307.6923076923076"/>
    <n v="15"/>
    <n v="1328.125"/>
    <n v="19223.632692307692"/>
    <n v="230683.59230769231"/>
    <n v="27682.031076923075"/>
  </r>
  <r>
    <n v="25"/>
    <n v="1024"/>
    <x v="22"/>
    <x v="1"/>
    <n v="10000"/>
    <n v="1000"/>
    <n v="1200"/>
    <n v="600"/>
    <n v="12800"/>
    <n v="1280"/>
    <n v="224.00000000000003"/>
    <n v="3"/>
    <n v="1153.8461538461538"/>
    <n v="14"/>
    <n v="729.16666666666674"/>
    <n v="10871.320512820512"/>
    <n v="130455.84615384614"/>
    <n v="15654.701538461537"/>
  </r>
  <r>
    <n v="26"/>
    <n v="1025"/>
    <x v="2"/>
    <x v="1"/>
    <n v="18000"/>
    <n v="1800"/>
    <n v="2160"/>
    <n v="1080"/>
    <n v="23040"/>
    <n v="2304"/>
    <n v="403.20000000000005"/>
    <n v="3"/>
    <n v="2076.9230769230767"/>
    <n v="15"/>
    <n v="1406.25"/>
    <n v="19662.126923076921"/>
    <n v="235945.52307692304"/>
    <n v="28313.462769230762"/>
  </r>
  <r>
    <n v="27"/>
    <n v="1026"/>
    <x v="23"/>
    <x v="1"/>
    <n v="26000"/>
    <n v="2600"/>
    <n v="3120"/>
    <n v="1560"/>
    <n v="33280"/>
    <n v="3328"/>
    <n v="582.40000000000009"/>
    <n v="5"/>
    <n v="5000"/>
    <n v="13"/>
    <n v="1760.4166666666665"/>
    <n v="26130.016666666666"/>
    <n v="313560.2"/>
    <n v="37627.224000000002"/>
  </r>
  <r>
    <n v="28"/>
    <n v="1027"/>
    <x v="24"/>
    <x v="1"/>
    <n v="29000"/>
    <n v="2900"/>
    <n v="3480"/>
    <n v="1740"/>
    <n v="37120"/>
    <n v="3712"/>
    <n v="649.6"/>
    <n v="4"/>
    <n v="4461.5384615384619"/>
    <n v="12"/>
    <n v="1812.5"/>
    <n v="30109.36153846154"/>
    <n v="361312.33846153849"/>
    <n v="43357.480615384615"/>
  </r>
  <r>
    <n v="29"/>
    <n v="1028"/>
    <x v="25"/>
    <x v="1"/>
    <n v="14000"/>
    <n v="1400"/>
    <n v="1680"/>
    <n v="840"/>
    <n v="17920"/>
    <n v="1792"/>
    <n v="313.60000000000002"/>
    <n v="2"/>
    <n v="1076.9230769230769"/>
    <n v="15"/>
    <n v="1093.75"/>
    <n v="15831.226923076923"/>
    <n v="189974.72307692308"/>
    <n v="22796.96676923077"/>
  </r>
  <r>
    <n v="30"/>
    <n v="1029"/>
    <x v="26"/>
    <x v="1"/>
    <n v="28000"/>
    <n v="2800"/>
    <n v="3360"/>
    <n v="1680"/>
    <n v="35840"/>
    <n v="3584"/>
    <n v="627.20000000000005"/>
    <n v="5"/>
    <n v="5384.6153846153848"/>
    <n v="13"/>
    <n v="1895.8333333333335"/>
    <n v="28140.017948717945"/>
    <n v="337680.21538461535"/>
    <n v="40521.625846153838"/>
  </r>
  <r>
    <n v="31"/>
    <n v="1030"/>
    <x v="27"/>
    <x v="1"/>
    <n v="29000"/>
    <n v="2900"/>
    <n v="3480"/>
    <n v="1740"/>
    <n v="37120"/>
    <n v="3712"/>
    <n v="649.6"/>
    <n v="5"/>
    <n v="5576.9230769230771"/>
    <n v="15"/>
    <n v="2265.625"/>
    <n v="29447.101923076923"/>
    <n v="353365.22307692305"/>
    <n v="42403.826769230764"/>
  </r>
  <r>
    <n v="32"/>
    <n v="1031"/>
    <x v="28"/>
    <x v="1"/>
    <n v="24000"/>
    <n v="2400"/>
    <n v="2880"/>
    <n v="1440"/>
    <n v="30720"/>
    <n v="3072"/>
    <n v="537.6"/>
    <n v="4"/>
    <n v="3692.3076923076924"/>
    <n v="15"/>
    <n v="1875"/>
    <n v="25293.09230769231"/>
    <n v="303517.10769230773"/>
    <n v="36422.052923076924"/>
  </r>
  <r>
    <n v="33"/>
    <n v="1032"/>
    <x v="29"/>
    <x v="1"/>
    <n v="20000"/>
    <n v="2000"/>
    <n v="2400"/>
    <n v="1200"/>
    <n v="25600"/>
    <n v="2560"/>
    <n v="448.00000000000006"/>
    <n v="4"/>
    <n v="3076.9230769230771"/>
    <n v="13"/>
    <n v="1354.1666666666667"/>
    <n v="20869.24358974359"/>
    <n v="250430.92307692306"/>
    <n v="30051.710769230765"/>
  </r>
  <r>
    <n v="34"/>
    <n v="1033"/>
    <x v="30"/>
    <x v="1"/>
    <n v="19000"/>
    <n v="1900"/>
    <n v="2280"/>
    <n v="1140"/>
    <n v="24320"/>
    <n v="2432"/>
    <n v="425.6"/>
    <n v="2"/>
    <n v="1461.5384615384614"/>
    <n v="13"/>
    <n v="1286.4583333333333"/>
    <n v="21287.319871794873"/>
    <n v="255447.83846153849"/>
    <n v="30653.740615384617"/>
  </r>
  <r>
    <n v="35"/>
    <n v="1034"/>
    <x v="31"/>
    <x v="1"/>
    <n v="16000"/>
    <n v="1600"/>
    <n v="1920"/>
    <n v="960"/>
    <n v="20480"/>
    <n v="2048"/>
    <n v="358.40000000000003"/>
    <n v="5"/>
    <n v="3076.9230769230767"/>
    <n v="13"/>
    <n v="1083.3333333333333"/>
    <n v="16080.010256410256"/>
    <n v="192960.12307692308"/>
    <n v="23155.21476923077"/>
  </r>
  <r>
    <n v="36"/>
    <n v="1035"/>
    <x v="32"/>
    <x v="1"/>
    <n v="21000"/>
    <n v="2100"/>
    <n v="2520"/>
    <n v="1260"/>
    <n v="26880"/>
    <n v="2688"/>
    <n v="470.40000000000003"/>
    <n v="2"/>
    <n v="1615.3846153846155"/>
    <n v="14"/>
    <n v="1531.25"/>
    <n v="23637.465384615381"/>
    <n v="283649.58461538458"/>
    <n v="34037.950153846148"/>
  </r>
  <r>
    <n v="37"/>
    <n v="1036"/>
    <x v="33"/>
    <x v="1"/>
    <n v="16000"/>
    <n v="1600"/>
    <n v="1920"/>
    <n v="960"/>
    <n v="20480"/>
    <n v="2048"/>
    <n v="358.40000000000003"/>
    <n v="3"/>
    <n v="1846.1538461538462"/>
    <n v="15"/>
    <n v="1250"/>
    <n v="17477.446153846155"/>
    <n v="209729.35384615386"/>
    <n v="25167.522461538461"/>
  </r>
  <r>
    <n v="38"/>
    <n v="1037"/>
    <x v="34"/>
    <x v="1"/>
    <n v="29000"/>
    <n v="2900"/>
    <n v="3480"/>
    <n v="1740"/>
    <n v="37120"/>
    <n v="3712"/>
    <n v="649.6"/>
    <n v="2"/>
    <n v="2230.7692307692309"/>
    <n v="15"/>
    <n v="2265.625"/>
    <n v="32793.255769230775"/>
    <n v="393519.0692307693"/>
    <n v="47222.288307692317"/>
  </r>
  <r>
    <n v="39"/>
    <n v="1038"/>
    <x v="35"/>
    <x v="1"/>
    <n v="16000"/>
    <n v="1600"/>
    <n v="1920"/>
    <n v="960"/>
    <n v="20480"/>
    <n v="2048"/>
    <n v="358.40000000000003"/>
    <n v="5"/>
    <n v="3076.9230769230767"/>
    <n v="15"/>
    <n v="1250"/>
    <n v="16246.676923076922"/>
    <n v="194960.12307692308"/>
    <n v="23395.21476923077"/>
  </r>
  <r>
    <n v="40"/>
    <n v="1039"/>
    <x v="36"/>
    <x v="1"/>
    <n v="14000"/>
    <n v="1400"/>
    <n v="1680"/>
    <n v="840"/>
    <n v="17920"/>
    <n v="1792"/>
    <n v="313.60000000000002"/>
    <n v="4"/>
    <n v="2153.8461538461538"/>
    <n v="14"/>
    <n v="1020.8333333333334"/>
    <n v="14681.387179487179"/>
    <n v="176176.64615384614"/>
    <n v="21141.197538461536"/>
  </r>
  <r>
    <n v="41"/>
    <n v="1040"/>
    <x v="37"/>
    <x v="1"/>
    <n v="12000"/>
    <n v="1200"/>
    <n v="1440"/>
    <n v="720"/>
    <n v="15360"/>
    <n v="1536"/>
    <n v="268.8"/>
    <n v="5"/>
    <n v="2307.6923076923076"/>
    <n v="14"/>
    <n v="875"/>
    <n v="12122.507692307692"/>
    <n v="145470.09230769231"/>
    <n v="17456.411076923076"/>
  </r>
  <r>
    <n v="42"/>
    <n v="1041"/>
    <x v="38"/>
    <x v="1"/>
    <n v="13000"/>
    <n v="1300"/>
    <n v="1560"/>
    <n v="780"/>
    <n v="16640"/>
    <n v="1664"/>
    <n v="291.20000000000005"/>
    <n v="5"/>
    <n v="2500"/>
    <n v="12"/>
    <n v="812.5"/>
    <n v="12997.3"/>
    <n v="155967.59999999998"/>
    <n v="18716.111999999997"/>
  </r>
  <r>
    <n v="43"/>
    <n v="1042"/>
    <x v="39"/>
    <x v="1"/>
    <n v="21000"/>
    <n v="2100"/>
    <n v="2520"/>
    <n v="1260"/>
    <n v="26880"/>
    <n v="2688"/>
    <n v="470.40000000000003"/>
    <n v="3"/>
    <n v="2423.0769230769233"/>
    <n v="14"/>
    <n v="1531.25"/>
    <n v="22829.773076923077"/>
    <n v="273957.27692307695"/>
    <n v="32874.873230769233"/>
  </r>
  <r>
    <n v="44"/>
    <n v="1043"/>
    <x v="40"/>
    <x v="1"/>
    <n v="10000"/>
    <n v="1000"/>
    <n v="1200"/>
    <n v="600"/>
    <n v="12800"/>
    <n v="1280"/>
    <n v="224.00000000000003"/>
    <n v="5"/>
    <n v="1923.0769230769233"/>
    <n v="14"/>
    <n v="729.16666666666674"/>
    <n v="10102.089743589742"/>
    <n v="121225.07692307691"/>
    <n v="14547.009230769228"/>
  </r>
  <r>
    <n v="45"/>
    <n v="1044"/>
    <x v="11"/>
    <x v="1"/>
    <n v="29000"/>
    <n v="2900"/>
    <n v="3480"/>
    <n v="1740"/>
    <n v="37120"/>
    <n v="3712"/>
    <n v="649.6"/>
    <n v="5"/>
    <n v="5576.9230769230771"/>
    <n v="12"/>
    <n v="1812.5"/>
    <n v="28993.976923076923"/>
    <n v="347927.72307692305"/>
    <n v="41751.326769230764"/>
  </r>
  <r>
    <n v="46"/>
    <n v="1045"/>
    <x v="41"/>
    <x v="1"/>
    <n v="20000"/>
    <n v="2000"/>
    <n v="2400"/>
    <n v="1200"/>
    <n v="25600"/>
    <n v="2560"/>
    <n v="448.00000000000006"/>
    <n v="3"/>
    <n v="2307.6923076923076"/>
    <n v="15"/>
    <n v="1562.5"/>
    <n v="21846.807692307691"/>
    <n v="262161.69230769231"/>
    <n v="31459.403076923078"/>
  </r>
  <r>
    <n v="47"/>
    <n v="1046"/>
    <x v="42"/>
    <x v="1"/>
    <n v="20000"/>
    <n v="2000"/>
    <n v="2400"/>
    <n v="1200"/>
    <n v="25600"/>
    <n v="2560"/>
    <n v="448.00000000000006"/>
    <n v="2"/>
    <n v="1538.4615384615386"/>
    <n v="12"/>
    <n v="1250"/>
    <n v="22303.538461538461"/>
    <n v="267642.4615384615"/>
    <n v="32117.095384615379"/>
  </r>
  <r>
    <n v="48"/>
    <n v="1047"/>
    <x v="43"/>
    <x v="1"/>
    <n v="18000"/>
    <n v="1800"/>
    <n v="2160"/>
    <n v="1080"/>
    <n v="23040"/>
    <n v="2304"/>
    <n v="403.20000000000005"/>
    <n v="5"/>
    <n v="3461.5384615384614"/>
    <n v="13"/>
    <n v="1218.75"/>
    <n v="18090.011538461538"/>
    <n v="217080.13846153847"/>
    <n v="26049.616615384617"/>
  </r>
  <r>
    <n v="49"/>
    <n v="1048"/>
    <x v="44"/>
    <x v="1"/>
    <n v="17000"/>
    <n v="1700"/>
    <n v="2040"/>
    <n v="1020"/>
    <n v="21760"/>
    <n v="2176"/>
    <n v="380.8"/>
    <n v="4"/>
    <n v="2615.3846153846152"/>
    <n v="13"/>
    <n v="1151.0416666666667"/>
    <n v="17738.857051282055"/>
    <n v="212866.28461538465"/>
    <n v="25543.954153846156"/>
  </r>
  <r>
    <n v="50"/>
    <n v="1049"/>
    <x v="45"/>
    <x v="1"/>
    <n v="22000"/>
    <n v="2200"/>
    <n v="2640"/>
    <n v="1320"/>
    <n v="28160"/>
    <n v="2816"/>
    <n v="492.80000000000007"/>
    <n v="3"/>
    <n v="2538.4615384615386"/>
    <n v="12"/>
    <n v="1375"/>
    <n v="23687.738461538462"/>
    <n v="284252.86153846153"/>
    <n v="34110.343384615378"/>
  </r>
  <r>
    <n v="51"/>
    <n v="1050"/>
    <x v="46"/>
    <x v="1"/>
    <n v="32000"/>
    <n v="3200"/>
    <n v="3840"/>
    <n v="1920"/>
    <n v="40960"/>
    <n v="4096"/>
    <n v="716.80000000000007"/>
    <n v="4"/>
    <n v="4923.0769230769229"/>
    <n v="15"/>
    <n v="2500"/>
    <n v="33724.123076923075"/>
    <n v="404689.4769230769"/>
    <n v="48562.737230769228"/>
  </r>
  <r>
    <n v="52"/>
    <n v="1051"/>
    <x v="47"/>
    <x v="1"/>
    <n v="26000"/>
    <n v="2600"/>
    <n v="3120"/>
    <n v="1560"/>
    <n v="33280"/>
    <n v="3328"/>
    <n v="582.40000000000009"/>
    <n v="3"/>
    <n v="3000"/>
    <n v="15"/>
    <n v="2031.2499999999998"/>
    <n v="28400.85"/>
    <n v="340810.19999999995"/>
    <n v="40897.223999999995"/>
  </r>
  <r>
    <n v="53"/>
    <n v="1052"/>
    <x v="37"/>
    <x v="1"/>
    <n v="34000"/>
    <n v="3400"/>
    <n v="4080"/>
    <n v="2040"/>
    <n v="43520"/>
    <n v="4352"/>
    <n v="761.6"/>
    <n v="2"/>
    <n v="2615.3846153846152"/>
    <n v="12"/>
    <n v="2125"/>
    <n v="37916.015384615384"/>
    <n v="454992.18461538461"/>
    <n v="54599.062153846149"/>
  </r>
  <r>
    <n v="54"/>
    <n v="1053"/>
    <x v="12"/>
    <x v="1"/>
    <n v="24000"/>
    <n v="2400"/>
    <n v="2880"/>
    <n v="1440"/>
    <n v="30720"/>
    <n v="3072"/>
    <n v="537.6"/>
    <n v="2"/>
    <n v="1846.1538461538462"/>
    <n v="12"/>
    <n v="1500"/>
    <n v="26764.246153846154"/>
    <n v="321170.95384615386"/>
    <n v="38540.514461538463"/>
  </r>
  <r>
    <n v="55"/>
    <n v="1054"/>
    <x v="48"/>
    <x v="1"/>
    <n v="25000"/>
    <n v="2500"/>
    <n v="3000"/>
    <n v="1500"/>
    <n v="32000"/>
    <n v="3200"/>
    <n v="560"/>
    <n v="3"/>
    <n v="2884.6153846153848"/>
    <n v="13"/>
    <n v="1692.7083333333335"/>
    <n v="27048.092948717949"/>
    <n v="324577.11538461538"/>
    <n v="38949.253846153842"/>
  </r>
  <r>
    <n v="56"/>
    <n v="1055"/>
    <x v="49"/>
    <x v="1"/>
    <n v="11000"/>
    <n v="1100"/>
    <n v="1320"/>
    <n v="660"/>
    <n v="14080"/>
    <n v="1408"/>
    <n v="246.40000000000003"/>
    <n v="3"/>
    <n v="1269.2307692307693"/>
    <n v="15"/>
    <n v="859.375"/>
    <n v="12015.744230769231"/>
    <n v="144188.93076923076"/>
    <n v="17302.671692307689"/>
  </r>
  <r>
    <n v="57"/>
    <n v="1056"/>
    <x v="50"/>
    <x v="1"/>
    <n v="20000"/>
    <n v="2000"/>
    <n v="2400"/>
    <n v="1200"/>
    <n v="25600"/>
    <n v="2560"/>
    <n v="448.00000000000006"/>
    <n v="5"/>
    <n v="3846.1538461538466"/>
    <n v="12"/>
    <n v="1250"/>
    <n v="19995.846153846152"/>
    <n v="239950.15384615381"/>
    <n v="28794.018461538457"/>
  </r>
  <r>
    <n v="58"/>
    <n v="1057"/>
    <x v="29"/>
    <x v="1"/>
    <n v="22000"/>
    <n v="2200"/>
    <n v="2640"/>
    <n v="1320"/>
    <n v="28160"/>
    <n v="2816"/>
    <n v="492.80000000000007"/>
    <n v="3"/>
    <n v="2538.4615384615386"/>
    <n v="15"/>
    <n v="1718.75"/>
    <n v="24031.488461538462"/>
    <n v="288377.86153846153"/>
    <n v="34605.343384615378"/>
  </r>
  <r>
    <n v="59"/>
    <n v="1058"/>
    <x v="51"/>
    <x v="1"/>
    <n v="28000"/>
    <n v="2800"/>
    <n v="3360"/>
    <n v="1680"/>
    <n v="35840"/>
    <n v="3584"/>
    <n v="627.20000000000005"/>
    <n v="2"/>
    <n v="2153.8461538461538"/>
    <n v="14"/>
    <n v="2041.6666666666667"/>
    <n v="31516.620512820515"/>
    <n v="378199.44615384616"/>
    <n v="45383.933538461541"/>
  </r>
  <r>
    <n v="60"/>
    <n v="1059"/>
    <x v="52"/>
    <x v="1"/>
    <n v="26000"/>
    <n v="2600"/>
    <n v="3120"/>
    <n v="1560"/>
    <n v="33280"/>
    <n v="3328"/>
    <n v="582.40000000000009"/>
    <n v="4"/>
    <n v="4000"/>
    <n v="12"/>
    <n v="1625"/>
    <n v="26994.6"/>
    <n v="323935.19999999995"/>
    <n v="38872.223999999995"/>
  </r>
  <r>
    <n v="61"/>
    <n v="1060"/>
    <x v="24"/>
    <x v="1"/>
    <n v="19000"/>
    <n v="1900"/>
    <n v="2280"/>
    <n v="1140"/>
    <n v="24320"/>
    <n v="2432"/>
    <n v="425.6"/>
    <n v="3"/>
    <n v="2192.3076923076924"/>
    <n v="13"/>
    <n v="1286.4583333333333"/>
    <n v="20556.550641025642"/>
    <n v="246678.60769230771"/>
    <n v="29601.432923076922"/>
  </r>
  <r>
    <n v="62"/>
    <n v="1061"/>
    <x v="53"/>
    <x v="1"/>
    <n v="16000"/>
    <n v="1600"/>
    <n v="1920"/>
    <n v="960"/>
    <n v="20480"/>
    <n v="2048"/>
    <n v="358.40000000000003"/>
    <n v="5"/>
    <n v="3076.9230769230767"/>
    <n v="12"/>
    <n v="1000"/>
    <n v="15996.676923076922"/>
    <n v="191960.12307692308"/>
    <n v="23035.21476923077"/>
  </r>
  <r>
    <n v="63"/>
    <n v="1062"/>
    <x v="25"/>
    <x v="1"/>
    <n v="16000"/>
    <n v="1600"/>
    <n v="1920"/>
    <n v="960"/>
    <n v="20480"/>
    <n v="2048"/>
    <n v="358.40000000000003"/>
    <n v="2"/>
    <n v="1230.7692307692307"/>
    <n v="12"/>
    <n v="1000"/>
    <n v="17842.830769230768"/>
    <n v="214113.9692307692"/>
    <n v="25693.676307692302"/>
  </r>
  <r>
    <n v="64"/>
    <n v="1063"/>
    <x v="54"/>
    <x v="1"/>
    <n v="17000"/>
    <n v="1700"/>
    <n v="2040"/>
    <n v="1020"/>
    <n v="21760"/>
    <n v="2176"/>
    <n v="380.8"/>
    <n v="2"/>
    <n v="1307.6923076923076"/>
    <n v="14"/>
    <n v="1239.5833333333335"/>
    <n v="19135.091025641024"/>
    <n v="229621.09230769228"/>
    <n v="27554.531076923071"/>
  </r>
  <r>
    <n v="65"/>
    <n v="1064"/>
    <x v="55"/>
    <x v="1"/>
    <n v="23000"/>
    <n v="2300"/>
    <n v="2760"/>
    <n v="1380"/>
    <n v="29440"/>
    <n v="2944"/>
    <n v="515.20000000000005"/>
    <n v="4"/>
    <n v="3538.4615384615386"/>
    <n v="14"/>
    <n v="1677.0833333333335"/>
    <n v="24119.421794871792"/>
    <n v="289433.06153846148"/>
    <n v="34731.967384615375"/>
  </r>
  <r>
    <n v="66"/>
    <n v="1065"/>
    <x v="56"/>
    <x v="1"/>
    <n v="18000"/>
    <n v="1800"/>
    <n v="2160"/>
    <n v="1080"/>
    <n v="23040"/>
    <n v="2304"/>
    <n v="403.20000000000005"/>
    <n v="5"/>
    <n v="3461.5384615384614"/>
    <n v="12"/>
    <n v="1125"/>
    <n v="17996.261538461538"/>
    <n v="215955.13846153847"/>
    <n v="25914.616615384617"/>
  </r>
  <r>
    <n v="67"/>
    <n v="1066"/>
    <x v="44"/>
    <x v="1"/>
    <n v="13000"/>
    <n v="1300"/>
    <n v="1560"/>
    <n v="780"/>
    <n v="16640"/>
    <n v="1664"/>
    <n v="291.20000000000005"/>
    <n v="4"/>
    <n v="2000"/>
    <n v="12"/>
    <n v="812.5"/>
    <n v="13497.3"/>
    <n v="161967.59999999998"/>
    <n v="19436.111999999997"/>
  </r>
  <r>
    <n v="68"/>
    <n v="1067"/>
    <x v="9"/>
    <x v="1"/>
    <n v="11000"/>
    <n v="1100"/>
    <n v="1320"/>
    <n v="660"/>
    <n v="14080"/>
    <n v="1408"/>
    <n v="246.40000000000003"/>
    <n v="4"/>
    <n v="1692.3076923076924"/>
    <n v="13"/>
    <n v="744.79166666666663"/>
    <n v="11478.083974358973"/>
    <n v="137737.00769230767"/>
    <n v="16528.44092307692"/>
  </r>
  <r>
    <n v="69"/>
    <n v="1068"/>
    <x v="19"/>
    <x v="1"/>
    <n v="10000"/>
    <n v="1000"/>
    <n v="1200"/>
    <n v="600"/>
    <n v="12800"/>
    <n v="1280"/>
    <n v="224.00000000000003"/>
    <n v="3"/>
    <n v="1153.8461538461538"/>
    <n v="14"/>
    <n v="729.16666666666674"/>
    <n v="10871.320512820512"/>
    <n v="130455.84615384614"/>
    <n v="15654.701538461537"/>
  </r>
  <r>
    <n v="70"/>
    <n v="1069"/>
    <x v="14"/>
    <x v="1"/>
    <n v="27000"/>
    <n v="2700"/>
    <n v="3240"/>
    <n v="1620"/>
    <n v="34560"/>
    <n v="3456"/>
    <n v="604.80000000000007"/>
    <n v="2"/>
    <n v="2076.9230769230771"/>
    <n v="15"/>
    <n v="2109.375"/>
    <n v="30531.651923076923"/>
    <n v="366379.82307692309"/>
    <n v="43965.578769230771"/>
  </r>
  <r>
    <n v="71"/>
    <n v="1070"/>
    <x v="18"/>
    <x v="1"/>
    <n v="27890"/>
    <n v="2789"/>
    <n v="3346.7999999999997"/>
    <n v="1673.3999999999999"/>
    <n v="35699.200000000004"/>
    <n v="3569.9200000000005"/>
    <n v="624.7360000000001"/>
    <n v="4"/>
    <n v="4290.7692307692305"/>
    <n v="15"/>
    <n v="2178.90625"/>
    <n v="29392.681019230771"/>
    <n v="352712.17223076924"/>
    <n v="42325.460667692307"/>
  </r>
  <r>
    <n v="72"/>
    <n v="1071"/>
    <x v="57"/>
    <x v="1"/>
    <n v="34000"/>
    <n v="3400"/>
    <n v="4080"/>
    <n v="2040"/>
    <n v="43520"/>
    <n v="4352"/>
    <n v="761.6"/>
    <n v="3"/>
    <n v="3923.0769230769229"/>
    <n v="13"/>
    <n v="2302.0833333333335"/>
    <n v="36785.406410256415"/>
    <n v="441424.87692307698"/>
    <n v="52970.985230769234"/>
  </r>
  <r>
    <n v="73"/>
    <n v="1072"/>
    <x v="17"/>
    <x v="1"/>
    <n v="24000"/>
    <n v="2400"/>
    <n v="2880"/>
    <n v="1440"/>
    <n v="30720"/>
    <n v="3072"/>
    <n v="537.6"/>
    <n v="3"/>
    <n v="2769.2307692307695"/>
    <n v="13"/>
    <n v="1625"/>
    <n v="25966.169230769232"/>
    <n v="311594.0307692308"/>
    <n v="37391.283692307697"/>
  </r>
  <r>
    <n v="74"/>
    <n v="1073"/>
    <x v="58"/>
    <x v="1"/>
    <n v="24000"/>
    <n v="2400"/>
    <n v="2880"/>
    <n v="1440"/>
    <n v="30720"/>
    <n v="3072"/>
    <n v="537.6"/>
    <n v="5"/>
    <n v="4615.3846153846152"/>
    <n v="13"/>
    <n v="1625"/>
    <n v="24120.015384615384"/>
    <n v="289440.18461538461"/>
    <n v="34732.822153846151"/>
  </r>
  <r>
    <n v="75"/>
    <n v="1074"/>
    <x v="59"/>
    <x v="1"/>
    <n v="33000"/>
    <n v="3300"/>
    <n v="3960"/>
    <n v="1980"/>
    <n v="42240"/>
    <n v="4224"/>
    <n v="739.2"/>
    <n v="4"/>
    <n v="5076.9230769230771"/>
    <n v="14"/>
    <n v="2406.25"/>
    <n v="34606.126923076925"/>
    <n v="415273.5230769231"/>
    <n v="49832.82276923077"/>
  </r>
  <r>
    <n v="76"/>
    <n v="1075"/>
    <x v="60"/>
    <x v="1"/>
    <n v="31000"/>
    <n v="3100"/>
    <n v="3720"/>
    <n v="1860"/>
    <n v="39680"/>
    <n v="3968"/>
    <n v="694.40000000000009"/>
    <n v="4"/>
    <n v="4769.2307692307695"/>
    <n v="15"/>
    <n v="2421.875"/>
    <n v="32670.244230769229"/>
    <n v="392042.93076923076"/>
    <n v="47045.151692307692"/>
  </r>
  <r>
    <n v="77"/>
    <n v="1076"/>
    <x v="61"/>
    <x v="1"/>
    <n v="23000"/>
    <n v="2300"/>
    <n v="2760"/>
    <n v="1380"/>
    <n v="29440"/>
    <n v="2944"/>
    <n v="515.20000000000005"/>
    <n v="4"/>
    <n v="3538.4615384615386"/>
    <n v="15"/>
    <n v="1796.875"/>
    <n v="24239.21346153846"/>
    <n v="290870.56153846154"/>
    <n v="34904.467384615382"/>
  </r>
  <r>
    <n v="78"/>
    <n v="1077"/>
    <x v="62"/>
    <x v="1"/>
    <n v="13000"/>
    <n v="1300"/>
    <n v="1560"/>
    <n v="780"/>
    <n v="16640"/>
    <n v="1664"/>
    <n v="291.20000000000005"/>
    <n v="2"/>
    <n v="1000"/>
    <n v="13"/>
    <n v="880.20833333333326"/>
    <n v="14565.008333333333"/>
    <n v="174780.1"/>
    <n v="20973.612000000001"/>
  </r>
  <r>
    <n v="79"/>
    <n v="1078"/>
    <x v="63"/>
    <x v="1"/>
    <n v="25000"/>
    <n v="2500"/>
    <n v="3000"/>
    <n v="1500"/>
    <n v="32000"/>
    <n v="3200"/>
    <n v="560"/>
    <n v="4"/>
    <n v="3846.1538461538462"/>
    <n v="12"/>
    <n v="1562.5"/>
    <n v="25956.346153846152"/>
    <n v="311476.15384615381"/>
    <n v="37377.13846153846"/>
  </r>
  <r>
    <n v="80"/>
    <n v="1079"/>
    <x v="64"/>
    <x v="1"/>
    <n v="14000"/>
    <n v="1400"/>
    <n v="1680"/>
    <n v="840"/>
    <n v="17920"/>
    <n v="1792"/>
    <n v="313.60000000000002"/>
    <n v="3"/>
    <n v="1615.3846153846152"/>
    <n v="15"/>
    <n v="1093.75"/>
    <n v="15292.765384615384"/>
    <n v="183513.18461538461"/>
    <n v="22021.582153846153"/>
  </r>
  <r>
    <n v="81"/>
    <n v="1080"/>
    <x v="65"/>
    <x v="1"/>
    <n v="16000"/>
    <n v="1600"/>
    <n v="1920"/>
    <n v="960"/>
    <n v="20480"/>
    <n v="2048"/>
    <n v="358.40000000000003"/>
    <n v="5"/>
    <n v="3076.9230769230767"/>
    <n v="14"/>
    <n v="1166.6666666666665"/>
    <n v="16163.343589743588"/>
    <n v="193960.12307692308"/>
    <n v="23275.21476923077"/>
  </r>
  <r>
    <n v="82"/>
    <n v="1081"/>
    <x v="66"/>
    <x v="1"/>
    <n v="20000"/>
    <n v="2000"/>
    <n v="2400"/>
    <n v="1200"/>
    <n v="25600"/>
    <n v="2560"/>
    <n v="448.00000000000006"/>
    <n v="4"/>
    <n v="3076.9230769230771"/>
    <n v="13"/>
    <n v="1354.1666666666667"/>
    <n v="20869.24358974359"/>
    <n v="250430.92307692306"/>
    <n v="30051.710769230765"/>
  </r>
  <r>
    <n v="83"/>
    <n v="1082"/>
    <x v="67"/>
    <x v="1"/>
    <n v="29000"/>
    <n v="2900"/>
    <n v="3480"/>
    <n v="1740"/>
    <n v="37120"/>
    <n v="3712"/>
    <n v="649.6"/>
    <n v="3"/>
    <n v="3346.1538461538466"/>
    <n v="13"/>
    <n v="1963.5416666666665"/>
    <n v="31375.787820512822"/>
    <n v="376509.45384615386"/>
    <n v="45181.134461538459"/>
  </r>
  <r>
    <n v="84"/>
    <n v="1083"/>
    <x v="68"/>
    <x v="1"/>
    <n v="12000"/>
    <n v="1200"/>
    <n v="1440"/>
    <n v="720"/>
    <n v="15360"/>
    <n v="1536"/>
    <n v="268.8"/>
    <n v="4"/>
    <n v="1846.1538461538462"/>
    <n v="13"/>
    <n v="812.5"/>
    <n v="12521.546153846155"/>
    <n v="150258.55384615387"/>
    <n v="18031.026461538462"/>
  </r>
  <r>
    <n v="85"/>
    <n v="1084"/>
    <x v="69"/>
    <x v="1"/>
    <n v="20000"/>
    <n v="2000"/>
    <n v="2400"/>
    <n v="1200"/>
    <n v="25600"/>
    <n v="2560"/>
    <n v="448.00000000000006"/>
    <n v="3"/>
    <n v="2307.6923076923076"/>
    <n v="13"/>
    <n v="1354.1666666666667"/>
    <n v="21638.474358974359"/>
    <n v="259661.69230769231"/>
    <n v="31159.403076923078"/>
  </r>
  <r>
    <n v="86"/>
    <n v="1085"/>
    <x v="70"/>
    <x v="1"/>
    <n v="26000"/>
    <n v="2600"/>
    <n v="3120"/>
    <n v="1560"/>
    <n v="33280"/>
    <n v="3328"/>
    <n v="582.40000000000009"/>
    <n v="5"/>
    <n v="5000"/>
    <n v="15"/>
    <n v="2031.2499999999998"/>
    <n v="26400.85"/>
    <n v="316810.19999999995"/>
    <n v="38017.223999999995"/>
  </r>
  <r>
    <n v="87"/>
    <n v="1086"/>
    <x v="10"/>
    <x v="1"/>
    <n v="19000"/>
    <n v="1900"/>
    <n v="2280"/>
    <n v="1140"/>
    <n v="24320"/>
    <n v="2432"/>
    <n v="425.6"/>
    <n v="5"/>
    <n v="3653.8461538461534"/>
    <n v="13"/>
    <n v="1286.4583333333333"/>
    <n v="19095.012179487181"/>
    <n v="229140.14615384617"/>
    <n v="27496.817538461539"/>
  </r>
  <r>
    <n v="88"/>
    <n v="1087"/>
    <x v="71"/>
    <x v="1"/>
    <n v="16000"/>
    <n v="1600"/>
    <n v="1920"/>
    <n v="960"/>
    <n v="20480"/>
    <n v="2048"/>
    <n v="358.40000000000003"/>
    <n v="2"/>
    <n v="1230.7692307692307"/>
    <n v="12"/>
    <n v="1000"/>
    <n v="17842.830769230768"/>
    <n v="214113.9692307692"/>
    <n v="25693.676307692302"/>
  </r>
  <r>
    <n v="89"/>
    <n v="1088"/>
    <x v="38"/>
    <x v="1"/>
    <n v="24000"/>
    <n v="2400"/>
    <n v="2880"/>
    <n v="1440"/>
    <n v="30720"/>
    <n v="3072"/>
    <n v="537.6"/>
    <n v="3"/>
    <n v="2769.2307692307695"/>
    <n v="14"/>
    <n v="1750"/>
    <n v="26091.169230769232"/>
    <n v="313094.0307692308"/>
    <n v="37571.283692307697"/>
  </r>
  <r>
    <n v="90"/>
    <n v="1089"/>
    <x v="72"/>
    <x v="1"/>
    <n v="34000"/>
    <n v="3400"/>
    <n v="4080"/>
    <n v="2040"/>
    <n v="43520"/>
    <n v="4352"/>
    <n v="761.6"/>
    <n v="4"/>
    <n v="5230.7692307692305"/>
    <n v="12"/>
    <n v="2125"/>
    <n v="35300.630769230775"/>
    <n v="423607.5692307693"/>
    <n v="50832.908307692313"/>
  </r>
  <r>
    <n v="91"/>
    <n v="1090"/>
    <x v="73"/>
    <x v="1"/>
    <n v="11000"/>
    <n v="1100"/>
    <n v="1320"/>
    <n v="660"/>
    <n v="14080"/>
    <n v="1408"/>
    <n v="246.40000000000003"/>
    <n v="2"/>
    <n v="846.15384615384619"/>
    <n v="13"/>
    <n v="744.79166666666663"/>
    <n v="12324.237820512821"/>
    <n v="147890.85384615386"/>
    <n v="17746.902461538462"/>
  </r>
  <r>
    <n v="92"/>
    <n v="1091"/>
    <x v="74"/>
    <x v="1"/>
    <n v="27000"/>
    <n v="2700"/>
    <n v="3240"/>
    <n v="1620"/>
    <n v="34560"/>
    <n v="3456"/>
    <n v="604.80000000000007"/>
    <n v="2"/>
    <n v="2076.9230769230771"/>
    <n v="13"/>
    <n v="1828.125"/>
    <n v="30250.401923076923"/>
    <n v="363004.82307692309"/>
    <n v="43560.578769230771"/>
  </r>
  <r>
    <n v="93"/>
    <n v="1092"/>
    <x v="75"/>
    <x v="1"/>
    <n v="32000"/>
    <n v="3200"/>
    <n v="3840"/>
    <n v="1920"/>
    <n v="40960"/>
    <n v="4096"/>
    <n v="716.80000000000007"/>
    <n v="2"/>
    <n v="2461.5384615384614"/>
    <n v="14"/>
    <n v="2333.333333333333"/>
    <n v="36018.994871794872"/>
    <n v="432227.93846153846"/>
    <n v="51867.352615384611"/>
  </r>
  <r>
    <n v="94"/>
    <n v="1093"/>
    <x v="76"/>
    <x v="1"/>
    <n v="18000"/>
    <n v="1800"/>
    <n v="2160"/>
    <n v="1080"/>
    <n v="23040"/>
    <n v="2304"/>
    <n v="403.20000000000005"/>
    <n v="2"/>
    <n v="1384.6153846153845"/>
    <n v="14"/>
    <n v="1312.5"/>
    <n v="20260.684615384616"/>
    <n v="243128.21538461541"/>
    <n v="29175.385846153848"/>
  </r>
  <r>
    <n v="95"/>
    <n v="1094"/>
    <x v="46"/>
    <x v="1"/>
    <n v="34000"/>
    <n v="3400"/>
    <n v="4080"/>
    <n v="2040"/>
    <n v="43520"/>
    <n v="4352"/>
    <n v="761.6"/>
    <n v="2"/>
    <n v="2615.3846153846152"/>
    <n v="14"/>
    <n v="2479.166666666667"/>
    <n v="38270.182051282049"/>
    <n v="459242.18461538455"/>
    <n v="55109.062153846142"/>
  </r>
  <r>
    <n v="96"/>
    <n v="1095"/>
    <x v="77"/>
    <x v="1"/>
    <n v="21000"/>
    <n v="2100"/>
    <n v="2520"/>
    <n v="1260"/>
    <n v="26880"/>
    <n v="2688"/>
    <n v="470.40000000000003"/>
    <n v="3"/>
    <n v="2423.0769230769233"/>
    <n v="13"/>
    <n v="1421.875"/>
    <n v="22720.398076923077"/>
    <n v="272644.77692307695"/>
    <n v="32717.373230769233"/>
  </r>
  <r>
    <n v="97"/>
    <n v="1096"/>
    <x v="78"/>
    <x v="1"/>
    <n v="23000"/>
    <n v="2300"/>
    <n v="2760"/>
    <n v="1380"/>
    <n v="29440"/>
    <n v="2944"/>
    <n v="515.20000000000005"/>
    <n v="2"/>
    <n v="1769.2307692307693"/>
    <n v="12"/>
    <n v="1437.5"/>
    <n v="25649.06923076923"/>
    <n v="307788.83076923073"/>
    <n v="36934.659692307687"/>
  </r>
  <r>
    <n v="98"/>
    <n v="1097"/>
    <x v="79"/>
    <x v="1"/>
    <n v="23000"/>
    <n v="2300"/>
    <n v="2760"/>
    <n v="1380"/>
    <n v="29440"/>
    <n v="2944"/>
    <n v="515.20000000000005"/>
    <n v="2"/>
    <n v="1769.2307692307693"/>
    <n v="14"/>
    <n v="1677.0833333333335"/>
    <n v="25888.652564102562"/>
    <n v="310663.83076923073"/>
    <n v="37279.659692307687"/>
  </r>
  <r>
    <n v="99"/>
    <n v="1098"/>
    <x v="80"/>
    <x v="1"/>
    <n v="18000"/>
    <n v="1800"/>
    <n v="2160"/>
    <n v="1080"/>
    <n v="23040"/>
    <n v="2304"/>
    <n v="403.20000000000005"/>
    <n v="3"/>
    <n v="2076.9230769230767"/>
    <n v="12"/>
    <n v="1125"/>
    <n v="19380.876923076921"/>
    <n v="232570.52307692304"/>
    <n v="27908.462769230762"/>
  </r>
  <r>
    <n v="100"/>
    <n v="1099"/>
    <x v="30"/>
    <x v="1"/>
    <n v="17000"/>
    <n v="1700"/>
    <n v="2040"/>
    <n v="1020"/>
    <n v="21760"/>
    <n v="2176"/>
    <n v="380.8"/>
    <n v="5"/>
    <n v="3269.2307692307691"/>
    <n v="15"/>
    <n v="1328.125"/>
    <n v="17262.094230769231"/>
    <n v="207145.13076923077"/>
    <n v="24857.41569230769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n v="1"/>
    <x v="0"/>
    <x v="0"/>
    <x v="0"/>
    <n v="17"/>
  </r>
  <r>
    <n v="2"/>
    <x v="1"/>
    <x v="1"/>
    <x v="0"/>
    <n v="18"/>
  </r>
  <r>
    <n v="3"/>
    <x v="2"/>
    <x v="2"/>
    <x v="0"/>
    <n v="18"/>
  </r>
  <r>
    <n v="4"/>
    <x v="3"/>
    <x v="3"/>
    <x v="0"/>
    <n v="19"/>
  </r>
  <r>
    <n v="5"/>
    <x v="4"/>
    <x v="4"/>
    <x v="0"/>
    <n v="17"/>
  </r>
  <r>
    <n v="6"/>
    <x v="5"/>
    <x v="5"/>
    <x v="0"/>
    <n v="18"/>
  </r>
  <r>
    <n v="7"/>
    <x v="6"/>
    <x v="6"/>
    <x v="0"/>
    <n v="18"/>
  </r>
  <r>
    <n v="8"/>
    <x v="7"/>
    <x v="7"/>
    <x v="0"/>
    <n v="19"/>
  </r>
  <r>
    <n v="9"/>
    <x v="8"/>
    <x v="8"/>
    <x v="0"/>
    <n v="18"/>
  </r>
  <r>
    <n v="10"/>
    <x v="9"/>
    <x v="9"/>
    <x v="0"/>
    <n v="18"/>
  </r>
  <r>
    <n v="11"/>
    <x v="10"/>
    <x v="10"/>
    <x v="0"/>
    <n v="18"/>
  </r>
  <r>
    <n v="12"/>
    <x v="11"/>
    <x v="11"/>
    <x v="0"/>
    <n v="18"/>
  </r>
  <r>
    <n v="13"/>
    <x v="12"/>
    <x v="12"/>
    <x v="0"/>
    <n v="19"/>
  </r>
  <r>
    <n v="14"/>
    <x v="13"/>
    <x v="13"/>
    <x v="0"/>
    <n v="17"/>
  </r>
  <r>
    <n v="15"/>
    <x v="14"/>
    <x v="14"/>
    <x v="0"/>
    <n v="18"/>
  </r>
  <r>
    <n v="16"/>
    <x v="15"/>
    <x v="15"/>
    <x v="0"/>
    <n v="20"/>
  </r>
  <r>
    <n v="17"/>
    <x v="16"/>
    <x v="16"/>
    <x v="0"/>
    <n v="17"/>
  </r>
  <r>
    <n v="18"/>
    <x v="17"/>
    <x v="17"/>
    <x v="0"/>
    <n v="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553412-6299-492B-94CE-761E5D562DF0}" name="PivotTable1" cacheId="0" dataOnRows="1"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location ref="K3:Q93" firstHeaderRow="1" firstDataRow="2" firstDataCol="1"/>
  <pivotFields count="4">
    <pivotField axis="axisRow" showAll="0">
      <items count="30">
        <item x="11"/>
        <item x="19"/>
        <item x="15"/>
        <item x="24"/>
        <item x="6"/>
        <item x="26"/>
        <item x="10"/>
        <item x="9"/>
        <item x="20"/>
        <item x="14"/>
        <item x="1"/>
        <item x="13"/>
        <item x="17"/>
        <item x="21"/>
        <item x="28"/>
        <item x="16"/>
        <item x="12"/>
        <item x="2"/>
        <item x="25"/>
        <item x="0"/>
        <item x="18"/>
        <item x="7"/>
        <item x="5"/>
        <item x="27"/>
        <item x="22"/>
        <item x="4"/>
        <item x="8"/>
        <item x="3"/>
        <item x="23"/>
        <item t="default"/>
      </items>
    </pivotField>
    <pivotField axis="axisCol" showAll="0">
      <items count="6">
        <item x="3"/>
        <item x="1"/>
        <item x="0"/>
        <item x="2"/>
        <item x="4"/>
        <item t="default"/>
      </items>
    </pivotField>
    <pivotField dataField="1" numFmtId="172" showAll="0">
      <items count="28">
        <item x="0"/>
        <item x="3"/>
        <item x="4"/>
        <item x="5"/>
        <item x="2"/>
        <item x="1"/>
        <item x="7"/>
        <item x="24"/>
        <item x="16"/>
        <item x="11"/>
        <item x="6"/>
        <item x="25"/>
        <item x="13"/>
        <item x="9"/>
        <item x="8"/>
        <item x="21"/>
        <item x="14"/>
        <item x="12"/>
        <item x="18"/>
        <item x="22"/>
        <item x="23"/>
        <item x="10"/>
        <item x="15"/>
        <item x="17"/>
        <item x="19"/>
        <item x="20"/>
        <item x="26"/>
        <item t="default"/>
      </items>
    </pivotField>
    <pivotField dataField="1" numFmtId="172" showAll="0"/>
  </pivotFields>
  <rowFields count="2">
    <field x="0"/>
    <field x="-2"/>
  </rowFields>
  <rowItems count="89">
    <i>
      <x/>
    </i>
    <i r="1">
      <x/>
    </i>
    <i r="1" i="1">
      <x v="1"/>
    </i>
    <i>
      <x v="1"/>
    </i>
    <i r="1">
      <x/>
    </i>
    <i r="1" i="1">
      <x v="1"/>
    </i>
    <i>
      <x v="2"/>
    </i>
    <i r="1">
      <x/>
    </i>
    <i r="1" i="1">
      <x v="1"/>
    </i>
    <i>
      <x v="3"/>
    </i>
    <i r="1">
      <x/>
    </i>
    <i r="1" i="1">
      <x v="1"/>
    </i>
    <i>
      <x v="4"/>
    </i>
    <i r="1">
      <x/>
    </i>
    <i r="1" i="1">
      <x v="1"/>
    </i>
    <i>
      <x v="5"/>
    </i>
    <i r="1">
      <x/>
    </i>
    <i r="1" i="1">
      <x v="1"/>
    </i>
    <i>
      <x v="6"/>
    </i>
    <i r="1">
      <x/>
    </i>
    <i r="1" i="1">
      <x v="1"/>
    </i>
    <i>
      <x v="7"/>
    </i>
    <i r="1">
      <x/>
    </i>
    <i r="1" i="1">
      <x v="1"/>
    </i>
    <i>
      <x v="8"/>
    </i>
    <i r="1">
      <x/>
    </i>
    <i r="1" i="1">
      <x v="1"/>
    </i>
    <i>
      <x v="9"/>
    </i>
    <i r="1">
      <x/>
    </i>
    <i r="1" i="1">
      <x v="1"/>
    </i>
    <i>
      <x v="10"/>
    </i>
    <i r="1">
      <x/>
    </i>
    <i r="1" i="1">
      <x v="1"/>
    </i>
    <i>
      <x v="11"/>
    </i>
    <i r="1">
      <x/>
    </i>
    <i r="1" i="1">
      <x v="1"/>
    </i>
    <i>
      <x v="12"/>
    </i>
    <i r="1">
      <x/>
    </i>
    <i r="1" i="1">
      <x v="1"/>
    </i>
    <i>
      <x v="13"/>
    </i>
    <i r="1">
      <x/>
    </i>
    <i r="1" i="1">
      <x v="1"/>
    </i>
    <i>
      <x v="14"/>
    </i>
    <i r="1">
      <x/>
    </i>
    <i r="1" i="1">
      <x v="1"/>
    </i>
    <i>
      <x v="15"/>
    </i>
    <i r="1">
      <x/>
    </i>
    <i r="1" i="1">
      <x v="1"/>
    </i>
    <i>
      <x v="16"/>
    </i>
    <i r="1">
      <x/>
    </i>
    <i r="1" i="1">
      <x v="1"/>
    </i>
    <i>
      <x v="17"/>
    </i>
    <i r="1">
      <x/>
    </i>
    <i r="1" i="1">
      <x v="1"/>
    </i>
    <i>
      <x v="18"/>
    </i>
    <i r="1">
      <x/>
    </i>
    <i r="1" i="1">
      <x v="1"/>
    </i>
    <i>
      <x v="19"/>
    </i>
    <i r="1">
      <x/>
    </i>
    <i r="1" i="1">
      <x v="1"/>
    </i>
    <i>
      <x v="20"/>
    </i>
    <i r="1">
      <x/>
    </i>
    <i r="1" i="1">
      <x v="1"/>
    </i>
    <i>
      <x v="21"/>
    </i>
    <i r="1">
      <x/>
    </i>
    <i r="1" i="1">
      <x v="1"/>
    </i>
    <i>
      <x v="22"/>
    </i>
    <i r="1">
      <x/>
    </i>
    <i r="1" i="1">
      <x v="1"/>
    </i>
    <i>
      <x v="23"/>
    </i>
    <i r="1">
      <x/>
    </i>
    <i r="1" i="1">
      <x v="1"/>
    </i>
    <i>
      <x v="24"/>
    </i>
    <i r="1">
      <x/>
    </i>
    <i r="1" i="1">
      <x v="1"/>
    </i>
    <i>
      <x v="25"/>
    </i>
    <i r="1">
      <x/>
    </i>
    <i r="1" i="1">
      <x v="1"/>
    </i>
    <i>
      <x v="26"/>
    </i>
    <i r="1">
      <x/>
    </i>
    <i r="1" i="1">
      <x v="1"/>
    </i>
    <i>
      <x v="27"/>
    </i>
    <i r="1">
      <x/>
    </i>
    <i r="1" i="1">
      <x v="1"/>
    </i>
    <i>
      <x v="28"/>
    </i>
    <i r="1">
      <x/>
    </i>
    <i r="1" i="1">
      <x v="1"/>
    </i>
    <i t="grand">
      <x/>
    </i>
    <i t="grand" i="1">
      <x/>
    </i>
  </rowItems>
  <colFields count="1">
    <field x="1"/>
  </colFields>
  <colItems count="6">
    <i>
      <x/>
    </i>
    <i>
      <x v="1"/>
    </i>
    <i>
      <x v="2"/>
    </i>
    <i>
      <x v="3"/>
    </i>
    <i>
      <x v="4"/>
    </i>
    <i t="grand">
      <x/>
    </i>
  </colItems>
  <dataFields count="2">
    <dataField name="Sum of rate" fld="2" baseField="0" baseItem="2" numFmtId="178"/>
    <dataField name="Sum of amount" fld="3" baseField="0" baseItem="2" numFmtId="178"/>
  </dataField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9B1B10-7F7F-43A2-936D-3D5B4D2CEE9A}"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AW41" firstHeaderRow="1" firstDataRow="4" firstDataCol="1"/>
  <pivotFields count="8">
    <pivotField showAll="0"/>
    <pivotField axis="axisCol" showAll="0">
      <items count="19">
        <item x="4"/>
        <item x="6"/>
        <item x="16"/>
        <item x="11"/>
        <item x="15"/>
        <item x="7"/>
        <item x="3"/>
        <item x="17"/>
        <item x="12"/>
        <item x="8"/>
        <item x="2"/>
        <item x="10"/>
        <item x="9"/>
        <item x="1"/>
        <item x="0"/>
        <item x="13"/>
        <item x="14"/>
        <item x="5"/>
        <item t="default"/>
      </items>
    </pivotField>
    <pivotField axis="axisRow" numFmtId="14" showAll="0">
      <items count="19">
        <item x="15"/>
        <item x="17"/>
        <item x="12"/>
        <item x="7"/>
        <item x="3"/>
        <item x="1"/>
        <item x="11"/>
        <item x="8"/>
        <item x="14"/>
        <item x="5"/>
        <item x="6"/>
        <item x="2"/>
        <item x="9"/>
        <item x="10"/>
        <item x="16"/>
        <item x="0"/>
        <item x="4"/>
        <item x="13"/>
        <item t="default"/>
      </items>
    </pivotField>
    <pivotField numFmtId="14" showAll="0">
      <items count="2">
        <item x="0"/>
        <item t="default"/>
      </items>
    </pivotField>
    <pivotField dataField="1" showAll="0"/>
    <pivotField axis="axisCol"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Col" showAll="0">
      <items count="6">
        <item sd="0" x="0"/>
        <item sd="0" x="1"/>
        <item sd="0" x="2"/>
        <item sd="0" x="3"/>
        <item sd="0" x="4"/>
        <item t="default"/>
      </items>
    </pivotField>
  </pivotFields>
  <rowFields count="2">
    <field x="2"/>
    <field x="6"/>
  </rowFields>
  <rowItems count="37">
    <i>
      <x/>
    </i>
    <i r="1">
      <x v="2"/>
    </i>
    <i>
      <x v="1"/>
    </i>
    <i r="1">
      <x v="3"/>
    </i>
    <i>
      <x v="2"/>
    </i>
    <i r="1">
      <x v="4"/>
    </i>
    <i>
      <x v="3"/>
    </i>
    <i r="1">
      <x v="1"/>
    </i>
    <i>
      <x v="4"/>
    </i>
    <i r="1">
      <x v="2"/>
    </i>
    <i>
      <x v="5"/>
    </i>
    <i r="1">
      <x v="3"/>
    </i>
    <i>
      <x v="6"/>
    </i>
    <i r="1">
      <x v="3"/>
    </i>
    <i>
      <x v="7"/>
    </i>
    <i r="1">
      <x v="3"/>
    </i>
    <i>
      <x v="8"/>
    </i>
    <i r="1">
      <x v="3"/>
    </i>
    <i>
      <x v="9"/>
    </i>
    <i r="1">
      <x v="4"/>
    </i>
    <i>
      <x v="10"/>
    </i>
    <i r="1">
      <x v="4"/>
    </i>
    <i>
      <x v="11"/>
    </i>
    <i r="1">
      <x v="2"/>
    </i>
    <i>
      <x v="12"/>
    </i>
    <i r="1">
      <x v="2"/>
    </i>
    <i>
      <x v="13"/>
    </i>
    <i r="1">
      <x v="2"/>
    </i>
    <i>
      <x v="14"/>
    </i>
    <i r="1">
      <x v="3"/>
    </i>
    <i>
      <x v="15"/>
    </i>
    <i r="1">
      <x v="3"/>
    </i>
    <i>
      <x v="16"/>
    </i>
    <i r="1">
      <x v="3"/>
    </i>
    <i>
      <x v="17"/>
    </i>
    <i r="1">
      <x v="4"/>
    </i>
    <i t="grand">
      <x/>
    </i>
  </rowItems>
  <colFields count="3">
    <field x="1"/>
    <field x="7"/>
    <field x="5"/>
  </colFields>
  <colItems count="37">
    <i>
      <x/>
      <x v="3"/>
    </i>
    <i t="default">
      <x/>
    </i>
    <i>
      <x v="1"/>
      <x v="2"/>
    </i>
    <i t="default">
      <x v="1"/>
    </i>
    <i>
      <x v="2"/>
      <x v="3"/>
    </i>
    <i t="default">
      <x v="2"/>
    </i>
    <i>
      <x v="3"/>
      <x v="2"/>
    </i>
    <i t="default">
      <x v="3"/>
    </i>
    <i>
      <x v="4"/>
      <x v="1"/>
    </i>
    <i t="default">
      <x v="4"/>
    </i>
    <i>
      <x v="5"/>
      <x v="2"/>
    </i>
    <i t="default">
      <x v="5"/>
    </i>
    <i>
      <x v="6"/>
      <x v="2"/>
    </i>
    <i t="default">
      <x v="6"/>
    </i>
    <i>
      <x v="7"/>
      <x v="1"/>
    </i>
    <i t="default">
      <x v="7"/>
    </i>
    <i>
      <x v="8"/>
      <x v="1"/>
    </i>
    <i t="default">
      <x v="8"/>
    </i>
    <i>
      <x v="9"/>
      <x v="2"/>
    </i>
    <i t="default">
      <x v="9"/>
    </i>
    <i>
      <x v="10"/>
      <x v="3"/>
    </i>
    <i t="default">
      <x v="10"/>
    </i>
    <i>
      <x v="11"/>
      <x v="3"/>
    </i>
    <i t="default">
      <x v="11"/>
    </i>
    <i>
      <x v="12"/>
      <x v="3"/>
    </i>
    <i t="default">
      <x v="12"/>
    </i>
    <i>
      <x v="13"/>
      <x v="2"/>
    </i>
    <i t="default">
      <x v="13"/>
    </i>
    <i>
      <x v="14"/>
      <x v="3"/>
    </i>
    <i t="default">
      <x v="14"/>
    </i>
    <i>
      <x v="15"/>
      <x v="3"/>
    </i>
    <i t="default">
      <x v="15"/>
    </i>
    <i>
      <x v="16"/>
      <x v="2"/>
    </i>
    <i t="default">
      <x v="16"/>
    </i>
    <i>
      <x v="17"/>
      <x v="2"/>
    </i>
    <i t="default">
      <x v="17"/>
    </i>
    <i t="grand">
      <x/>
    </i>
  </colItems>
  <dataFields count="1">
    <dataField name="Sum of age" fld="4" baseField="0" baseItem="0"/>
  </dataFields>
  <formats count="22">
    <format dxfId="417">
      <pivotArea outline="0" collapsedLevelsAreSubtotals="1" fieldPosition="0"/>
    </format>
    <format dxfId="416">
      <pivotArea dataOnly="0" labelOnly="1" fieldPosition="0">
        <references count="1">
          <reference field="1" count="0"/>
        </references>
      </pivotArea>
    </format>
    <format dxfId="415">
      <pivotArea dataOnly="0" labelOnly="1" fieldPosition="0">
        <references count="1">
          <reference field="1" count="0" defaultSubtotal="1"/>
        </references>
      </pivotArea>
    </format>
    <format dxfId="414">
      <pivotArea dataOnly="0" labelOnly="1" grandCol="1" outline="0" fieldPosition="0"/>
    </format>
    <format dxfId="413">
      <pivotArea dataOnly="0" labelOnly="1" fieldPosition="0">
        <references count="2">
          <reference field="1" count="1" selected="0">
            <x v="0"/>
          </reference>
          <reference field="7" count="1">
            <x v="3"/>
          </reference>
        </references>
      </pivotArea>
    </format>
    <format dxfId="412">
      <pivotArea dataOnly="0" labelOnly="1" fieldPosition="0">
        <references count="2">
          <reference field="1" count="1" selected="0">
            <x v="1"/>
          </reference>
          <reference field="7" count="1">
            <x v="2"/>
          </reference>
        </references>
      </pivotArea>
    </format>
    <format dxfId="411">
      <pivotArea dataOnly="0" labelOnly="1" fieldPosition="0">
        <references count="2">
          <reference field="1" count="1" selected="0">
            <x v="2"/>
          </reference>
          <reference field="7" count="1">
            <x v="3"/>
          </reference>
        </references>
      </pivotArea>
    </format>
    <format dxfId="410">
      <pivotArea dataOnly="0" labelOnly="1" fieldPosition="0">
        <references count="2">
          <reference field="1" count="1" selected="0">
            <x v="3"/>
          </reference>
          <reference field="7" count="1">
            <x v="2"/>
          </reference>
        </references>
      </pivotArea>
    </format>
    <format dxfId="409">
      <pivotArea dataOnly="0" labelOnly="1" fieldPosition="0">
        <references count="2">
          <reference field="1" count="1" selected="0">
            <x v="4"/>
          </reference>
          <reference field="7" count="1">
            <x v="1"/>
          </reference>
        </references>
      </pivotArea>
    </format>
    <format dxfId="408">
      <pivotArea dataOnly="0" labelOnly="1" fieldPosition="0">
        <references count="2">
          <reference field="1" count="1" selected="0">
            <x v="5"/>
          </reference>
          <reference field="7" count="1">
            <x v="2"/>
          </reference>
        </references>
      </pivotArea>
    </format>
    <format dxfId="407">
      <pivotArea dataOnly="0" labelOnly="1" fieldPosition="0">
        <references count="2">
          <reference field="1" count="1" selected="0">
            <x v="6"/>
          </reference>
          <reference field="7" count="1">
            <x v="2"/>
          </reference>
        </references>
      </pivotArea>
    </format>
    <format dxfId="406">
      <pivotArea dataOnly="0" labelOnly="1" fieldPosition="0">
        <references count="2">
          <reference field="1" count="1" selected="0">
            <x v="7"/>
          </reference>
          <reference field="7" count="1">
            <x v="1"/>
          </reference>
        </references>
      </pivotArea>
    </format>
    <format dxfId="405">
      <pivotArea dataOnly="0" labelOnly="1" fieldPosition="0">
        <references count="2">
          <reference field="1" count="1" selected="0">
            <x v="8"/>
          </reference>
          <reference field="7" count="1">
            <x v="1"/>
          </reference>
        </references>
      </pivotArea>
    </format>
    <format dxfId="404">
      <pivotArea dataOnly="0" labelOnly="1" fieldPosition="0">
        <references count="2">
          <reference field="1" count="1" selected="0">
            <x v="9"/>
          </reference>
          <reference field="7" count="1">
            <x v="2"/>
          </reference>
        </references>
      </pivotArea>
    </format>
    <format dxfId="403">
      <pivotArea dataOnly="0" labelOnly="1" fieldPosition="0">
        <references count="2">
          <reference field="1" count="1" selected="0">
            <x v="10"/>
          </reference>
          <reference field="7" count="1">
            <x v="3"/>
          </reference>
        </references>
      </pivotArea>
    </format>
    <format dxfId="402">
      <pivotArea dataOnly="0" labelOnly="1" fieldPosition="0">
        <references count="2">
          <reference field="1" count="1" selected="0">
            <x v="11"/>
          </reference>
          <reference field="7" count="1">
            <x v="3"/>
          </reference>
        </references>
      </pivotArea>
    </format>
    <format dxfId="401">
      <pivotArea dataOnly="0" labelOnly="1" fieldPosition="0">
        <references count="2">
          <reference field="1" count="1" selected="0">
            <x v="12"/>
          </reference>
          <reference field="7" count="1">
            <x v="3"/>
          </reference>
        </references>
      </pivotArea>
    </format>
    <format dxfId="400">
      <pivotArea dataOnly="0" labelOnly="1" fieldPosition="0">
        <references count="2">
          <reference field="1" count="1" selected="0">
            <x v="13"/>
          </reference>
          <reference field="7" count="1">
            <x v="2"/>
          </reference>
        </references>
      </pivotArea>
    </format>
    <format dxfId="399">
      <pivotArea dataOnly="0" labelOnly="1" fieldPosition="0">
        <references count="2">
          <reference field="1" count="1" selected="0">
            <x v="14"/>
          </reference>
          <reference field="7" count="1">
            <x v="3"/>
          </reference>
        </references>
      </pivotArea>
    </format>
    <format dxfId="398">
      <pivotArea dataOnly="0" labelOnly="1" fieldPosition="0">
        <references count="2">
          <reference field="1" count="1" selected="0">
            <x v="15"/>
          </reference>
          <reference field="7" count="1">
            <x v="3"/>
          </reference>
        </references>
      </pivotArea>
    </format>
    <format dxfId="397">
      <pivotArea dataOnly="0" labelOnly="1" fieldPosition="0">
        <references count="2">
          <reference field="1" count="1" selected="0">
            <x v="16"/>
          </reference>
          <reference field="7" count="1">
            <x v="2"/>
          </reference>
        </references>
      </pivotArea>
    </format>
    <format dxfId="396">
      <pivotArea dataOnly="0" labelOnly="1" fieldPosition="0">
        <references count="2">
          <reference field="1" count="1" selected="0">
            <x v="17"/>
          </reference>
          <reference field="7"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616EE3-DFA2-45AE-9B76-5C3395A813A3}" name="PivotTable4" cacheId="3"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location ref="BA1:BM48" firstHeaderRow="0" firstDataRow="1" firstDataCol="1"/>
  <pivotFields count="13">
    <pivotField axis="axisRow" allDrilled="1" subtotalTop="0" showAll="0" dataSourceSort="1" defaultSubtotal="0" defaultAttributeDrillState="1">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t="grand">
      <x/>
    </i>
  </rowItems>
  <colFields count="1">
    <field x="-2"/>
  </colFields>
  <colItems count="12">
    <i>
      <x/>
    </i>
    <i i="1">
      <x v="1"/>
    </i>
    <i i="2">
      <x v="2"/>
    </i>
    <i i="3">
      <x v="3"/>
    </i>
    <i i="4">
      <x v="4"/>
    </i>
    <i i="5">
      <x v="5"/>
    </i>
    <i i="6">
      <x v="6"/>
    </i>
    <i i="7">
      <x v="7"/>
    </i>
    <i i="8">
      <x v="8"/>
    </i>
    <i i="9">
      <x v="9"/>
    </i>
    <i i="10">
      <x v="10"/>
    </i>
    <i i="11">
      <x v="11"/>
    </i>
  </colItems>
  <dataFields count="12">
    <dataField name="Sum of january" fld="12" baseField="0" baseItem="5" numFmtId="165"/>
    <dataField name="Sum of februrary" fld="1" baseField="0" baseItem="22" numFmtId="165"/>
    <dataField name="Sum of march" fld="2" baseField="0" baseItem="22" numFmtId="165"/>
    <dataField name="Sum of april" fld="3" baseField="0" baseItem="22" numFmtId="165"/>
    <dataField name="Sum of may" fld="4" baseField="0" baseItem="22" numFmtId="165"/>
    <dataField name="Sum of june" fld="5" baseField="0" baseItem="22" numFmtId="165"/>
    <dataField name="Sum of july" fld="6" baseField="0" baseItem="22" numFmtId="165"/>
    <dataField name="Sum of august" fld="7" baseField="0" baseItem="22" numFmtId="165"/>
    <dataField name="Sum of september" fld="8" baseField="0" baseItem="22" numFmtId="165"/>
    <dataField name="Sum of october" fld="9" baseField="0" baseItem="22" numFmtId="165"/>
    <dataField name="Sum of november" fld="10" baseField="0" baseItem="22" numFmtId="165"/>
    <dataField name="Sum of december" fld="11" baseField="0" baseItem="22" numFmtId="165"/>
  </dataField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consolidate!$A$1:$M$5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31C2BC-8038-4004-AB25-E2B2D4767093}"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N2:BC166" firstHeaderRow="0" firstDataRow="1" firstDataCol="1"/>
  <pivotFields count="18">
    <pivotField showAll="0"/>
    <pivotField dataField="1" showAll="0"/>
    <pivotField axis="axisRow" showAll="0">
      <items count="82">
        <item x="48"/>
        <item x="78"/>
        <item x="71"/>
        <item x="50"/>
        <item x="61"/>
        <item x="44"/>
        <item x="53"/>
        <item x="8"/>
        <item x="69"/>
        <item x="56"/>
        <item x="35"/>
        <item x="29"/>
        <item x="36"/>
        <item x="7"/>
        <item x="41"/>
        <item x="67"/>
        <item x="34"/>
        <item x="5"/>
        <item x="11"/>
        <item x="1"/>
        <item x="12"/>
        <item x="2"/>
        <item x="9"/>
        <item x="0"/>
        <item x="27"/>
        <item x="30"/>
        <item x="73"/>
        <item x="32"/>
        <item x="38"/>
        <item x="80"/>
        <item x="28"/>
        <item x="40"/>
        <item x="25"/>
        <item x="51"/>
        <item x="22"/>
        <item x="4"/>
        <item x="21"/>
        <item x="18"/>
        <item x="23"/>
        <item x="64"/>
        <item x="6"/>
        <item x="79"/>
        <item x="17"/>
        <item x="72"/>
        <item x="77"/>
        <item x="58"/>
        <item x="65"/>
        <item x="16"/>
        <item x="66"/>
        <item x="37"/>
        <item x="24"/>
        <item x="57"/>
        <item x="3"/>
        <item x="19"/>
        <item x="20"/>
        <item x="13"/>
        <item x="60"/>
        <item x="15"/>
        <item x="52"/>
        <item x="10"/>
        <item x="70"/>
        <item x="47"/>
        <item x="63"/>
        <item x="39"/>
        <item x="76"/>
        <item x="26"/>
        <item x="31"/>
        <item x="59"/>
        <item x="68"/>
        <item x="14"/>
        <item x="74"/>
        <item x="46"/>
        <item x="33"/>
        <item x="54"/>
        <item x="62"/>
        <item x="55"/>
        <item x="42"/>
        <item x="49"/>
        <item x="45"/>
        <item x="75"/>
        <item x="43"/>
        <item t="default"/>
      </items>
    </pivotField>
    <pivotField axis="axisRow" showAll="0">
      <items count="3">
        <item x="1"/>
        <item x="0"/>
        <item t="default"/>
      </items>
    </pivotField>
    <pivotField dataField="1" numFmtId="172" showAll="0"/>
    <pivotField dataField="1" numFmtId="172" showAll="0"/>
    <pivotField dataField="1" numFmtId="172" showAll="0"/>
    <pivotField dataField="1" numFmtId="172" showAll="0"/>
    <pivotField dataField="1" numFmtId="172" showAll="0"/>
    <pivotField dataField="1" numFmtId="172" showAll="0"/>
    <pivotField dataField="1" numFmtId="168" showAll="0"/>
    <pivotField dataField="1" showAll="0"/>
    <pivotField dataField="1" numFmtId="172" showAll="0"/>
    <pivotField dataField="1" showAll="0"/>
    <pivotField dataField="1" numFmtId="172" showAll="0"/>
    <pivotField dataField="1" numFmtId="168" showAll="0"/>
    <pivotField dataField="1" numFmtId="168" showAll="0"/>
    <pivotField dataField="1" numFmtId="168" showAll="0"/>
  </pivotFields>
  <rowFields count="2">
    <field x="2"/>
    <field x="3"/>
  </rowFields>
  <rowItems count="164">
    <i>
      <x/>
    </i>
    <i r="1">
      <x/>
    </i>
    <i>
      <x v="1"/>
    </i>
    <i r="1">
      <x/>
    </i>
    <i>
      <x v="2"/>
    </i>
    <i r="1">
      <x/>
    </i>
    <i>
      <x v="3"/>
    </i>
    <i r="1">
      <x/>
    </i>
    <i>
      <x v="4"/>
    </i>
    <i r="1">
      <x/>
    </i>
    <i>
      <x v="5"/>
    </i>
    <i r="1">
      <x/>
    </i>
    <i>
      <x v="6"/>
    </i>
    <i r="1">
      <x/>
    </i>
    <i>
      <x v="7"/>
    </i>
    <i r="1">
      <x/>
    </i>
    <i>
      <x v="8"/>
    </i>
    <i r="1">
      <x/>
    </i>
    <i>
      <x v="9"/>
    </i>
    <i r="1">
      <x/>
    </i>
    <i>
      <x v="10"/>
    </i>
    <i r="1">
      <x/>
    </i>
    <i>
      <x v="11"/>
    </i>
    <i r="1">
      <x/>
    </i>
    <i>
      <x v="12"/>
    </i>
    <i r="1">
      <x/>
    </i>
    <i>
      <x v="13"/>
    </i>
    <i r="1">
      <x/>
    </i>
    <i>
      <x v="14"/>
    </i>
    <i r="1">
      <x/>
    </i>
    <i>
      <x v="15"/>
    </i>
    <i r="1">
      <x/>
    </i>
    <i>
      <x v="16"/>
    </i>
    <i r="1">
      <x/>
    </i>
    <i>
      <x v="17"/>
    </i>
    <i r="1">
      <x v="1"/>
    </i>
    <i>
      <x v="18"/>
    </i>
    <i r="1">
      <x/>
    </i>
    <i>
      <x v="19"/>
    </i>
    <i r="1">
      <x v="1"/>
    </i>
    <i>
      <x v="20"/>
    </i>
    <i r="1">
      <x/>
    </i>
    <i>
      <x v="21"/>
    </i>
    <i r="1">
      <x/>
    </i>
    <i r="1">
      <x v="1"/>
    </i>
    <i>
      <x v="22"/>
    </i>
    <i r="1">
      <x/>
    </i>
    <i>
      <x v="23"/>
    </i>
    <i r="1">
      <x v="1"/>
    </i>
    <i>
      <x v="24"/>
    </i>
    <i r="1">
      <x/>
    </i>
    <i>
      <x v="25"/>
    </i>
    <i r="1">
      <x/>
    </i>
    <i>
      <x v="26"/>
    </i>
    <i r="1">
      <x/>
    </i>
    <i>
      <x v="27"/>
    </i>
    <i r="1">
      <x/>
    </i>
    <i>
      <x v="28"/>
    </i>
    <i r="1">
      <x/>
    </i>
    <i>
      <x v="29"/>
    </i>
    <i r="1">
      <x/>
    </i>
    <i>
      <x v="30"/>
    </i>
    <i r="1">
      <x/>
    </i>
    <i>
      <x v="31"/>
    </i>
    <i r="1">
      <x/>
    </i>
    <i>
      <x v="32"/>
    </i>
    <i r="1">
      <x/>
    </i>
    <i>
      <x v="33"/>
    </i>
    <i r="1">
      <x/>
    </i>
    <i>
      <x v="34"/>
    </i>
    <i r="1">
      <x/>
    </i>
    <i>
      <x v="35"/>
    </i>
    <i r="1">
      <x v="1"/>
    </i>
    <i>
      <x v="36"/>
    </i>
    <i r="1">
      <x/>
    </i>
    <i>
      <x v="37"/>
    </i>
    <i r="1">
      <x/>
    </i>
    <i>
      <x v="38"/>
    </i>
    <i r="1">
      <x/>
    </i>
    <i>
      <x v="39"/>
    </i>
    <i r="1">
      <x/>
    </i>
    <i>
      <x v="40"/>
    </i>
    <i r="1">
      <x/>
    </i>
    <i>
      <x v="41"/>
    </i>
    <i r="1">
      <x/>
    </i>
    <i>
      <x v="42"/>
    </i>
    <i r="1">
      <x/>
    </i>
    <i>
      <x v="43"/>
    </i>
    <i r="1">
      <x/>
    </i>
    <i>
      <x v="44"/>
    </i>
    <i r="1">
      <x/>
    </i>
    <i>
      <x v="45"/>
    </i>
    <i r="1">
      <x/>
    </i>
    <i>
      <x v="46"/>
    </i>
    <i r="1">
      <x/>
    </i>
    <i>
      <x v="47"/>
    </i>
    <i r="1">
      <x/>
    </i>
    <i>
      <x v="48"/>
    </i>
    <i r="1">
      <x/>
    </i>
    <i>
      <x v="49"/>
    </i>
    <i r="1">
      <x/>
    </i>
    <i>
      <x v="50"/>
    </i>
    <i r="1">
      <x/>
    </i>
    <i>
      <x v="51"/>
    </i>
    <i r="1">
      <x/>
    </i>
    <i>
      <x v="52"/>
    </i>
    <i r="1">
      <x v="1"/>
    </i>
    <i>
      <x v="53"/>
    </i>
    <i r="1">
      <x/>
    </i>
    <i>
      <x v="54"/>
    </i>
    <i r="1">
      <x/>
    </i>
    <i>
      <x v="55"/>
    </i>
    <i r="1">
      <x/>
    </i>
    <i>
      <x v="56"/>
    </i>
    <i r="1">
      <x/>
    </i>
    <i>
      <x v="57"/>
    </i>
    <i r="1">
      <x/>
    </i>
    <i>
      <x v="58"/>
    </i>
    <i r="1">
      <x/>
    </i>
    <i>
      <x v="59"/>
    </i>
    <i r="1">
      <x/>
    </i>
    <i>
      <x v="60"/>
    </i>
    <i r="1">
      <x/>
    </i>
    <i>
      <x v="61"/>
    </i>
    <i r="1">
      <x/>
    </i>
    <i>
      <x v="62"/>
    </i>
    <i r="1">
      <x/>
    </i>
    <i>
      <x v="63"/>
    </i>
    <i r="1">
      <x/>
    </i>
    <i>
      <x v="64"/>
    </i>
    <i r="1">
      <x/>
    </i>
    <i>
      <x v="65"/>
    </i>
    <i r="1">
      <x/>
    </i>
    <i>
      <x v="66"/>
    </i>
    <i r="1">
      <x/>
    </i>
    <i>
      <x v="67"/>
    </i>
    <i r="1">
      <x/>
    </i>
    <i>
      <x v="68"/>
    </i>
    <i r="1">
      <x/>
    </i>
    <i>
      <x v="69"/>
    </i>
    <i r="1">
      <x/>
    </i>
    <i>
      <x v="70"/>
    </i>
    <i r="1">
      <x/>
    </i>
    <i>
      <x v="71"/>
    </i>
    <i r="1">
      <x/>
    </i>
    <i>
      <x v="72"/>
    </i>
    <i r="1">
      <x/>
    </i>
    <i>
      <x v="73"/>
    </i>
    <i r="1">
      <x/>
    </i>
    <i>
      <x v="74"/>
    </i>
    <i r="1">
      <x/>
    </i>
    <i>
      <x v="75"/>
    </i>
    <i r="1">
      <x/>
    </i>
    <i>
      <x v="76"/>
    </i>
    <i r="1">
      <x/>
    </i>
    <i>
      <x v="77"/>
    </i>
    <i r="1">
      <x/>
    </i>
    <i>
      <x v="78"/>
    </i>
    <i r="1">
      <x/>
    </i>
    <i>
      <x v="79"/>
    </i>
    <i r="1">
      <x/>
    </i>
    <i>
      <x v="80"/>
    </i>
    <i r="1">
      <x/>
    </i>
    <i t="grand">
      <x/>
    </i>
  </rowItems>
  <colFields count="1">
    <field x="-2"/>
  </colFields>
  <colItems count="15">
    <i>
      <x/>
    </i>
    <i i="1">
      <x v="1"/>
    </i>
    <i i="2">
      <x v="2"/>
    </i>
    <i i="3">
      <x v="3"/>
    </i>
    <i i="4">
      <x v="4"/>
    </i>
    <i i="5">
      <x v="5"/>
    </i>
    <i i="6">
      <x v="6"/>
    </i>
    <i i="7">
      <x v="7"/>
    </i>
    <i i="8">
      <x v="8"/>
    </i>
    <i i="9">
      <x v="9"/>
    </i>
    <i i="10">
      <x v="10"/>
    </i>
    <i i="11">
      <x v="11"/>
    </i>
    <i i="12">
      <x v="12"/>
    </i>
    <i i="13">
      <x v="13"/>
    </i>
    <i i="14">
      <x v="14"/>
    </i>
  </colItems>
  <dataFields count="15">
    <dataField name="Sum of EMPLOYMENT ID " fld="1" baseField="0" baseItem="0"/>
    <dataField name="Sum of BASIC SALARY" fld="4" baseField="2" baseItem="4" numFmtId="178"/>
    <dataField name="Sum of HRA 10%" fld="5" baseField="2" baseItem="4" numFmtId="178"/>
    <dataField name="Sum of DA 12%" fld="6" baseField="2" baseItem="4" numFmtId="178"/>
    <dataField name="Sum of LTA 6%" fld="7" baseField="2" baseItem="4" numFmtId="178"/>
    <dataField name="Sum of TOTAL SALARY" fld="8" baseField="2" baseItem="4" numFmtId="178"/>
    <dataField name="Sum of PF 10%" fld="9" baseField="2" baseItem="4" numFmtId="178"/>
    <dataField name="Sum of ESI 1.75%" fld="10" baseField="2" baseItem="4" numFmtId="165"/>
    <dataField name="Sum of LD" fld="11" baseField="0" baseItem="0"/>
    <dataField name="Sum of LDA" fld="12" baseField="2" baseItem="4" numFmtId="178"/>
    <dataField name="Sum of OT" fld="13" baseField="0" baseItem="0"/>
    <dataField name="Sum of OTA" fld="14" baseField="2" baseItem="4" numFmtId="178"/>
    <dataField name="Sum of NET SALARY" fld="15" baseField="2" baseItem="4" numFmtId="165"/>
    <dataField name="Sum of GROSS SALARY" fld="16" baseField="2" baseItem="4" numFmtId="165"/>
    <dataField name="Sum of TAX 12%" fld="17" baseField="2" baseItem="4" numFmtId="165"/>
  </dataFields>
  <formats count="372">
    <format dxfId="395">
      <pivotArea type="all" dataOnly="0" outline="0" fieldPosition="0"/>
    </format>
    <format dxfId="394">
      <pivotArea outline="0" collapsedLevelsAreSubtotals="1" fieldPosition="0"/>
    </format>
    <format dxfId="393">
      <pivotArea field="2" type="button" dataOnly="0" labelOnly="1" outline="0" axis="axisRow" fieldPosition="0"/>
    </format>
    <format dxfId="392">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91">
      <pivotArea dataOnly="0" labelOnly="1" fieldPosition="0">
        <references count="1">
          <reference field="2" count="31">
            <x v="50"/>
            <x v="51"/>
            <x v="52"/>
            <x v="53"/>
            <x v="54"/>
            <x v="55"/>
            <x v="56"/>
            <x v="57"/>
            <x v="58"/>
            <x v="59"/>
            <x v="60"/>
            <x v="61"/>
            <x v="62"/>
            <x v="63"/>
            <x v="64"/>
            <x v="65"/>
            <x v="66"/>
            <x v="67"/>
            <x v="68"/>
            <x v="69"/>
            <x v="70"/>
            <x v="71"/>
            <x v="72"/>
            <x v="73"/>
            <x v="74"/>
            <x v="75"/>
            <x v="76"/>
            <x v="77"/>
            <x v="78"/>
            <x v="79"/>
            <x v="80"/>
          </reference>
        </references>
      </pivotArea>
    </format>
    <format dxfId="390">
      <pivotArea dataOnly="0" labelOnly="1" grandRow="1" outline="0" fieldPosition="0"/>
    </format>
    <format dxfId="389">
      <pivotArea dataOnly="0" labelOnly="1" fieldPosition="0">
        <references count="2">
          <reference field="2" count="1" selected="0">
            <x v="0"/>
          </reference>
          <reference field="3" count="1">
            <x v="0"/>
          </reference>
        </references>
      </pivotArea>
    </format>
    <format dxfId="388">
      <pivotArea dataOnly="0" labelOnly="1" fieldPosition="0">
        <references count="2">
          <reference field="2" count="1" selected="0">
            <x v="1"/>
          </reference>
          <reference field="3" count="1">
            <x v="0"/>
          </reference>
        </references>
      </pivotArea>
    </format>
    <format dxfId="387">
      <pivotArea dataOnly="0" labelOnly="1" fieldPosition="0">
        <references count="2">
          <reference field="2" count="1" selected="0">
            <x v="2"/>
          </reference>
          <reference field="3" count="1">
            <x v="0"/>
          </reference>
        </references>
      </pivotArea>
    </format>
    <format dxfId="386">
      <pivotArea dataOnly="0" labelOnly="1" fieldPosition="0">
        <references count="2">
          <reference field="2" count="1" selected="0">
            <x v="3"/>
          </reference>
          <reference field="3" count="1">
            <x v="0"/>
          </reference>
        </references>
      </pivotArea>
    </format>
    <format dxfId="385">
      <pivotArea dataOnly="0" labelOnly="1" fieldPosition="0">
        <references count="2">
          <reference field="2" count="1" selected="0">
            <x v="4"/>
          </reference>
          <reference field="3" count="1">
            <x v="0"/>
          </reference>
        </references>
      </pivotArea>
    </format>
    <format dxfId="384">
      <pivotArea dataOnly="0" labelOnly="1" fieldPosition="0">
        <references count="2">
          <reference field="2" count="1" selected="0">
            <x v="5"/>
          </reference>
          <reference field="3" count="1">
            <x v="0"/>
          </reference>
        </references>
      </pivotArea>
    </format>
    <format dxfId="383">
      <pivotArea dataOnly="0" labelOnly="1" fieldPosition="0">
        <references count="2">
          <reference field="2" count="1" selected="0">
            <x v="6"/>
          </reference>
          <reference field="3" count="1">
            <x v="0"/>
          </reference>
        </references>
      </pivotArea>
    </format>
    <format dxfId="382">
      <pivotArea dataOnly="0" labelOnly="1" fieldPosition="0">
        <references count="2">
          <reference field="2" count="1" selected="0">
            <x v="7"/>
          </reference>
          <reference field="3" count="1">
            <x v="0"/>
          </reference>
        </references>
      </pivotArea>
    </format>
    <format dxfId="381">
      <pivotArea dataOnly="0" labelOnly="1" fieldPosition="0">
        <references count="2">
          <reference field="2" count="1" selected="0">
            <x v="8"/>
          </reference>
          <reference field="3" count="1">
            <x v="0"/>
          </reference>
        </references>
      </pivotArea>
    </format>
    <format dxfId="380">
      <pivotArea dataOnly="0" labelOnly="1" fieldPosition="0">
        <references count="2">
          <reference field="2" count="1" selected="0">
            <x v="9"/>
          </reference>
          <reference field="3" count="1">
            <x v="0"/>
          </reference>
        </references>
      </pivotArea>
    </format>
    <format dxfId="379">
      <pivotArea dataOnly="0" labelOnly="1" fieldPosition="0">
        <references count="2">
          <reference field="2" count="1" selected="0">
            <x v="10"/>
          </reference>
          <reference field="3" count="1">
            <x v="0"/>
          </reference>
        </references>
      </pivotArea>
    </format>
    <format dxfId="378">
      <pivotArea dataOnly="0" labelOnly="1" fieldPosition="0">
        <references count="2">
          <reference field="2" count="1" selected="0">
            <x v="11"/>
          </reference>
          <reference field="3" count="1">
            <x v="0"/>
          </reference>
        </references>
      </pivotArea>
    </format>
    <format dxfId="377">
      <pivotArea dataOnly="0" labelOnly="1" fieldPosition="0">
        <references count="2">
          <reference field="2" count="1" selected="0">
            <x v="12"/>
          </reference>
          <reference field="3" count="1">
            <x v="0"/>
          </reference>
        </references>
      </pivotArea>
    </format>
    <format dxfId="376">
      <pivotArea dataOnly="0" labelOnly="1" fieldPosition="0">
        <references count="2">
          <reference field="2" count="1" selected="0">
            <x v="13"/>
          </reference>
          <reference field="3" count="1">
            <x v="0"/>
          </reference>
        </references>
      </pivotArea>
    </format>
    <format dxfId="375">
      <pivotArea dataOnly="0" labelOnly="1" fieldPosition="0">
        <references count="2">
          <reference field="2" count="1" selected="0">
            <x v="14"/>
          </reference>
          <reference field="3" count="1">
            <x v="0"/>
          </reference>
        </references>
      </pivotArea>
    </format>
    <format dxfId="374">
      <pivotArea dataOnly="0" labelOnly="1" fieldPosition="0">
        <references count="2">
          <reference field="2" count="1" selected="0">
            <x v="15"/>
          </reference>
          <reference field="3" count="1">
            <x v="0"/>
          </reference>
        </references>
      </pivotArea>
    </format>
    <format dxfId="373">
      <pivotArea dataOnly="0" labelOnly="1" fieldPosition="0">
        <references count="2">
          <reference field="2" count="1" selected="0">
            <x v="16"/>
          </reference>
          <reference field="3" count="1">
            <x v="0"/>
          </reference>
        </references>
      </pivotArea>
    </format>
    <format dxfId="372">
      <pivotArea dataOnly="0" labelOnly="1" fieldPosition="0">
        <references count="2">
          <reference field="2" count="1" selected="0">
            <x v="17"/>
          </reference>
          <reference field="3" count="1">
            <x v="1"/>
          </reference>
        </references>
      </pivotArea>
    </format>
    <format dxfId="371">
      <pivotArea dataOnly="0" labelOnly="1" fieldPosition="0">
        <references count="2">
          <reference field="2" count="1" selected="0">
            <x v="18"/>
          </reference>
          <reference field="3" count="1">
            <x v="0"/>
          </reference>
        </references>
      </pivotArea>
    </format>
    <format dxfId="370">
      <pivotArea dataOnly="0" labelOnly="1" fieldPosition="0">
        <references count="2">
          <reference field="2" count="1" selected="0">
            <x v="19"/>
          </reference>
          <reference field="3" count="1">
            <x v="1"/>
          </reference>
        </references>
      </pivotArea>
    </format>
    <format dxfId="369">
      <pivotArea dataOnly="0" labelOnly="1" fieldPosition="0">
        <references count="2">
          <reference field="2" count="1" selected="0">
            <x v="20"/>
          </reference>
          <reference field="3" count="1">
            <x v="0"/>
          </reference>
        </references>
      </pivotArea>
    </format>
    <format dxfId="368">
      <pivotArea dataOnly="0" labelOnly="1" fieldPosition="0">
        <references count="2">
          <reference field="2" count="1" selected="0">
            <x v="21"/>
          </reference>
          <reference field="3" count="0"/>
        </references>
      </pivotArea>
    </format>
    <format dxfId="367">
      <pivotArea dataOnly="0" labelOnly="1" fieldPosition="0">
        <references count="2">
          <reference field="2" count="1" selected="0">
            <x v="22"/>
          </reference>
          <reference field="3" count="1">
            <x v="0"/>
          </reference>
        </references>
      </pivotArea>
    </format>
    <format dxfId="366">
      <pivotArea dataOnly="0" labelOnly="1" fieldPosition="0">
        <references count="2">
          <reference field="2" count="1" selected="0">
            <x v="23"/>
          </reference>
          <reference field="3" count="1">
            <x v="1"/>
          </reference>
        </references>
      </pivotArea>
    </format>
    <format dxfId="365">
      <pivotArea dataOnly="0" labelOnly="1" fieldPosition="0">
        <references count="2">
          <reference field="2" count="1" selected="0">
            <x v="24"/>
          </reference>
          <reference field="3" count="1">
            <x v="0"/>
          </reference>
        </references>
      </pivotArea>
    </format>
    <format dxfId="364">
      <pivotArea dataOnly="0" labelOnly="1" fieldPosition="0">
        <references count="2">
          <reference field="2" count="1" selected="0">
            <x v="25"/>
          </reference>
          <reference field="3" count="1">
            <x v="0"/>
          </reference>
        </references>
      </pivotArea>
    </format>
    <format dxfId="363">
      <pivotArea dataOnly="0" labelOnly="1" fieldPosition="0">
        <references count="2">
          <reference field="2" count="1" selected="0">
            <x v="26"/>
          </reference>
          <reference field="3" count="1">
            <x v="0"/>
          </reference>
        </references>
      </pivotArea>
    </format>
    <format dxfId="362">
      <pivotArea dataOnly="0" labelOnly="1" fieldPosition="0">
        <references count="2">
          <reference field="2" count="1" selected="0">
            <x v="27"/>
          </reference>
          <reference field="3" count="1">
            <x v="0"/>
          </reference>
        </references>
      </pivotArea>
    </format>
    <format dxfId="361">
      <pivotArea dataOnly="0" labelOnly="1" fieldPosition="0">
        <references count="2">
          <reference field="2" count="1" selected="0">
            <x v="28"/>
          </reference>
          <reference field="3" count="1">
            <x v="0"/>
          </reference>
        </references>
      </pivotArea>
    </format>
    <format dxfId="360">
      <pivotArea dataOnly="0" labelOnly="1" fieldPosition="0">
        <references count="2">
          <reference field="2" count="1" selected="0">
            <x v="29"/>
          </reference>
          <reference field="3" count="1">
            <x v="0"/>
          </reference>
        </references>
      </pivotArea>
    </format>
    <format dxfId="359">
      <pivotArea dataOnly="0" labelOnly="1" fieldPosition="0">
        <references count="2">
          <reference field="2" count="1" selected="0">
            <x v="30"/>
          </reference>
          <reference field="3" count="1">
            <x v="0"/>
          </reference>
        </references>
      </pivotArea>
    </format>
    <format dxfId="358">
      <pivotArea dataOnly="0" labelOnly="1" fieldPosition="0">
        <references count="2">
          <reference field="2" count="1" selected="0">
            <x v="31"/>
          </reference>
          <reference field="3" count="1">
            <x v="0"/>
          </reference>
        </references>
      </pivotArea>
    </format>
    <format dxfId="357">
      <pivotArea dataOnly="0" labelOnly="1" fieldPosition="0">
        <references count="2">
          <reference field="2" count="1" selected="0">
            <x v="32"/>
          </reference>
          <reference field="3" count="1">
            <x v="0"/>
          </reference>
        </references>
      </pivotArea>
    </format>
    <format dxfId="356">
      <pivotArea dataOnly="0" labelOnly="1" fieldPosition="0">
        <references count="2">
          <reference field="2" count="1" selected="0">
            <x v="33"/>
          </reference>
          <reference field="3" count="1">
            <x v="0"/>
          </reference>
        </references>
      </pivotArea>
    </format>
    <format dxfId="355">
      <pivotArea dataOnly="0" labelOnly="1" fieldPosition="0">
        <references count="2">
          <reference field="2" count="1" selected="0">
            <x v="34"/>
          </reference>
          <reference field="3" count="1">
            <x v="0"/>
          </reference>
        </references>
      </pivotArea>
    </format>
    <format dxfId="354">
      <pivotArea dataOnly="0" labelOnly="1" fieldPosition="0">
        <references count="2">
          <reference field="2" count="1" selected="0">
            <x v="35"/>
          </reference>
          <reference field="3" count="1">
            <x v="1"/>
          </reference>
        </references>
      </pivotArea>
    </format>
    <format dxfId="353">
      <pivotArea dataOnly="0" labelOnly="1" fieldPosition="0">
        <references count="2">
          <reference field="2" count="1" selected="0">
            <x v="36"/>
          </reference>
          <reference field="3" count="1">
            <x v="0"/>
          </reference>
        </references>
      </pivotArea>
    </format>
    <format dxfId="352">
      <pivotArea dataOnly="0" labelOnly="1" fieldPosition="0">
        <references count="2">
          <reference field="2" count="1" selected="0">
            <x v="37"/>
          </reference>
          <reference field="3" count="1">
            <x v="0"/>
          </reference>
        </references>
      </pivotArea>
    </format>
    <format dxfId="351">
      <pivotArea dataOnly="0" labelOnly="1" fieldPosition="0">
        <references count="2">
          <reference field="2" count="1" selected="0">
            <x v="38"/>
          </reference>
          <reference field="3" count="1">
            <x v="0"/>
          </reference>
        </references>
      </pivotArea>
    </format>
    <format dxfId="350">
      <pivotArea dataOnly="0" labelOnly="1" fieldPosition="0">
        <references count="2">
          <reference field="2" count="1" selected="0">
            <x v="39"/>
          </reference>
          <reference field="3" count="1">
            <x v="0"/>
          </reference>
        </references>
      </pivotArea>
    </format>
    <format dxfId="349">
      <pivotArea dataOnly="0" labelOnly="1" fieldPosition="0">
        <references count="2">
          <reference field="2" count="1" selected="0">
            <x v="40"/>
          </reference>
          <reference field="3" count="1">
            <x v="0"/>
          </reference>
        </references>
      </pivotArea>
    </format>
    <format dxfId="348">
      <pivotArea dataOnly="0" labelOnly="1" fieldPosition="0">
        <references count="2">
          <reference field="2" count="1" selected="0">
            <x v="41"/>
          </reference>
          <reference field="3" count="1">
            <x v="0"/>
          </reference>
        </references>
      </pivotArea>
    </format>
    <format dxfId="347">
      <pivotArea dataOnly="0" labelOnly="1" fieldPosition="0">
        <references count="2">
          <reference field="2" count="1" selected="0">
            <x v="42"/>
          </reference>
          <reference field="3" count="1">
            <x v="0"/>
          </reference>
        </references>
      </pivotArea>
    </format>
    <format dxfId="346">
      <pivotArea dataOnly="0" labelOnly="1" fieldPosition="0">
        <references count="2">
          <reference field="2" count="1" selected="0">
            <x v="43"/>
          </reference>
          <reference field="3" count="1">
            <x v="0"/>
          </reference>
        </references>
      </pivotArea>
    </format>
    <format dxfId="345">
      <pivotArea dataOnly="0" labelOnly="1" fieldPosition="0">
        <references count="2">
          <reference field="2" count="1" selected="0">
            <x v="44"/>
          </reference>
          <reference field="3" count="1">
            <x v="0"/>
          </reference>
        </references>
      </pivotArea>
    </format>
    <format dxfId="344">
      <pivotArea dataOnly="0" labelOnly="1" fieldPosition="0">
        <references count="2">
          <reference field="2" count="1" selected="0">
            <x v="45"/>
          </reference>
          <reference field="3" count="1">
            <x v="0"/>
          </reference>
        </references>
      </pivotArea>
    </format>
    <format dxfId="343">
      <pivotArea dataOnly="0" labelOnly="1" fieldPosition="0">
        <references count="2">
          <reference field="2" count="1" selected="0">
            <x v="46"/>
          </reference>
          <reference field="3" count="1">
            <x v="0"/>
          </reference>
        </references>
      </pivotArea>
    </format>
    <format dxfId="342">
      <pivotArea dataOnly="0" labelOnly="1" fieldPosition="0">
        <references count="2">
          <reference field="2" count="1" selected="0">
            <x v="47"/>
          </reference>
          <reference field="3" count="1">
            <x v="0"/>
          </reference>
        </references>
      </pivotArea>
    </format>
    <format dxfId="341">
      <pivotArea dataOnly="0" labelOnly="1" fieldPosition="0">
        <references count="2">
          <reference field="2" count="1" selected="0">
            <x v="48"/>
          </reference>
          <reference field="3" count="1">
            <x v="0"/>
          </reference>
        </references>
      </pivotArea>
    </format>
    <format dxfId="340">
      <pivotArea dataOnly="0" labelOnly="1" fieldPosition="0">
        <references count="2">
          <reference field="2" count="1" selected="0">
            <x v="49"/>
          </reference>
          <reference field="3" count="1">
            <x v="0"/>
          </reference>
        </references>
      </pivotArea>
    </format>
    <format dxfId="339">
      <pivotArea dataOnly="0" labelOnly="1" fieldPosition="0">
        <references count="2">
          <reference field="2" count="1" selected="0">
            <x v="50"/>
          </reference>
          <reference field="3" count="1">
            <x v="0"/>
          </reference>
        </references>
      </pivotArea>
    </format>
    <format dxfId="338">
      <pivotArea dataOnly="0" labelOnly="1" fieldPosition="0">
        <references count="2">
          <reference field="2" count="1" selected="0">
            <x v="51"/>
          </reference>
          <reference field="3" count="1">
            <x v="0"/>
          </reference>
        </references>
      </pivotArea>
    </format>
    <format dxfId="337">
      <pivotArea dataOnly="0" labelOnly="1" fieldPosition="0">
        <references count="2">
          <reference field="2" count="1" selected="0">
            <x v="52"/>
          </reference>
          <reference field="3" count="1">
            <x v="1"/>
          </reference>
        </references>
      </pivotArea>
    </format>
    <format dxfId="336">
      <pivotArea dataOnly="0" labelOnly="1" fieldPosition="0">
        <references count="2">
          <reference field="2" count="1" selected="0">
            <x v="53"/>
          </reference>
          <reference field="3" count="1">
            <x v="0"/>
          </reference>
        </references>
      </pivotArea>
    </format>
    <format dxfId="335">
      <pivotArea dataOnly="0" labelOnly="1" fieldPosition="0">
        <references count="2">
          <reference field="2" count="1" selected="0">
            <x v="54"/>
          </reference>
          <reference field="3" count="1">
            <x v="0"/>
          </reference>
        </references>
      </pivotArea>
    </format>
    <format dxfId="334">
      <pivotArea dataOnly="0" labelOnly="1" fieldPosition="0">
        <references count="2">
          <reference field="2" count="1" selected="0">
            <x v="55"/>
          </reference>
          <reference field="3" count="1">
            <x v="0"/>
          </reference>
        </references>
      </pivotArea>
    </format>
    <format dxfId="333">
      <pivotArea dataOnly="0" labelOnly="1" fieldPosition="0">
        <references count="2">
          <reference field="2" count="1" selected="0">
            <x v="56"/>
          </reference>
          <reference field="3" count="1">
            <x v="0"/>
          </reference>
        </references>
      </pivotArea>
    </format>
    <format dxfId="332">
      <pivotArea dataOnly="0" labelOnly="1" fieldPosition="0">
        <references count="2">
          <reference field="2" count="1" selected="0">
            <x v="57"/>
          </reference>
          <reference field="3" count="1">
            <x v="0"/>
          </reference>
        </references>
      </pivotArea>
    </format>
    <format dxfId="331">
      <pivotArea dataOnly="0" labelOnly="1" fieldPosition="0">
        <references count="2">
          <reference field="2" count="1" selected="0">
            <x v="58"/>
          </reference>
          <reference field="3" count="1">
            <x v="0"/>
          </reference>
        </references>
      </pivotArea>
    </format>
    <format dxfId="330">
      <pivotArea dataOnly="0" labelOnly="1" fieldPosition="0">
        <references count="2">
          <reference field="2" count="1" selected="0">
            <x v="59"/>
          </reference>
          <reference field="3" count="1">
            <x v="0"/>
          </reference>
        </references>
      </pivotArea>
    </format>
    <format dxfId="329">
      <pivotArea dataOnly="0" labelOnly="1" fieldPosition="0">
        <references count="2">
          <reference field="2" count="1" selected="0">
            <x v="60"/>
          </reference>
          <reference field="3" count="1">
            <x v="0"/>
          </reference>
        </references>
      </pivotArea>
    </format>
    <format dxfId="328">
      <pivotArea dataOnly="0" labelOnly="1" fieldPosition="0">
        <references count="2">
          <reference field="2" count="1" selected="0">
            <x v="61"/>
          </reference>
          <reference field="3" count="1">
            <x v="0"/>
          </reference>
        </references>
      </pivotArea>
    </format>
    <format dxfId="327">
      <pivotArea dataOnly="0" labelOnly="1" fieldPosition="0">
        <references count="2">
          <reference field="2" count="1" selected="0">
            <x v="62"/>
          </reference>
          <reference field="3" count="1">
            <x v="0"/>
          </reference>
        </references>
      </pivotArea>
    </format>
    <format dxfId="326">
      <pivotArea dataOnly="0" labelOnly="1" fieldPosition="0">
        <references count="2">
          <reference field="2" count="1" selected="0">
            <x v="63"/>
          </reference>
          <reference field="3" count="1">
            <x v="0"/>
          </reference>
        </references>
      </pivotArea>
    </format>
    <format dxfId="325">
      <pivotArea dataOnly="0" labelOnly="1" fieldPosition="0">
        <references count="2">
          <reference field="2" count="1" selected="0">
            <x v="64"/>
          </reference>
          <reference field="3" count="1">
            <x v="0"/>
          </reference>
        </references>
      </pivotArea>
    </format>
    <format dxfId="324">
      <pivotArea dataOnly="0" labelOnly="1" fieldPosition="0">
        <references count="2">
          <reference field="2" count="1" selected="0">
            <x v="65"/>
          </reference>
          <reference field="3" count="1">
            <x v="0"/>
          </reference>
        </references>
      </pivotArea>
    </format>
    <format dxfId="323">
      <pivotArea dataOnly="0" labelOnly="1" fieldPosition="0">
        <references count="2">
          <reference field="2" count="1" selected="0">
            <x v="66"/>
          </reference>
          <reference field="3" count="1">
            <x v="0"/>
          </reference>
        </references>
      </pivotArea>
    </format>
    <format dxfId="322">
      <pivotArea dataOnly="0" labelOnly="1" fieldPosition="0">
        <references count="2">
          <reference field="2" count="1" selected="0">
            <x v="67"/>
          </reference>
          <reference field="3" count="1">
            <x v="0"/>
          </reference>
        </references>
      </pivotArea>
    </format>
    <format dxfId="321">
      <pivotArea dataOnly="0" labelOnly="1" fieldPosition="0">
        <references count="2">
          <reference field="2" count="1" selected="0">
            <x v="68"/>
          </reference>
          <reference field="3" count="1">
            <x v="0"/>
          </reference>
        </references>
      </pivotArea>
    </format>
    <format dxfId="320">
      <pivotArea dataOnly="0" labelOnly="1" fieldPosition="0">
        <references count="2">
          <reference field="2" count="1" selected="0">
            <x v="69"/>
          </reference>
          <reference field="3" count="1">
            <x v="0"/>
          </reference>
        </references>
      </pivotArea>
    </format>
    <format dxfId="319">
      <pivotArea dataOnly="0" labelOnly="1" fieldPosition="0">
        <references count="2">
          <reference field="2" count="1" selected="0">
            <x v="70"/>
          </reference>
          <reference field="3" count="1">
            <x v="0"/>
          </reference>
        </references>
      </pivotArea>
    </format>
    <format dxfId="318">
      <pivotArea dataOnly="0" labelOnly="1" fieldPosition="0">
        <references count="2">
          <reference field="2" count="1" selected="0">
            <x v="71"/>
          </reference>
          <reference field="3" count="1">
            <x v="0"/>
          </reference>
        </references>
      </pivotArea>
    </format>
    <format dxfId="317">
      <pivotArea dataOnly="0" labelOnly="1" fieldPosition="0">
        <references count="2">
          <reference field="2" count="1" selected="0">
            <x v="72"/>
          </reference>
          <reference field="3" count="1">
            <x v="0"/>
          </reference>
        </references>
      </pivotArea>
    </format>
    <format dxfId="316">
      <pivotArea dataOnly="0" labelOnly="1" fieldPosition="0">
        <references count="2">
          <reference field="2" count="1" selected="0">
            <x v="73"/>
          </reference>
          <reference field="3" count="1">
            <x v="0"/>
          </reference>
        </references>
      </pivotArea>
    </format>
    <format dxfId="315">
      <pivotArea dataOnly="0" labelOnly="1" fieldPosition="0">
        <references count="2">
          <reference field="2" count="1" selected="0">
            <x v="74"/>
          </reference>
          <reference field="3" count="1">
            <x v="0"/>
          </reference>
        </references>
      </pivotArea>
    </format>
    <format dxfId="314">
      <pivotArea dataOnly="0" labelOnly="1" fieldPosition="0">
        <references count="2">
          <reference field="2" count="1" selected="0">
            <x v="75"/>
          </reference>
          <reference field="3" count="1">
            <x v="0"/>
          </reference>
        </references>
      </pivotArea>
    </format>
    <format dxfId="313">
      <pivotArea dataOnly="0" labelOnly="1" fieldPosition="0">
        <references count="2">
          <reference field="2" count="1" selected="0">
            <x v="76"/>
          </reference>
          <reference field="3" count="1">
            <x v="0"/>
          </reference>
        </references>
      </pivotArea>
    </format>
    <format dxfId="312">
      <pivotArea dataOnly="0" labelOnly="1" fieldPosition="0">
        <references count="2">
          <reference field="2" count="1" selected="0">
            <x v="77"/>
          </reference>
          <reference field="3" count="1">
            <x v="0"/>
          </reference>
        </references>
      </pivotArea>
    </format>
    <format dxfId="311">
      <pivotArea dataOnly="0" labelOnly="1" fieldPosition="0">
        <references count="2">
          <reference field="2" count="1" selected="0">
            <x v="78"/>
          </reference>
          <reference field="3" count="1">
            <x v="0"/>
          </reference>
        </references>
      </pivotArea>
    </format>
    <format dxfId="310">
      <pivotArea dataOnly="0" labelOnly="1" fieldPosition="0">
        <references count="2">
          <reference field="2" count="1" selected="0">
            <x v="79"/>
          </reference>
          <reference field="3" count="1">
            <x v="0"/>
          </reference>
        </references>
      </pivotArea>
    </format>
    <format dxfId="309">
      <pivotArea dataOnly="0" labelOnly="1" fieldPosition="0">
        <references count="2">
          <reference field="2" count="1" selected="0">
            <x v="80"/>
          </reference>
          <reference field="3" count="1">
            <x v="0"/>
          </reference>
        </references>
      </pivotArea>
    </format>
    <format dxfId="308">
      <pivotArea dataOnly="0" labelOnly="1" outline="0" fieldPosition="0">
        <references count="1">
          <reference field="4294967294" count="15">
            <x v="0"/>
            <x v="1"/>
            <x v="2"/>
            <x v="3"/>
            <x v="4"/>
            <x v="5"/>
            <x v="6"/>
            <x v="7"/>
            <x v="8"/>
            <x v="9"/>
            <x v="10"/>
            <x v="11"/>
            <x v="12"/>
            <x v="13"/>
            <x v="14"/>
          </reference>
        </references>
      </pivotArea>
    </format>
    <format dxfId="307">
      <pivotArea outline="0" fieldPosition="0">
        <references count="1">
          <reference field="4294967294" count="1">
            <x v="1"/>
          </reference>
        </references>
      </pivotArea>
    </format>
    <format dxfId="306">
      <pivotArea outline="0" fieldPosition="0">
        <references count="1">
          <reference field="4294967294" count="1">
            <x v="2"/>
          </reference>
        </references>
      </pivotArea>
    </format>
    <format dxfId="305">
      <pivotArea outline="0" fieldPosition="0">
        <references count="1">
          <reference field="4294967294" count="1">
            <x v="3"/>
          </reference>
        </references>
      </pivotArea>
    </format>
    <format dxfId="304">
      <pivotArea outline="0" fieldPosition="0">
        <references count="1">
          <reference field="4294967294" count="1">
            <x v="4"/>
          </reference>
        </references>
      </pivotArea>
    </format>
    <format dxfId="303">
      <pivotArea outline="0" fieldPosition="0">
        <references count="1">
          <reference field="4294967294" count="1">
            <x v="5"/>
          </reference>
        </references>
      </pivotArea>
    </format>
    <format dxfId="302">
      <pivotArea outline="0" fieldPosition="0">
        <references count="1">
          <reference field="4294967294" count="1">
            <x v="6"/>
          </reference>
        </references>
      </pivotArea>
    </format>
    <format dxfId="301">
      <pivotArea outline="0" fieldPosition="0">
        <references count="1">
          <reference field="4294967294" count="1">
            <x v="7"/>
          </reference>
        </references>
      </pivotArea>
    </format>
    <format dxfId="300">
      <pivotArea outline="0" fieldPosition="0">
        <references count="1">
          <reference field="4294967294" count="1">
            <x v="9"/>
          </reference>
        </references>
      </pivotArea>
    </format>
    <format dxfId="299">
      <pivotArea outline="0" fieldPosition="0">
        <references count="1">
          <reference field="4294967294" count="1">
            <x v="11"/>
          </reference>
        </references>
      </pivotArea>
    </format>
    <format dxfId="298">
      <pivotArea outline="0" fieldPosition="0">
        <references count="1">
          <reference field="4294967294" count="1">
            <x v="12"/>
          </reference>
        </references>
      </pivotArea>
    </format>
    <format dxfId="297">
      <pivotArea outline="0" fieldPosition="0">
        <references count="1">
          <reference field="4294967294" count="1">
            <x v="13"/>
          </reference>
        </references>
      </pivotArea>
    </format>
    <format dxfId="296">
      <pivotArea outline="0" fieldPosition="0">
        <references count="1">
          <reference field="4294967294" count="1">
            <x v="14"/>
          </reference>
        </references>
      </pivotArea>
    </format>
    <format dxfId="295">
      <pivotArea type="all" dataOnly="0" outline="0" fieldPosition="0"/>
    </format>
    <format dxfId="294">
      <pivotArea outline="0" collapsedLevelsAreSubtotals="1" fieldPosition="0"/>
    </format>
    <format dxfId="293">
      <pivotArea field="2" type="button" dataOnly="0" labelOnly="1" outline="0" axis="axisRow" fieldPosition="0"/>
    </format>
    <format dxfId="292">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91">
      <pivotArea dataOnly="0" labelOnly="1" fieldPosition="0">
        <references count="1">
          <reference field="2" count="31">
            <x v="50"/>
            <x v="51"/>
            <x v="52"/>
            <x v="53"/>
            <x v="54"/>
            <x v="55"/>
            <x v="56"/>
            <x v="57"/>
            <x v="58"/>
            <x v="59"/>
            <x v="60"/>
            <x v="61"/>
            <x v="62"/>
            <x v="63"/>
            <x v="64"/>
            <x v="65"/>
            <x v="66"/>
            <x v="67"/>
            <x v="68"/>
            <x v="69"/>
            <x v="70"/>
            <x v="71"/>
            <x v="72"/>
            <x v="73"/>
            <x v="74"/>
            <x v="75"/>
            <x v="76"/>
            <x v="77"/>
            <x v="78"/>
            <x v="79"/>
            <x v="80"/>
          </reference>
        </references>
      </pivotArea>
    </format>
    <format dxfId="290">
      <pivotArea dataOnly="0" labelOnly="1" grandRow="1" outline="0" fieldPosition="0"/>
    </format>
    <format dxfId="289">
      <pivotArea dataOnly="0" labelOnly="1" fieldPosition="0">
        <references count="2">
          <reference field="2" count="1" selected="0">
            <x v="0"/>
          </reference>
          <reference field="3" count="1">
            <x v="0"/>
          </reference>
        </references>
      </pivotArea>
    </format>
    <format dxfId="288">
      <pivotArea dataOnly="0" labelOnly="1" fieldPosition="0">
        <references count="2">
          <reference field="2" count="1" selected="0">
            <x v="1"/>
          </reference>
          <reference field="3" count="1">
            <x v="0"/>
          </reference>
        </references>
      </pivotArea>
    </format>
    <format dxfId="287">
      <pivotArea dataOnly="0" labelOnly="1" fieldPosition="0">
        <references count="2">
          <reference field="2" count="1" selected="0">
            <x v="2"/>
          </reference>
          <reference field="3" count="1">
            <x v="0"/>
          </reference>
        </references>
      </pivotArea>
    </format>
    <format dxfId="286">
      <pivotArea dataOnly="0" labelOnly="1" fieldPosition="0">
        <references count="2">
          <reference field="2" count="1" selected="0">
            <x v="3"/>
          </reference>
          <reference field="3" count="1">
            <x v="0"/>
          </reference>
        </references>
      </pivotArea>
    </format>
    <format dxfId="285">
      <pivotArea dataOnly="0" labelOnly="1" fieldPosition="0">
        <references count="2">
          <reference field="2" count="1" selected="0">
            <x v="4"/>
          </reference>
          <reference field="3" count="1">
            <x v="0"/>
          </reference>
        </references>
      </pivotArea>
    </format>
    <format dxfId="284">
      <pivotArea dataOnly="0" labelOnly="1" fieldPosition="0">
        <references count="2">
          <reference field="2" count="1" selected="0">
            <x v="5"/>
          </reference>
          <reference field="3" count="1">
            <x v="0"/>
          </reference>
        </references>
      </pivotArea>
    </format>
    <format dxfId="283">
      <pivotArea dataOnly="0" labelOnly="1" fieldPosition="0">
        <references count="2">
          <reference field="2" count="1" selected="0">
            <x v="6"/>
          </reference>
          <reference field="3" count="1">
            <x v="0"/>
          </reference>
        </references>
      </pivotArea>
    </format>
    <format dxfId="282">
      <pivotArea dataOnly="0" labelOnly="1" fieldPosition="0">
        <references count="2">
          <reference field="2" count="1" selected="0">
            <x v="7"/>
          </reference>
          <reference field="3" count="1">
            <x v="0"/>
          </reference>
        </references>
      </pivotArea>
    </format>
    <format dxfId="281">
      <pivotArea dataOnly="0" labelOnly="1" fieldPosition="0">
        <references count="2">
          <reference field="2" count="1" selected="0">
            <x v="8"/>
          </reference>
          <reference field="3" count="1">
            <x v="0"/>
          </reference>
        </references>
      </pivotArea>
    </format>
    <format dxfId="280">
      <pivotArea dataOnly="0" labelOnly="1" fieldPosition="0">
        <references count="2">
          <reference field="2" count="1" selected="0">
            <x v="9"/>
          </reference>
          <reference field="3" count="1">
            <x v="0"/>
          </reference>
        </references>
      </pivotArea>
    </format>
    <format dxfId="279">
      <pivotArea dataOnly="0" labelOnly="1" fieldPosition="0">
        <references count="2">
          <reference field="2" count="1" selected="0">
            <x v="10"/>
          </reference>
          <reference field="3" count="1">
            <x v="0"/>
          </reference>
        </references>
      </pivotArea>
    </format>
    <format dxfId="278">
      <pivotArea dataOnly="0" labelOnly="1" fieldPosition="0">
        <references count="2">
          <reference field="2" count="1" selected="0">
            <x v="11"/>
          </reference>
          <reference field="3" count="1">
            <x v="0"/>
          </reference>
        </references>
      </pivotArea>
    </format>
    <format dxfId="277">
      <pivotArea dataOnly="0" labelOnly="1" fieldPosition="0">
        <references count="2">
          <reference field="2" count="1" selected="0">
            <x v="12"/>
          </reference>
          <reference field="3" count="1">
            <x v="0"/>
          </reference>
        </references>
      </pivotArea>
    </format>
    <format dxfId="276">
      <pivotArea dataOnly="0" labelOnly="1" fieldPosition="0">
        <references count="2">
          <reference field="2" count="1" selected="0">
            <x v="13"/>
          </reference>
          <reference field="3" count="1">
            <x v="0"/>
          </reference>
        </references>
      </pivotArea>
    </format>
    <format dxfId="275">
      <pivotArea dataOnly="0" labelOnly="1" fieldPosition="0">
        <references count="2">
          <reference field="2" count="1" selected="0">
            <x v="14"/>
          </reference>
          <reference field="3" count="1">
            <x v="0"/>
          </reference>
        </references>
      </pivotArea>
    </format>
    <format dxfId="274">
      <pivotArea dataOnly="0" labelOnly="1" fieldPosition="0">
        <references count="2">
          <reference field="2" count="1" selected="0">
            <x v="15"/>
          </reference>
          <reference field="3" count="1">
            <x v="0"/>
          </reference>
        </references>
      </pivotArea>
    </format>
    <format dxfId="273">
      <pivotArea dataOnly="0" labelOnly="1" fieldPosition="0">
        <references count="2">
          <reference field="2" count="1" selected="0">
            <x v="16"/>
          </reference>
          <reference field="3" count="1">
            <x v="0"/>
          </reference>
        </references>
      </pivotArea>
    </format>
    <format dxfId="272">
      <pivotArea dataOnly="0" labelOnly="1" fieldPosition="0">
        <references count="2">
          <reference field="2" count="1" selected="0">
            <x v="17"/>
          </reference>
          <reference field="3" count="1">
            <x v="1"/>
          </reference>
        </references>
      </pivotArea>
    </format>
    <format dxfId="271">
      <pivotArea dataOnly="0" labelOnly="1" fieldPosition="0">
        <references count="2">
          <reference field="2" count="1" selected="0">
            <x v="18"/>
          </reference>
          <reference field="3" count="1">
            <x v="0"/>
          </reference>
        </references>
      </pivotArea>
    </format>
    <format dxfId="270">
      <pivotArea dataOnly="0" labelOnly="1" fieldPosition="0">
        <references count="2">
          <reference field="2" count="1" selected="0">
            <x v="19"/>
          </reference>
          <reference field="3" count="1">
            <x v="1"/>
          </reference>
        </references>
      </pivotArea>
    </format>
    <format dxfId="269">
      <pivotArea dataOnly="0" labelOnly="1" fieldPosition="0">
        <references count="2">
          <reference field="2" count="1" selected="0">
            <x v="20"/>
          </reference>
          <reference field="3" count="1">
            <x v="0"/>
          </reference>
        </references>
      </pivotArea>
    </format>
    <format dxfId="268">
      <pivotArea dataOnly="0" labelOnly="1" fieldPosition="0">
        <references count="2">
          <reference field="2" count="1" selected="0">
            <x v="21"/>
          </reference>
          <reference field="3" count="0"/>
        </references>
      </pivotArea>
    </format>
    <format dxfId="267">
      <pivotArea dataOnly="0" labelOnly="1" fieldPosition="0">
        <references count="2">
          <reference field="2" count="1" selected="0">
            <x v="22"/>
          </reference>
          <reference field="3" count="1">
            <x v="0"/>
          </reference>
        </references>
      </pivotArea>
    </format>
    <format dxfId="266">
      <pivotArea dataOnly="0" labelOnly="1" fieldPosition="0">
        <references count="2">
          <reference field="2" count="1" selected="0">
            <x v="23"/>
          </reference>
          <reference field="3" count="1">
            <x v="1"/>
          </reference>
        </references>
      </pivotArea>
    </format>
    <format dxfId="265">
      <pivotArea dataOnly="0" labelOnly="1" fieldPosition="0">
        <references count="2">
          <reference field="2" count="1" selected="0">
            <x v="24"/>
          </reference>
          <reference field="3" count="1">
            <x v="0"/>
          </reference>
        </references>
      </pivotArea>
    </format>
    <format dxfId="264">
      <pivotArea dataOnly="0" labelOnly="1" fieldPosition="0">
        <references count="2">
          <reference field="2" count="1" selected="0">
            <x v="25"/>
          </reference>
          <reference field="3" count="1">
            <x v="0"/>
          </reference>
        </references>
      </pivotArea>
    </format>
    <format dxfId="263">
      <pivotArea dataOnly="0" labelOnly="1" fieldPosition="0">
        <references count="2">
          <reference field="2" count="1" selected="0">
            <x v="26"/>
          </reference>
          <reference field="3" count="1">
            <x v="0"/>
          </reference>
        </references>
      </pivotArea>
    </format>
    <format dxfId="262">
      <pivotArea dataOnly="0" labelOnly="1" fieldPosition="0">
        <references count="2">
          <reference field="2" count="1" selected="0">
            <x v="27"/>
          </reference>
          <reference field="3" count="1">
            <x v="0"/>
          </reference>
        </references>
      </pivotArea>
    </format>
    <format dxfId="261">
      <pivotArea dataOnly="0" labelOnly="1" fieldPosition="0">
        <references count="2">
          <reference field="2" count="1" selected="0">
            <x v="28"/>
          </reference>
          <reference field="3" count="1">
            <x v="0"/>
          </reference>
        </references>
      </pivotArea>
    </format>
    <format dxfId="260">
      <pivotArea dataOnly="0" labelOnly="1" fieldPosition="0">
        <references count="2">
          <reference field="2" count="1" selected="0">
            <x v="29"/>
          </reference>
          <reference field="3" count="1">
            <x v="0"/>
          </reference>
        </references>
      </pivotArea>
    </format>
    <format dxfId="259">
      <pivotArea dataOnly="0" labelOnly="1" fieldPosition="0">
        <references count="2">
          <reference field="2" count="1" selected="0">
            <x v="30"/>
          </reference>
          <reference field="3" count="1">
            <x v="0"/>
          </reference>
        </references>
      </pivotArea>
    </format>
    <format dxfId="258">
      <pivotArea dataOnly="0" labelOnly="1" fieldPosition="0">
        <references count="2">
          <reference field="2" count="1" selected="0">
            <x v="31"/>
          </reference>
          <reference field="3" count="1">
            <x v="0"/>
          </reference>
        </references>
      </pivotArea>
    </format>
    <format dxfId="257">
      <pivotArea dataOnly="0" labelOnly="1" fieldPosition="0">
        <references count="2">
          <reference field="2" count="1" selected="0">
            <x v="32"/>
          </reference>
          <reference field="3" count="1">
            <x v="0"/>
          </reference>
        </references>
      </pivotArea>
    </format>
    <format dxfId="256">
      <pivotArea dataOnly="0" labelOnly="1" fieldPosition="0">
        <references count="2">
          <reference field="2" count="1" selected="0">
            <x v="33"/>
          </reference>
          <reference field="3" count="1">
            <x v="0"/>
          </reference>
        </references>
      </pivotArea>
    </format>
    <format dxfId="255">
      <pivotArea dataOnly="0" labelOnly="1" fieldPosition="0">
        <references count="2">
          <reference field="2" count="1" selected="0">
            <x v="34"/>
          </reference>
          <reference field="3" count="1">
            <x v="0"/>
          </reference>
        </references>
      </pivotArea>
    </format>
    <format dxfId="254">
      <pivotArea dataOnly="0" labelOnly="1" fieldPosition="0">
        <references count="2">
          <reference field="2" count="1" selected="0">
            <x v="35"/>
          </reference>
          <reference field="3" count="1">
            <x v="1"/>
          </reference>
        </references>
      </pivotArea>
    </format>
    <format dxfId="253">
      <pivotArea dataOnly="0" labelOnly="1" fieldPosition="0">
        <references count="2">
          <reference field="2" count="1" selected="0">
            <x v="36"/>
          </reference>
          <reference field="3" count="1">
            <x v="0"/>
          </reference>
        </references>
      </pivotArea>
    </format>
    <format dxfId="252">
      <pivotArea dataOnly="0" labelOnly="1" fieldPosition="0">
        <references count="2">
          <reference field="2" count="1" selected="0">
            <x v="37"/>
          </reference>
          <reference field="3" count="1">
            <x v="0"/>
          </reference>
        </references>
      </pivotArea>
    </format>
    <format dxfId="251">
      <pivotArea dataOnly="0" labelOnly="1" fieldPosition="0">
        <references count="2">
          <reference field="2" count="1" selected="0">
            <x v="38"/>
          </reference>
          <reference field="3" count="1">
            <x v="0"/>
          </reference>
        </references>
      </pivotArea>
    </format>
    <format dxfId="250">
      <pivotArea dataOnly="0" labelOnly="1" fieldPosition="0">
        <references count="2">
          <reference field="2" count="1" selected="0">
            <x v="39"/>
          </reference>
          <reference field="3" count="1">
            <x v="0"/>
          </reference>
        </references>
      </pivotArea>
    </format>
    <format dxfId="249">
      <pivotArea dataOnly="0" labelOnly="1" fieldPosition="0">
        <references count="2">
          <reference field="2" count="1" selected="0">
            <x v="40"/>
          </reference>
          <reference field="3" count="1">
            <x v="0"/>
          </reference>
        </references>
      </pivotArea>
    </format>
    <format dxfId="248">
      <pivotArea dataOnly="0" labelOnly="1" fieldPosition="0">
        <references count="2">
          <reference field="2" count="1" selected="0">
            <x v="41"/>
          </reference>
          <reference field="3" count="1">
            <x v="0"/>
          </reference>
        </references>
      </pivotArea>
    </format>
    <format dxfId="247">
      <pivotArea dataOnly="0" labelOnly="1" fieldPosition="0">
        <references count="2">
          <reference field="2" count="1" selected="0">
            <x v="42"/>
          </reference>
          <reference field="3" count="1">
            <x v="0"/>
          </reference>
        </references>
      </pivotArea>
    </format>
    <format dxfId="246">
      <pivotArea dataOnly="0" labelOnly="1" fieldPosition="0">
        <references count="2">
          <reference field="2" count="1" selected="0">
            <x v="43"/>
          </reference>
          <reference field="3" count="1">
            <x v="0"/>
          </reference>
        </references>
      </pivotArea>
    </format>
    <format dxfId="245">
      <pivotArea dataOnly="0" labelOnly="1" fieldPosition="0">
        <references count="2">
          <reference field="2" count="1" selected="0">
            <x v="44"/>
          </reference>
          <reference field="3" count="1">
            <x v="0"/>
          </reference>
        </references>
      </pivotArea>
    </format>
    <format dxfId="244">
      <pivotArea dataOnly="0" labelOnly="1" fieldPosition="0">
        <references count="2">
          <reference field="2" count="1" selected="0">
            <x v="45"/>
          </reference>
          <reference field="3" count="1">
            <x v="0"/>
          </reference>
        </references>
      </pivotArea>
    </format>
    <format dxfId="243">
      <pivotArea dataOnly="0" labelOnly="1" fieldPosition="0">
        <references count="2">
          <reference field="2" count="1" selected="0">
            <x v="46"/>
          </reference>
          <reference field="3" count="1">
            <x v="0"/>
          </reference>
        </references>
      </pivotArea>
    </format>
    <format dxfId="242">
      <pivotArea dataOnly="0" labelOnly="1" fieldPosition="0">
        <references count="2">
          <reference field="2" count="1" selected="0">
            <x v="47"/>
          </reference>
          <reference field="3" count="1">
            <x v="0"/>
          </reference>
        </references>
      </pivotArea>
    </format>
    <format dxfId="241">
      <pivotArea dataOnly="0" labelOnly="1" fieldPosition="0">
        <references count="2">
          <reference field="2" count="1" selected="0">
            <x v="48"/>
          </reference>
          <reference field="3" count="1">
            <x v="0"/>
          </reference>
        </references>
      </pivotArea>
    </format>
    <format dxfId="240">
      <pivotArea dataOnly="0" labelOnly="1" fieldPosition="0">
        <references count="2">
          <reference field="2" count="1" selected="0">
            <x v="49"/>
          </reference>
          <reference field="3" count="1">
            <x v="0"/>
          </reference>
        </references>
      </pivotArea>
    </format>
    <format dxfId="239">
      <pivotArea dataOnly="0" labelOnly="1" fieldPosition="0">
        <references count="2">
          <reference field="2" count="1" selected="0">
            <x v="50"/>
          </reference>
          <reference field="3" count="1">
            <x v="0"/>
          </reference>
        </references>
      </pivotArea>
    </format>
    <format dxfId="238">
      <pivotArea dataOnly="0" labelOnly="1" fieldPosition="0">
        <references count="2">
          <reference field="2" count="1" selected="0">
            <x v="51"/>
          </reference>
          <reference field="3" count="1">
            <x v="0"/>
          </reference>
        </references>
      </pivotArea>
    </format>
    <format dxfId="237">
      <pivotArea dataOnly="0" labelOnly="1" fieldPosition="0">
        <references count="2">
          <reference field="2" count="1" selected="0">
            <x v="52"/>
          </reference>
          <reference field="3" count="1">
            <x v="1"/>
          </reference>
        </references>
      </pivotArea>
    </format>
    <format dxfId="236">
      <pivotArea dataOnly="0" labelOnly="1" fieldPosition="0">
        <references count="2">
          <reference field="2" count="1" selected="0">
            <x v="53"/>
          </reference>
          <reference field="3" count="1">
            <x v="0"/>
          </reference>
        </references>
      </pivotArea>
    </format>
    <format dxfId="235">
      <pivotArea dataOnly="0" labelOnly="1" fieldPosition="0">
        <references count="2">
          <reference field="2" count="1" selected="0">
            <x v="54"/>
          </reference>
          <reference field="3" count="1">
            <x v="0"/>
          </reference>
        </references>
      </pivotArea>
    </format>
    <format dxfId="234">
      <pivotArea dataOnly="0" labelOnly="1" fieldPosition="0">
        <references count="2">
          <reference field="2" count="1" selected="0">
            <x v="55"/>
          </reference>
          <reference field="3" count="1">
            <x v="0"/>
          </reference>
        </references>
      </pivotArea>
    </format>
    <format dxfId="233">
      <pivotArea dataOnly="0" labelOnly="1" fieldPosition="0">
        <references count="2">
          <reference field="2" count="1" selected="0">
            <x v="56"/>
          </reference>
          <reference field="3" count="1">
            <x v="0"/>
          </reference>
        </references>
      </pivotArea>
    </format>
    <format dxfId="232">
      <pivotArea dataOnly="0" labelOnly="1" fieldPosition="0">
        <references count="2">
          <reference field="2" count="1" selected="0">
            <x v="57"/>
          </reference>
          <reference field="3" count="1">
            <x v="0"/>
          </reference>
        </references>
      </pivotArea>
    </format>
    <format dxfId="231">
      <pivotArea dataOnly="0" labelOnly="1" fieldPosition="0">
        <references count="2">
          <reference field="2" count="1" selected="0">
            <x v="58"/>
          </reference>
          <reference field="3" count="1">
            <x v="0"/>
          </reference>
        </references>
      </pivotArea>
    </format>
    <format dxfId="230">
      <pivotArea dataOnly="0" labelOnly="1" fieldPosition="0">
        <references count="2">
          <reference field="2" count="1" selected="0">
            <x v="59"/>
          </reference>
          <reference field="3" count="1">
            <x v="0"/>
          </reference>
        </references>
      </pivotArea>
    </format>
    <format dxfId="229">
      <pivotArea dataOnly="0" labelOnly="1" fieldPosition="0">
        <references count="2">
          <reference field="2" count="1" selected="0">
            <x v="60"/>
          </reference>
          <reference field="3" count="1">
            <x v="0"/>
          </reference>
        </references>
      </pivotArea>
    </format>
    <format dxfId="228">
      <pivotArea dataOnly="0" labelOnly="1" fieldPosition="0">
        <references count="2">
          <reference field="2" count="1" selected="0">
            <x v="61"/>
          </reference>
          <reference field="3" count="1">
            <x v="0"/>
          </reference>
        </references>
      </pivotArea>
    </format>
    <format dxfId="227">
      <pivotArea dataOnly="0" labelOnly="1" fieldPosition="0">
        <references count="2">
          <reference field="2" count="1" selected="0">
            <x v="62"/>
          </reference>
          <reference field="3" count="1">
            <x v="0"/>
          </reference>
        </references>
      </pivotArea>
    </format>
    <format dxfId="226">
      <pivotArea dataOnly="0" labelOnly="1" fieldPosition="0">
        <references count="2">
          <reference field="2" count="1" selected="0">
            <x v="63"/>
          </reference>
          <reference field="3" count="1">
            <x v="0"/>
          </reference>
        </references>
      </pivotArea>
    </format>
    <format dxfId="225">
      <pivotArea dataOnly="0" labelOnly="1" fieldPosition="0">
        <references count="2">
          <reference field="2" count="1" selected="0">
            <x v="64"/>
          </reference>
          <reference field="3" count="1">
            <x v="0"/>
          </reference>
        </references>
      </pivotArea>
    </format>
    <format dxfId="224">
      <pivotArea dataOnly="0" labelOnly="1" fieldPosition="0">
        <references count="2">
          <reference field="2" count="1" selected="0">
            <x v="65"/>
          </reference>
          <reference field="3" count="1">
            <x v="0"/>
          </reference>
        </references>
      </pivotArea>
    </format>
    <format dxfId="223">
      <pivotArea dataOnly="0" labelOnly="1" fieldPosition="0">
        <references count="2">
          <reference field="2" count="1" selected="0">
            <x v="66"/>
          </reference>
          <reference field="3" count="1">
            <x v="0"/>
          </reference>
        </references>
      </pivotArea>
    </format>
    <format dxfId="222">
      <pivotArea dataOnly="0" labelOnly="1" fieldPosition="0">
        <references count="2">
          <reference field="2" count="1" selected="0">
            <x v="67"/>
          </reference>
          <reference field="3" count="1">
            <x v="0"/>
          </reference>
        </references>
      </pivotArea>
    </format>
    <format dxfId="221">
      <pivotArea dataOnly="0" labelOnly="1" fieldPosition="0">
        <references count="2">
          <reference field="2" count="1" selected="0">
            <x v="68"/>
          </reference>
          <reference field="3" count="1">
            <x v="0"/>
          </reference>
        </references>
      </pivotArea>
    </format>
    <format dxfId="220">
      <pivotArea dataOnly="0" labelOnly="1" fieldPosition="0">
        <references count="2">
          <reference field="2" count="1" selected="0">
            <x v="69"/>
          </reference>
          <reference field="3" count="1">
            <x v="0"/>
          </reference>
        </references>
      </pivotArea>
    </format>
    <format dxfId="219">
      <pivotArea dataOnly="0" labelOnly="1" fieldPosition="0">
        <references count="2">
          <reference field="2" count="1" selected="0">
            <x v="70"/>
          </reference>
          <reference field="3" count="1">
            <x v="0"/>
          </reference>
        </references>
      </pivotArea>
    </format>
    <format dxfId="218">
      <pivotArea dataOnly="0" labelOnly="1" fieldPosition="0">
        <references count="2">
          <reference field="2" count="1" selected="0">
            <x v="71"/>
          </reference>
          <reference field="3" count="1">
            <x v="0"/>
          </reference>
        </references>
      </pivotArea>
    </format>
    <format dxfId="217">
      <pivotArea dataOnly="0" labelOnly="1" fieldPosition="0">
        <references count="2">
          <reference field="2" count="1" selected="0">
            <x v="72"/>
          </reference>
          <reference field="3" count="1">
            <x v="0"/>
          </reference>
        </references>
      </pivotArea>
    </format>
    <format dxfId="216">
      <pivotArea dataOnly="0" labelOnly="1" fieldPosition="0">
        <references count="2">
          <reference field="2" count="1" selected="0">
            <x v="73"/>
          </reference>
          <reference field="3" count="1">
            <x v="0"/>
          </reference>
        </references>
      </pivotArea>
    </format>
    <format dxfId="215">
      <pivotArea dataOnly="0" labelOnly="1" fieldPosition="0">
        <references count="2">
          <reference field="2" count="1" selected="0">
            <x v="74"/>
          </reference>
          <reference field="3" count="1">
            <x v="0"/>
          </reference>
        </references>
      </pivotArea>
    </format>
    <format dxfId="214">
      <pivotArea dataOnly="0" labelOnly="1" fieldPosition="0">
        <references count="2">
          <reference field="2" count="1" selected="0">
            <x v="75"/>
          </reference>
          <reference field="3" count="1">
            <x v="0"/>
          </reference>
        </references>
      </pivotArea>
    </format>
    <format dxfId="213">
      <pivotArea dataOnly="0" labelOnly="1" fieldPosition="0">
        <references count="2">
          <reference field="2" count="1" selected="0">
            <x v="76"/>
          </reference>
          <reference field="3" count="1">
            <x v="0"/>
          </reference>
        </references>
      </pivotArea>
    </format>
    <format dxfId="212">
      <pivotArea dataOnly="0" labelOnly="1" fieldPosition="0">
        <references count="2">
          <reference field="2" count="1" selected="0">
            <x v="77"/>
          </reference>
          <reference field="3" count="1">
            <x v="0"/>
          </reference>
        </references>
      </pivotArea>
    </format>
    <format dxfId="211">
      <pivotArea dataOnly="0" labelOnly="1" fieldPosition="0">
        <references count="2">
          <reference field="2" count="1" selected="0">
            <x v="78"/>
          </reference>
          <reference field="3" count="1">
            <x v="0"/>
          </reference>
        </references>
      </pivotArea>
    </format>
    <format dxfId="210">
      <pivotArea dataOnly="0" labelOnly="1" fieldPosition="0">
        <references count="2">
          <reference field="2" count="1" selected="0">
            <x v="79"/>
          </reference>
          <reference field="3" count="1">
            <x v="0"/>
          </reference>
        </references>
      </pivotArea>
    </format>
    <format dxfId="209">
      <pivotArea dataOnly="0" labelOnly="1" fieldPosition="0">
        <references count="2">
          <reference field="2" count="1" selected="0">
            <x v="80"/>
          </reference>
          <reference field="3" count="1">
            <x v="0"/>
          </reference>
        </references>
      </pivotArea>
    </format>
    <format dxfId="208">
      <pivotArea dataOnly="0" labelOnly="1" outline="0" fieldPosition="0">
        <references count="1">
          <reference field="4294967294" count="15">
            <x v="0"/>
            <x v="1"/>
            <x v="2"/>
            <x v="3"/>
            <x v="4"/>
            <x v="5"/>
            <x v="6"/>
            <x v="7"/>
            <x v="8"/>
            <x v="9"/>
            <x v="10"/>
            <x v="11"/>
            <x v="12"/>
            <x v="13"/>
            <x v="14"/>
          </reference>
        </references>
      </pivotArea>
    </format>
    <format dxfId="207">
      <pivotArea type="all" dataOnly="0" outline="0" fieldPosition="0"/>
    </format>
    <format dxfId="206">
      <pivotArea outline="0" collapsedLevelsAreSubtotals="1" fieldPosition="0"/>
    </format>
    <format dxfId="205">
      <pivotArea field="2" type="button" dataOnly="0" labelOnly="1" outline="0" axis="axisRow" fieldPosition="0"/>
    </format>
    <format dxfId="204">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03">
      <pivotArea dataOnly="0" labelOnly="1" fieldPosition="0">
        <references count="1">
          <reference field="2" count="31">
            <x v="50"/>
            <x v="51"/>
            <x v="52"/>
            <x v="53"/>
            <x v="54"/>
            <x v="55"/>
            <x v="56"/>
            <x v="57"/>
            <x v="58"/>
            <x v="59"/>
            <x v="60"/>
            <x v="61"/>
            <x v="62"/>
            <x v="63"/>
            <x v="64"/>
            <x v="65"/>
            <x v="66"/>
            <x v="67"/>
            <x v="68"/>
            <x v="69"/>
            <x v="70"/>
            <x v="71"/>
            <x v="72"/>
            <x v="73"/>
            <x v="74"/>
            <x v="75"/>
            <x v="76"/>
            <x v="77"/>
            <x v="78"/>
            <x v="79"/>
            <x v="80"/>
          </reference>
        </references>
      </pivotArea>
    </format>
    <format dxfId="202">
      <pivotArea dataOnly="0" labelOnly="1" grandRow="1" outline="0" fieldPosition="0"/>
    </format>
    <format dxfId="201">
      <pivotArea dataOnly="0" labelOnly="1" fieldPosition="0">
        <references count="2">
          <reference field="2" count="1" selected="0">
            <x v="0"/>
          </reference>
          <reference field="3" count="1">
            <x v="0"/>
          </reference>
        </references>
      </pivotArea>
    </format>
    <format dxfId="200">
      <pivotArea dataOnly="0" labelOnly="1" fieldPosition="0">
        <references count="2">
          <reference field="2" count="1" selected="0">
            <x v="1"/>
          </reference>
          <reference field="3" count="1">
            <x v="0"/>
          </reference>
        </references>
      </pivotArea>
    </format>
    <format dxfId="199">
      <pivotArea dataOnly="0" labelOnly="1" fieldPosition="0">
        <references count="2">
          <reference field="2" count="1" selected="0">
            <x v="2"/>
          </reference>
          <reference field="3" count="1">
            <x v="0"/>
          </reference>
        </references>
      </pivotArea>
    </format>
    <format dxfId="198">
      <pivotArea dataOnly="0" labelOnly="1" fieldPosition="0">
        <references count="2">
          <reference field="2" count="1" selected="0">
            <x v="3"/>
          </reference>
          <reference field="3" count="1">
            <x v="0"/>
          </reference>
        </references>
      </pivotArea>
    </format>
    <format dxfId="197">
      <pivotArea dataOnly="0" labelOnly="1" fieldPosition="0">
        <references count="2">
          <reference field="2" count="1" selected="0">
            <x v="4"/>
          </reference>
          <reference field="3" count="1">
            <x v="0"/>
          </reference>
        </references>
      </pivotArea>
    </format>
    <format dxfId="196">
      <pivotArea dataOnly="0" labelOnly="1" fieldPosition="0">
        <references count="2">
          <reference field="2" count="1" selected="0">
            <x v="5"/>
          </reference>
          <reference field="3" count="1">
            <x v="0"/>
          </reference>
        </references>
      </pivotArea>
    </format>
    <format dxfId="195">
      <pivotArea dataOnly="0" labelOnly="1" fieldPosition="0">
        <references count="2">
          <reference field="2" count="1" selected="0">
            <x v="6"/>
          </reference>
          <reference field="3" count="1">
            <x v="0"/>
          </reference>
        </references>
      </pivotArea>
    </format>
    <format dxfId="194">
      <pivotArea dataOnly="0" labelOnly="1" fieldPosition="0">
        <references count="2">
          <reference field="2" count="1" selected="0">
            <x v="7"/>
          </reference>
          <reference field="3" count="1">
            <x v="0"/>
          </reference>
        </references>
      </pivotArea>
    </format>
    <format dxfId="193">
      <pivotArea dataOnly="0" labelOnly="1" fieldPosition="0">
        <references count="2">
          <reference field="2" count="1" selected="0">
            <x v="8"/>
          </reference>
          <reference field="3" count="1">
            <x v="0"/>
          </reference>
        </references>
      </pivotArea>
    </format>
    <format dxfId="192">
      <pivotArea dataOnly="0" labelOnly="1" fieldPosition="0">
        <references count="2">
          <reference field="2" count="1" selected="0">
            <x v="9"/>
          </reference>
          <reference field="3" count="1">
            <x v="0"/>
          </reference>
        </references>
      </pivotArea>
    </format>
    <format dxfId="191">
      <pivotArea dataOnly="0" labelOnly="1" fieldPosition="0">
        <references count="2">
          <reference field="2" count="1" selected="0">
            <x v="10"/>
          </reference>
          <reference field="3" count="1">
            <x v="0"/>
          </reference>
        </references>
      </pivotArea>
    </format>
    <format dxfId="190">
      <pivotArea dataOnly="0" labelOnly="1" fieldPosition="0">
        <references count="2">
          <reference field="2" count="1" selected="0">
            <x v="11"/>
          </reference>
          <reference field="3" count="1">
            <x v="0"/>
          </reference>
        </references>
      </pivotArea>
    </format>
    <format dxfId="189">
      <pivotArea dataOnly="0" labelOnly="1" fieldPosition="0">
        <references count="2">
          <reference field="2" count="1" selected="0">
            <x v="12"/>
          </reference>
          <reference field="3" count="1">
            <x v="0"/>
          </reference>
        </references>
      </pivotArea>
    </format>
    <format dxfId="188">
      <pivotArea dataOnly="0" labelOnly="1" fieldPosition="0">
        <references count="2">
          <reference field="2" count="1" selected="0">
            <x v="13"/>
          </reference>
          <reference field="3" count="1">
            <x v="0"/>
          </reference>
        </references>
      </pivotArea>
    </format>
    <format dxfId="187">
      <pivotArea dataOnly="0" labelOnly="1" fieldPosition="0">
        <references count="2">
          <reference field="2" count="1" selected="0">
            <x v="14"/>
          </reference>
          <reference field="3" count="1">
            <x v="0"/>
          </reference>
        </references>
      </pivotArea>
    </format>
    <format dxfId="186">
      <pivotArea dataOnly="0" labelOnly="1" fieldPosition="0">
        <references count="2">
          <reference field="2" count="1" selected="0">
            <x v="15"/>
          </reference>
          <reference field="3" count="1">
            <x v="0"/>
          </reference>
        </references>
      </pivotArea>
    </format>
    <format dxfId="185">
      <pivotArea dataOnly="0" labelOnly="1" fieldPosition="0">
        <references count="2">
          <reference field="2" count="1" selected="0">
            <x v="16"/>
          </reference>
          <reference field="3" count="1">
            <x v="0"/>
          </reference>
        </references>
      </pivotArea>
    </format>
    <format dxfId="184">
      <pivotArea dataOnly="0" labelOnly="1" fieldPosition="0">
        <references count="2">
          <reference field="2" count="1" selected="0">
            <x v="17"/>
          </reference>
          <reference field="3" count="1">
            <x v="1"/>
          </reference>
        </references>
      </pivotArea>
    </format>
    <format dxfId="183">
      <pivotArea dataOnly="0" labelOnly="1" fieldPosition="0">
        <references count="2">
          <reference field="2" count="1" selected="0">
            <x v="18"/>
          </reference>
          <reference field="3" count="1">
            <x v="0"/>
          </reference>
        </references>
      </pivotArea>
    </format>
    <format dxfId="182">
      <pivotArea dataOnly="0" labelOnly="1" fieldPosition="0">
        <references count="2">
          <reference field="2" count="1" selected="0">
            <x v="19"/>
          </reference>
          <reference field="3" count="1">
            <x v="1"/>
          </reference>
        </references>
      </pivotArea>
    </format>
    <format dxfId="181">
      <pivotArea dataOnly="0" labelOnly="1" fieldPosition="0">
        <references count="2">
          <reference field="2" count="1" selected="0">
            <x v="20"/>
          </reference>
          <reference field="3" count="1">
            <x v="0"/>
          </reference>
        </references>
      </pivotArea>
    </format>
    <format dxfId="180">
      <pivotArea dataOnly="0" labelOnly="1" fieldPosition="0">
        <references count="2">
          <reference field="2" count="1" selected="0">
            <x v="21"/>
          </reference>
          <reference field="3" count="0"/>
        </references>
      </pivotArea>
    </format>
    <format dxfId="179">
      <pivotArea dataOnly="0" labelOnly="1" fieldPosition="0">
        <references count="2">
          <reference field="2" count="1" selected="0">
            <x v="22"/>
          </reference>
          <reference field="3" count="1">
            <x v="0"/>
          </reference>
        </references>
      </pivotArea>
    </format>
    <format dxfId="178">
      <pivotArea dataOnly="0" labelOnly="1" fieldPosition="0">
        <references count="2">
          <reference field="2" count="1" selected="0">
            <x v="23"/>
          </reference>
          <reference field="3" count="1">
            <x v="1"/>
          </reference>
        </references>
      </pivotArea>
    </format>
    <format dxfId="177">
      <pivotArea dataOnly="0" labelOnly="1" fieldPosition="0">
        <references count="2">
          <reference field="2" count="1" selected="0">
            <x v="24"/>
          </reference>
          <reference field="3" count="1">
            <x v="0"/>
          </reference>
        </references>
      </pivotArea>
    </format>
    <format dxfId="176">
      <pivotArea dataOnly="0" labelOnly="1" fieldPosition="0">
        <references count="2">
          <reference field="2" count="1" selected="0">
            <x v="25"/>
          </reference>
          <reference field="3" count="1">
            <x v="0"/>
          </reference>
        </references>
      </pivotArea>
    </format>
    <format dxfId="175">
      <pivotArea dataOnly="0" labelOnly="1" fieldPosition="0">
        <references count="2">
          <reference field="2" count="1" selected="0">
            <x v="26"/>
          </reference>
          <reference field="3" count="1">
            <x v="0"/>
          </reference>
        </references>
      </pivotArea>
    </format>
    <format dxfId="174">
      <pivotArea dataOnly="0" labelOnly="1" fieldPosition="0">
        <references count="2">
          <reference field="2" count="1" selected="0">
            <x v="27"/>
          </reference>
          <reference field="3" count="1">
            <x v="0"/>
          </reference>
        </references>
      </pivotArea>
    </format>
    <format dxfId="173">
      <pivotArea dataOnly="0" labelOnly="1" fieldPosition="0">
        <references count="2">
          <reference field="2" count="1" selected="0">
            <x v="28"/>
          </reference>
          <reference field="3" count="1">
            <x v="0"/>
          </reference>
        </references>
      </pivotArea>
    </format>
    <format dxfId="172">
      <pivotArea dataOnly="0" labelOnly="1" fieldPosition="0">
        <references count="2">
          <reference field="2" count="1" selected="0">
            <x v="29"/>
          </reference>
          <reference field="3" count="1">
            <x v="0"/>
          </reference>
        </references>
      </pivotArea>
    </format>
    <format dxfId="171">
      <pivotArea dataOnly="0" labelOnly="1" fieldPosition="0">
        <references count="2">
          <reference field="2" count="1" selected="0">
            <x v="30"/>
          </reference>
          <reference field="3" count="1">
            <x v="0"/>
          </reference>
        </references>
      </pivotArea>
    </format>
    <format dxfId="170">
      <pivotArea dataOnly="0" labelOnly="1" fieldPosition="0">
        <references count="2">
          <reference field="2" count="1" selected="0">
            <x v="31"/>
          </reference>
          <reference field="3" count="1">
            <x v="0"/>
          </reference>
        </references>
      </pivotArea>
    </format>
    <format dxfId="169">
      <pivotArea dataOnly="0" labelOnly="1" fieldPosition="0">
        <references count="2">
          <reference field="2" count="1" selected="0">
            <x v="32"/>
          </reference>
          <reference field="3" count="1">
            <x v="0"/>
          </reference>
        </references>
      </pivotArea>
    </format>
    <format dxfId="168">
      <pivotArea dataOnly="0" labelOnly="1" fieldPosition="0">
        <references count="2">
          <reference field="2" count="1" selected="0">
            <x v="33"/>
          </reference>
          <reference field="3" count="1">
            <x v="0"/>
          </reference>
        </references>
      </pivotArea>
    </format>
    <format dxfId="167">
      <pivotArea dataOnly="0" labelOnly="1" fieldPosition="0">
        <references count="2">
          <reference field="2" count="1" selected="0">
            <x v="34"/>
          </reference>
          <reference field="3" count="1">
            <x v="0"/>
          </reference>
        </references>
      </pivotArea>
    </format>
    <format dxfId="166">
      <pivotArea dataOnly="0" labelOnly="1" fieldPosition="0">
        <references count="2">
          <reference field="2" count="1" selected="0">
            <x v="35"/>
          </reference>
          <reference field="3" count="1">
            <x v="1"/>
          </reference>
        </references>
      </pivotArea>
    </format>
    <format dxfId="165">
      <pivotArea dataOnly="0" labelOnly="1" fieldPosition="0">
        <references count="2">
          <reference field="2" count="1" selected="0">
            <x v="36"/>
          </reference>
          <reference field="3" count="1">
            <x v="0"/>
          </reference>
        </references>
      </pivotArea>
    </format>
    <format dxfId="164">
      <pivotArea dataOnly="0" labelOnly="1" fieldPosition="0">
        <references count="2">
          <reference field="2" count="1" selected="0">
            <x v="37"/>
          </reference>
          <reference field="3" count="1">
            <x v="0"/>
          </reference>
        </references>
      </pivotArea>
    </format>
    <format dxfId="163">
      <pivotArea dataOnly="0" labelOnly="1" fieldPosition="0">
        <references count="2">
          <reference field="2" count="1" selected="0">
            <x v="38"/>
          </reference>
          <reference field="3" count="1">
            <x v="0"/>
          </reference>
        </references>
      </pivotArea>
    </format>
    <format dxfId="162">
      <pivotArea dataOnly="0" labelOnly="1" fieldPosition="0">
        <references count="2">
          <reference field="2" count="1" selected="0">
            <x v="39"/>
          </reference>
          <reference field="3" count="1">
            <x v="0"/>
          </reference>
        </references>
      </pivotArea>
    </format>
    <format dxfId="161">
      <pivotArea dataOnly="0" labelOnly="1" fieldPosition="0">
        <references count="2">
          <reference field="2" count="1" selected="0">
            <x v="40"/>
          </reference>
          <reference field="3" count="1">
            <x v="0"/>
          </reference>
        </references>
      </pivotArea>
    </format>
    <format dxfId="160">
      <pivotArea dataOnly="0" labelOnly="1" fieldPosition="0">
        <references count="2">
          <reference field="2" count="1" selected="0">
            <x v="41"/>
          </reference>
          <reference field="3" count="1">
            <x v="0"/>
          </reference>
        </references>
      </pivotArea>
    </format>
    <format dxfId="159">
      <pivotArea dataOnly="0" labelOnly="1" fieldPosition="0">
        <references count="2">
          <reference field="2" count="1" selected="0">
            <x v="42"/>
          </reference>
          <reference field="3" count="1">
            <x v="0"/>
          </reference>
        </references>
      </pivotArea>
    </format>
    <format dxfId="158">
      <pivotArea dataOnly="0" labelOnly="1" fieldPosition="0">
        <references count="2">
          <reference field="2" count="1" selected="0">
            <x v="43"/>
          </reference>
          <reference field="3" count="1">
            <x v="0"/>
          </reference>
        </references>
      </pivotArea>
    </format>
    <format dxfId="157">
      <pivotArea dataOnly="0" labelOnly="1" fieldPosition="0">
        <references count="2">
          <reference field="2" count="1" selected="0">
            <x v="44"/>
          </reference>
          <reference field="3" count="1">
            <x v="0"/>
          </reference>
        </references>
      </pivotArea>
    </format>
    <format dxfId="156">
      <pivotArea dataOnly="0" labelOnly="1" fieldPosition="0">
        <references count="2">
          <reference field="2" count="1" selected="0">
            <x v="45"/>
          </reference>
          <reference field="3" count="1">
            <x v="0"/>
          </reference>
        </references>
      </pivotArea>
    </format>
    <format dxfId="155">
      <pivotArea dataOnly="0" labelOnly="1" fieldPosition="0">
        <references count="2">
          <reference field="2" count="1" selected="0">
            <x v="46"/>
          </reference>
          <reference field="3" count="1">
            <x v="0"/>
          </reference>
        </references>
      </pivotArea>
    </format>
    <format dxfId="154">
      <pivotArea dataOnly="0" labelOnly="1" fieldPosition="0">
        <references count="2">
          <reference field="2" count="1" selected="0">
            <x v="47"/>
          </reference>
          <reference field="3" count="1">
            <x v="0"/>
          </reference>
        </references>
      </pivotArea>
    </format>
    <format dxfId="153">
      <pivotArea dataOnly="0" labelOnly="1" fieldPosition="0">
        <references count="2">
          <reference field="2" count="1" selected="0">
            <x v="48"/>
          </reference>
          <reference field="3" count="1">
            <x v="0"/>
          </reference>
        </references>
      </pivotArea>
    </format>
    <format dxfId="152">
      <pivotArea dataOnly="0" labelOnly="1" fieldPosition="0">
        <references count="2">
          <reference field="2" count="1" selected="0">
            <x v="49"/>
          </reference>
          <reference field="3" count="1">
            <x v="0"/>
          </reference>
        </references>
      </pivotArea>
    </format>
    <format dxfId="151">
      <pivotArea dataOnly="0" labelOnly="1" fieldPosition="0">
        <references count="2">
          <reference field="2" count="1" selected="0">
            <x v="50"/>
          </reference>
          <reference field="3" count="1">
            <x v="0"/>
          </reference>
        </references>
      </pivotArea>
    </format>
    <format dxfId="150">
      <pivotArea dataOnly="0" labelOnly="1" fieldPosition="0">
        <references count="2">
          <reference field="2" count="1" selected="0">
            <x v="51"/>
          </reference>
          <reference field="3" count="1">
            <x v="0"/>
          </reference>
        </references>
      </pivotArea>
    </format>
    <format dxfId="149">
      <pivotArea dataOnly="0" labelOnly="1" fieldPosition="0">
        <references count="2">
          <reference field="2" count="1" selected="0">
            <x v="52"/>
          </reference>
          <reference field="3" count="1">
            <x v="1"/>
          </reference>
        </references>
      </pivotArea>
    </format>
    <format dxfId="148">
      <pivotArea dataOnly="0" labelOnly="1" fieldPosition="0">
        <references count="2">
          <reference field="2" count="1" selected="0">
            <x v="53"/>
          </reference>
          <reference field="3" count="1">
            <x v="0"/>
          </reference>
        </references>
      </pivotArea>
    </format>
    <format dxfId="147">
      <pivotArea dataOnly="0" labelOnly="1" fieldPosition="0">
        <references count="2">
          <reference field="2" count="1" selected="0">
            <x v="54"/>
          </reference>
          <reference field="3" count="1">
            <x v="0"/>
          </reference>
        </references>
      </pivotArea>
    </format>
    <format dxfId="146">
      <pivotArea dataOnly="0" labelOnly="1" fieldPosition="0">
        <references count="2">
          <reference field="2" count="1" selected="0">
            <x v="55"/>
          </reference>
          <reference field="3" count="1">
            <x v="0"/>
          </reference>
        </references>
      </pivotArea>
    </format>
    <format dxfId="145">
      <pivotArea dataOnly="0" labelOnly="1" fieldPosition="0">
        <references count="2">
          <reference field="2" count="1" selected="0">
            <x v="56"/>
          </reference>
          <reference field="3" count="1">
            <x v="0"/>
          </reference>
        </references>
      </pivotArea>
    </format>
    <format dxfId="144">
      <pivotArea dataOnly="0" labelOnly="1" fieldPosition="0">
        <references count="2">
          <reference field="2" count="1" selected="0">
            <x v="57"/>
          </reference>
          <reference field="3" count="1">
            <x v="0"/>
          </reference>
        </references>
      </pivotArea>
    </format>
    <format dxfId="143">
      <pivotArea dataOnly="0" labelOnly="1" fieldPosition="0">
        <references count="2">
          <reference field="2" count="1" selected="0">
            <x v="58"/>
          </reference>
          <reference field="3" count="1">
            <x v="0"/>
          </reference>
        </references>
      </pivotArea>
    </format>
    <format dxfId="142">
      <pivotArea dataOnly="0" labelOnly="1" fieldPosition="0">
        <references count="2">
          <reference field="2" count="1" selected="0">
            <x v="59"/>
          </reference>
          <reference field="3" count="1">
            <x v="0"/>
          </reference>
        </references>
      </pivotArea>
    </format>
    <format dxfId="141">
      <pivotArea dataOnly="0" labelOnly="1" fieldPosition="0">
        <references count="2">
          <reference field="2" count="1" selected="0">
            <x v="60"/>
          </reference>
          <reference field="3" count="1">
            <x v="0"/>
          </reference>
        </references>
      </pivotArea>
    </format>
    <format dxfId="140">
      <pivotArea dataOnly="0" labelOnly="1" fieldPosition="0">
        <references count="2">
          <reference field="2" count="1" selected="0">
            <x v="61"/>
          </reference>
          <reference field="3" count="1">
            <x v="0"/>
          </reference>
        </references>
      </pivotArea>
    </format>
    <format dxfId="139">
      <pivotArea dataOnly="0" labelOnly="1" fieldPosition="0">
        <references count="2">
          <reference field="2" count="1" selected="0">
            <x v="62"/>
          </reference>
          <reference field="3" count="1">
            <x v="0"/>
          </reference>
        </references>
      </pivotArea>
    </format>
    <format dxfId="138">
      <pivotArea dataOnly="0" labelOnly="1" fieldPosition="0">
        <references count="2">
          <reference field="2" count="1" selected="0">
            <x v="63"/>
          </reference>
          <reference field="3" count="1">
            <x v="0"/>
          </reference>
        </references>
      </pivotArea>
    </format>
    <format dxfId="137">
      <pivotArea dataOnly="0" labelOnly="1" fieldPosition="0">
        <references count="2">
          <reference field="2" count="1" selected="0">
            <x v="64"/>
          </reference>
          <reference field="3" count="1">
            <x v="0"/>
          </reference>
        </references>
      </pivotArea>
    </format>
    <format dxfId="136">
      <pivotArea dataOnly="0" labelOnly="1" fieldPosition="0">
        <references count="2">
          <reference field="2" count="1" selected="0">
            <x v="65"/>
          </reference>
          <reference field="3" count="1">
            <x v="0"/>
          </reference>
        </references>
      </pivotArea>
    </format>
    <format dxfId="135">
      <pivotArea dataOnly="0" labelOnly="1" fieldPosition="0">
        <references count="2">
          <reference field="2" count="1" selected="0">
            <x v="66"/>
          </reference>
          <reference field="3" count="1">
            <x v="0"/>
          </reference>
        </references>
      </pivotArea>
    </format>
    <format dxfId="134">
      <pivotArea dataOnly="0" labelOnly="1" fieldPosition="0">
        <references count="2">
          <reference field="2" count="1" selected="0">
            <x v="67"/>
          </reference>
          <reference field="3" count="1">
            <x v="0"/>
          </reference>
        </references>
      </pivotArea>
    </format>
    <format dxfId="133">
      <pivotArea dataOnly="0" labelOnly="1" fieldPosition="0">
        <references count="2">
          <reference field="2" count="1" selected="0">
            <x v="68"/>
          </reference>
          <reference field="3" count="1">
            <x v="0"/>
          </reference>
        </references>
      </pivotArea>
    </format>
    <format dxfId="132">
      <pivotArea dataOnly="0" labelOnly="1" fieldPosition="0">
        <references count="2">
          <reference field="2" count="1" selected="0">
            <x v="69"/>
          </reference>
          <reference field="3" count="1">
            <x v="0"/>
          </reference>
        </references>
      </pivotArea>
    </format>
    <format dxfId="131">
      <pivotArea dataOnly="0" labelOnly="1" fieldPosition="0">
        <references count="2">
          <reference field="2" count="1" selected="0">
            <x v="70"/>
          </reference>
          <reference field="3" count="1">
            <x v="0"/>
          </reference>
        </references>
      </pivotArea>
    </format>
    <format dxfId="130">
      <pivotArea dataOnly="0" labelOnly="1" fieldPosition="0">
        <references count="2">
          <reference field="2" count="1" selected="0">
            <x v="71"/>
          </reference>
          <reference field="3" count="1">
            <x v="0"/>
          </reference>
        </references>
      </pivotArea>
    </format>
    <format dxfId="129">
      <pivotArea dataOnly="0" labelOnly="1" fieldPosition="0">
        <references count="2">
          <reference field="2" count="1" selected="0">
            <x v="72"/>
          </reference>
          <reference field="3" count="1">
            <x v="0"/>
          </reference>
        </references>
      </pivotArea>
    </format>
    <format dxfId="128">
      <pivotArea dataOnly="0" labelOnly="1" fieldPosition="0">
        <references count="2">
          <reference field="2" count="1" selected="0">
            <x v="73"/>
          </reference>
          <reference field="3" count="1">
            <x v="0"/>
          </reference>
        </references>
      </pivotArea>
    </format>
    <format dxfId="127">
      <pivotArea dataOnly="0" labelOnly="1" fieldPosition="0">
        <references count="2">
          <reference field="2" count="1" selected="0">
            <x v="74"/>
          </reference>
          <reference field="3" count="1">
            <x v="0"/>
          </reference>
        </references>
      </pivotArea>
    </format>
    <format dxfId="126">
      <pivotArea dataOnly="0" labelOnly="1" fieldPosition="0">
        <references count="2">
          <reference field="2" count="1" selected="0">
            <x v="75"/>
          </reference>
          <reference field="3" count="1">
            <x v="0"/>
          </reference>
        </references>
      </pivotArea>
    </format>
    <format dxfId="125">
      <pivotArea dataOnly="0" labelOnly="1" fieldPosition="0">
        <references count="2">
          <reference field="2" count="1" selected="0">
            <x v="76"/>
          </reference>
          <reference field="3" count="1">
            <x v="0"/>
          </reference>
        </references>
      </pivotArea>
    </format>
    <format dxfId="124">
      <pivotArea dataOnly="0" labelOnly="1" fieldPosition="0">
        <references count="2">
          <reference field="2" count="1" selected="0">
            <x v="77"/>
          </reference>
          <reference field="3" count="1">
            <x v="0"/>
          </reference>
        </references>
      </pivotArea>
    </format>
    <format dxfId="123">
      <pivotArea dataOnly="0" labelOnly="1" fieldPosition="0">
        <references count="2">
          <reference field="2" count="1" selected="0">
            <x v="78"/>
          </reference>
          <reference field="3" count="1">
            <x v="0"/>
          </reference>
        </references>
      </pivotArea>
    </format>
    <format dxfId="122">
      <pivotArea dataOnly="0" labelOnly="1" fieldPosition="0">
        <references count="2">
          <reference field="2" count="1" selected="0">
            <x v="79"/>
          </reference>
          <reference field="3" count="1">
            <x v="0"/>
          </reference>
        </references>
      </pivotArea>
    </format>
    <format dxfId="121">
      <pivotArea dataOnly="0" labelOnly="1" fieldPosition="0">
        <references count="2">
          <reference field="2" count="1" selected="0">
            <x v="80"/>
          </reference>
          <reference field="3" count="1">
            <x v="0"/>
          </reference>
        </references>
      </pivotArea>
    </format>
    <format dxfId="120">
      <pivotArea dataOnly="0" labelOnly="1" outline="0" fieldPosition="0">
        <references count="1">
          <reference field="4294967294" count="15">
            <x v="0"/>
            <x v="1"/>
            <x v="2"/>
            <x v="3"/>
            <x v="4"/>
            <x v="5"/>
            <x v="6"/>
            <x v="7"/>
            <x v="8"/>
            <x v="9"/>
            <x v="10"/>
            <x v="11"/>
            <x v="12"/>
            <x v="13"/>
            <x v="14"/>
          </reference>
        </references>
      </pivotArea>
    </format>
    <format dxfId="119">
      <pivotArea type="all" dataOnly="0" outline="0" fieldPosition="0"/>
    </format>
    <format dxfId="118">
      <pivotArea outline="0" collapsedLevelsAreSubtotals="1" fieldPosition="0"/>
    </format>
    <format dxfId="117">
      <pivotArea field="2" type="button" dataOnly="0" labelOnly="1" outline="0" axis="axisRow" fieldPosition="0"/>
    </format>
    <format dxfId="116">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5">
      <pivotArea dataOnly="0" labelOnly="1" fieldPosition="0">
        <references count="1">
          <reference field="2" count="31">
            <x v="50"/>
            <x v="51"/>
            <x v="52"/>
            <x v="53"/>
            <x v="54"/>
            <x v="55"/>
            <x v="56"/>
            <x v="57"/>
            <x v="58"/>
            <x v="59"/>
            <x v="60"/>
            <x v="61"/>
            <x v="62"/>
            <x v="63"/>
            <x v="64"/>
            <x v="65"/>
            <x v="66"/>
            <x v="67"/>
            <x v="68"/>
            <x v="69"/>
            <x v="70"/>
            <x v="71"/>
            <x v="72"/>
            <x v="73"/>
            <x v="74"/>
            <x v="75"/>
            <x v="76"/>
            <x v="77"/>
            <x v="78"/>
            <x v="79"/>
            <x v="80"/>
          </reference>
        </references>
      </pivotArea>
    </format>
    <format dxfId="114">
      <pivotArea dataOnly="0" labelOnly="1" grandRow="1" outline="0" fieldPosition="0"/>
    </format>
    <format dxfId="113">
      <pivotArea dataOnly="0" labelOnly="1" fieldPosition="0">
        <references count="2">
          <reference field="2" count="1" selected="0">
            <x v="0"/>
          </reference>
          <reference field="3" count="1">
            <x v="0"/>
          </reference>
        </references>
      </pivotArea>
    </format>
    <format dxfId="112">
      <pivotArea dataOnly="0" labelOnly="1" fieldPosition="0">
        <references count="2">
          <reference field="2" count="1" selected="0">
            <x v="1"/>
          </reference>
          <reference field="3" count="1">
            <x v="0"/>
          </reference>
        </references>
      </pivotArea>
    </format>
    <format dxfId="111">
      <pivotArea dataOnly="0" labelOnly="1" fieldPosition="0">
        <references count="2">
          <reference field="2" count="1" selected="0">
            <x v="2"/>
          </reference>
          <reference field="3" count="1">
            <x v="0"/>
          </reference>
        </references>
      </pivotArea>
    </format>
    <format dxfId="110">
      <pivotArea dataOnly="0" labelOnly="1" fieldPosition="0">
        <references count="2">
          <reference field="2" count="1" selected="0">
            <x v="3"/>
          </reference>
          <reference field="3" count="1">
            <x v="0"/>
          </reference>
        </references>
      </pivotArea>
    </format>
    <format dxfId="109">
      <pivotArea dataOnly="0" labelOnly="1" fieldPosition="0">
        <references count="2">
          <reference field="2" count="1" selected="0">
            <x v="4"/>
          </reference>
          <reference field="3" count="1">
            <x v="0"/>
          </reference>
        </references>
      </pivotArea>
    </format>
    <format dxfId="108">
      <pivotArea dataOnly="0" labelOnly="1" fieldPosition="0">
        <references count="2">
          <reference field="2" count="1" selected="0">
            <x v="5"/>
          </reference>
          <reference field="3" count="1">
            <x v="0"/>
          </reference>
        </references>
      </pivotArea>
    </format>
    <format dxfId="107">
      <pivotArea dataOnly="0" labelOnly="1" fieldPosition="0">
        <references count="2">
          <reference field="2" count="1" selected="0">
            <x v="6"/>
          </reference>
          <reference field="3" count="1">
            <x v="0"/>
          </reference>
        </references>
      </pivotArea>
    </format>
    <format dxfId="106">
      <pivotArea dataOnly="0" labelOnly="1" fieldPosition="0">
        <references count="2">
          <reference field="2" count="1" selected="0">
            <x v="7"/>
          </reference>
          <reference field="3" count="1">
            <x v="0"/>
          </reference>
        </references>
      </pivotArea>
    </format>
    <format dxfId="105">
      <pivotArea dataOnly="0" labelOnly="1" fieldPosition="0">
        <references count="2">
          <reference field="2" count="1" selected="0">
            <x v="8"/>
          </reference>
          <reference field="3" count="1">
            <x v="0"/>
          </reference>
        </references>
      </pivotArea>
    </format>
    <format dxfId="104">
      <pivotArea dataOnly="0" labelOnly="1" fieldPosition="0">
        <references count="2">
          <reference field="2" count="1" selected="0">
            <x v="9"/>
          </reference>
          <reference field="3" count="1">
            <x v="0"/>
          </reference>
        </references>
      </pivotArea>
    </format>
    <format dxfId="103">
      <pivotArea dataOnly="0" labelOnly="1" fieldPosition="0">
        <references count="2">
          <reference field="2" count="1" selected="0">
            <x v="10"/>
          </reference>
          <reference field="3" count="1">
            <x v="0"/>
          </reference>
        </references>
      </pivotArea>
    </format>
    <format dxfId="102">
      <pivotArea dataOnly="0" labelOnly="1" fieldPosition="0">
        <references count="2">
          <reference field="2" count="1" selected="0">
            <x v="11"/>
          </reference>
          <reference field="3" count="1">
            <x v="0"/>
          </reference>
        </references>
      </pivotArea>
    </format>
    <format dxfId="101">
      <pivotArea dataOnly="0" labelOnly="1" fieldPosition="0">
        <references count="2">
          <reference field="2" count="1" selected="0">
            <x v="12"/>
          </reference>
          <reference field="3" count="1">
            <x v="0"/>
          </reference>
        </references>
      </pivotArea>
    </format>
    <format dxfId="100">
      <pivotArea dataOnly="0" labelOnly="1" fieldPosition="0">
        <references count="2">
          <reference field="2" count="1" selected="0">
            <x v="13"/>
          </reference>
          <reference field="3" count="1">
            <x v="0"/>
          </reference>
        </references>
      </pivotArea>
    </format>
    <format dxfId="99">
      <pivotArea dataOnly="0" labelOnly="1" fieldPosition="0">
        <references count="2">
          <reference field="2" count="1" selected="0">
            <x v="14"/>
          </reference>
          <reference field="3" count="1">
            <x v="0"/>
          </reference>
        </references>
      </pivotArea>
    </format>
    <format dxfId="98">
      <pivotArea dataOnly="0" labelOnly="1" fieldPosition="0">
        <references count="2">
          <reference field="2" count="1" selected="0">
            <x v="15"/>
          </reference>
          <reference field="3" count="1">
            <x v="0"/>
          </reference>
        </references>
      </pivotArea>
    </format>
    <format dxfId="97">
      <pivotArea dataOnly="0" labelOnly="1" fieldPosition="0">
        <references count="2">
          <reference field="2" count="1" selected="0">
            <x v="16"/>
          </reference>
          <reference field="3" count="1">
            <x v="0"/>
          </reference>
        </references>
      </pivotArea>
    </format>
    <format dxfId="96">
      <pivotArea dataOnly="0" labelOnly="1" fieldPosition="0">
        <references count="2">
          <reference field="2" count="1" selected="0">
            <x v="17"/>
          </reference>
          <reference field="3" count="1">
            <x v="1"/>
          </reference>
        </references>
      </pivotArea>
    </format>
    <format dxfId="95">
      <pivotArea dataOnly="0" labelOnly="1" fieldPosition="0">
        <references count="2">
          <reference field="2" count="1" selected="0">
            <x v="18"/>
          </reference>
          <reference field="3" count="1">
            <x v="0"/>
          </reference>
        </references>
      </pivotArea>
    </format>
    <format dxfId="94">
      <pivotArea dataOnly="0" labelOnly="1" fieldPosition="0">
        <references count="2">
          <reference field="2" count="1" selected="0">
            <x v="19"/>
          </reference>
          <reference field="3" count="1">
            <x v="1"/>
          </reference>
        </references>
      </pivotArea>
    </format>
    <format dxfId="93">
      <pivotArea dataOnly="0" labelOnly="1" fieldPosition="0">
        <references count="2">
          <reference field="2" count="1" selected="0">
            <x v="20"/>
          </reference>
          <reference field="3" count="1">
            <x v="0"/>
          </reference>
        </references>
      </pivotArea>
    </format>
    <format dxfId="92">
      <pivotArea dataOnly="0" labelOnly="1" fieldPosition="0">
        <references count="2">
          <reference field="2" count="1" selected="0">
            <x v="21"/>
          </reference>
          <reference field="3" count="0"/>
        </references>
      </pivotArea>
    </format>
    <format dxfId="91">
      <pivotArea dataOnly="0" labelOnly="1" fieldPosition="0">
        <references count="2">
          <reference field="2" count="1" selected="0">
            <x v="22"/>
          </reference>
          <reference field="3" count="1">
            <x v="0"/>
          </reference>
        </references>
      </pivotArea>
    </format>
    <format dxfId="90">
      <pivotArea dataOnly="0" labelOnly="1" fieldPosition="0">
        <references count="2">
          <reference field="2" count="1" selected="0">
            <x v="23"/>
          </reference>
          <reference field="3" count="1">
            <x v="1"/>
          </reference>
        </references>
      </pivotArea>
    </format>
    <format dxfId="89">
      <pivotArea dataOnly="0" labelOnly="1" fieldPosition="0">
        <references count="2">
          <reference field="2" count="1" selected="0">
            <x v="24"/>
          </reference>
          <reference field="3" count="1">
            <x v="0"/>
          </reference>
        </references>
      </pivotArea>
    </format>
    <format dxfId="88">
      <pivotArea dataOnly="0" labelOnly="1" fieldPosition="0">
        <references count="2">
          <reference field="2" count="1" selected="0">
            <x v="25"/>
          </reference>
          <reference field="3" count="1">
            <x v="0"/>
          </reference>
        </references>
      </pivotArea>
    </format>
    <format dxfId="87">
      <pivotArea dataOnly="0" labelOnly="1" fieldPosition="0">
        <references count="2">
          <reference field="2" count="1" selected="0">
            <x v="26"/>
          </reference>
          <reference field="3" count="1">
            <x v="0"/>
          </reference>
        </references>
      </pivotArea>
    </format>
    <format dxfId="86">
      <pivotArea dataOnly="0" labelOnly="1" fieldPosition="0">
        <references count="2">
          <reference field="2" count="1" selected="0">
            <x v="27"/>
          </reference>
          <reference field="3" count="1">
            <x v="0"/>
          </reference>
        </references>
      </pivotArea>
    </format>
    <format dxfId="85">
      <pivotArea dataOnly="0" labelOnly="1" fieldPosition="0">
        <references count="2">
          <reference field="2" count="1" selected="0">
            <x v="28"/>
          </reference>
          <reference field="3" count="1">
            <x v="0"/>
          </reference>
        </references>
      </pivotArea>
    </format>
    <format dxfId="84">
      <pivotArea dataOnly="0" labelOnly="1" fieldPosition="0">
        <references count="2">
          <reference field="2" count="1" selected="0">
            <x v="29"/>
          </reference>
          <reference field="3" count="1">
            <x v="0"/>
          </reference>
        </references>
      </pivotArea>
    </format>
    <format dxfId="83">
      <pivotArea dataOnly="0" labelOnly="1" fieldPosition="0">
        <references count="2">
          <reference field="2" count="1" selected="0">
            <x v="30"/>
          </reference>
          <reference field="3" count="1">
            <x v="0"/>
          </reference>
        </references>
      </pivotArea>
    </format>
    <format dxfId="82">
      <pivotArea dataOnly="0" labelOnly="1" fieldPosition="0">
        <references count="2">
          <reference field="2" count="1" selected="0">
            <x v="31"/>
          </reference>
          <reference field="3" count="1">
            <x v="0"/>
          </reference>
        </references>
      </pivotArea>
    </format>
    <format dxfId="81">
      <pivotArea dataOnly="0" labelOnly="1" fieldPosition="0">
        <references count="2">
          <reference field="2" count="1" selected="0">
            <x v="32"/>
          </reference>
          <reference field="3" count="1">
            <x v="0"/>
          </reference>
        </references>
      </pivotArea>
    </format>
    <format dxfId="80">
      <pivotArea dataOnly="0" labelOnly="1" fieldPosition="0">
        <references count="2">
          <reference field="2" count="1" selected="0">
            <x v="33"/>
          </reference>
          <reference field="3" count="1">
            <x v="0"/>
          </reference>
        </references>
      </pivotArea>
    </format>
    <format dxfId="79">
      <pivotArea dataOnly="0" labelOnly="1" fieldPosition="0">
        <references count="2">
          <reference field="2" count="1" selected="0">
            <x v="34"/>
          </reference>
          <reference field="3" count="1">
            <x v="0"/>
          </reference>
        </references>
      </pivotArea>
    </format>
    <format dxfId="78">
      <pivotArea dataOnly="0" labelOnly="1" fieldPosition="0">
        <references count="2">
          <reference field="2" count="1" selected="0">
            <x v="35"/>
          </reference>
          <reference field="3" count="1">
            <x v="1"/>
          </reference>
        </references>
      </pivotArea>
    </format>
    <format dxfId="77">
      <pivotArea dataOnly="0" labelOnly="1" fieldPosition="0">
        <references count="2">
          <reference field="2" count="1" selected="0">
            <x v="36"/>
          </reference>
          <reference field="3" count="1">
            <x v="0"/>
          </reference>
        </references>
      </pivotArea>
    </format>
    <format dxfId="76">
      <pivotArea dataOnly="0" labelOnly="1" fieldPosition="0">
        <references count="2">
          <reference field="2" count="1" selected="0">
            <x v="37"/>
          </reference>
          <reference field="3" count="1">
            <x v="0"/>
          </reference>
        </references>
      </pivotArea>
    </format>
    <format dxfId="75">
      <pivotArea dataOnly="0" labelOnly="1" fieldPosition="0">
        <references count="2">
          <reference field="2" count="1" selected="0">
            <x v="38"/>
          </reference>
          <reference field="3" count="1">
            <x v="0"/>
          </reference>
        </references>
      </pivotArea>
    </format>
    <format dxfId="74">
      <pivotArea dataOnly="0" labelOnly="1" fieldPosition="0">
        <references count="2">
          <reference field="2" count="1" selected="0">
            <x v="39"/>
          </reference>
          <reference field="3" count="1">
            <x v="0"/>
          </reference>
        </references>
      </pivotArea>
    </format>
    <format dxfId="73">
      <pivotArea dataOnly="0" labelOnly="1" fieldPosition="0">
        <references count="2">
          <reference field="2" count="1" selected="0">
            <x v="40"/>
          </reference>
          <reference field="3" count="1">
            <x v="0"/>
          </reference>
        </references>
      </pivotArea>
    </format>
    <format dxfId="72">
      <pivotArea dataOnly="0" labelOnly="1" fieldPosition="0">
        <references count="2">
          <reference field="2" count="1" selected="0">
            <x v="41"/>
          </reference>
          <reference field="3" count="1">
            <x v="0"/>
          </reference>
        </references>
      </pivotArea>
    </format>
    <format dxfId="71">
      <pivotArea dataOnly="0" labelOnly="1" fieldPosition="0">
        <references count="2">
          <reference field="2" count="1" selected="0">
            <x v="42"/>
          </reference>
          <reference field="3" count="1">
            <x v="0"/>
          </reference>
        </references>
      </pivotArea>
    </format>
    <format dxfId="70">
      <pivotArea dataOnly="0" labelOnly="1" fieldPosition="0">
        <references count="2">
          <reference field="2" count="1" selected="0">
            <x v="43"/>
          </reference>
          <reference field="3" count="1">
            <x v="0"/>
          </reference>
        </references>
      </pivotArea>
    </format>
    <format dxfId="69">
      <pivotArea dataOnly="0" labelOnly="1" fieldPosition="0">
        <references count="2">
          <reference field="2" count="1" selected="0">
            <x v="44"/>
          </reference>
          <reference field="3" count="1">
            <x v="0"/>
          </reference>
        </references>
      </pivotArea>
    </format>
    <format dxfId="68">
      <pivotArea dataOnly="0" labelOnly="1" fieldPosition="0">
        <references count="2">
          <reference field="2" count="1" selected="0">
            <x v="45"/>
          </reference>
          <reference field="3" count="1">
            <x v="0"/>
          </reference>
        </references>
      </pivotArea>
    </format>
    <format dxfId="67">
      <pivotArea dataOnly="0" labelOnly="1" fieldPosition="0">
        <references count="2">
          <reference field="2" count="1" selected="0">
            <x v="46"/>
          </reference>
          <reference field="3" count="1">
            <x v="0"/>
          </reference>
        </references>
      </pivotArea>
    </format>
    <format dxfId="66">
      <pivotArea dataOnly="0" labelOnly="1" fieldPosition="0">
        <references count="2">
          <reference field="2" count="1" selected="0">
            <x v="47"/>
          </reference>
          <reference field="3" count="1">
            <x v="0"/>
          </reference>
        </references>
      </pivotArea>
    </format>
    <format dxfId="65">
      <pivotArea dataOnly="0" labelOnly="1" fieldPosition="0">
        <references count="2">
          <reference field="2" count="1" selected="0">
            <x v="48"/>
          </reference>
          <reference field="3" count="1">
            <x v="0"/>
          </reference>
        </references>
      </pivotArea>
    </format>
    <format dxfId="64">
      <pivotArea dataOnly="0" labelOnly="1" fieldPosition="0">
        <references count="2">
          <reference field="2" count="1" selected="0">
            <x v="49"/>
          </reference>
          <reference field="3" count="1">
            <x v="0"/>
          </reference>
        </references>
      </pivotArea>
    </format>
    <format dxfId="63">
      <pivotArea dataOnly="0" labelOnly="1" fieldPosition="0">
        <references count="2">
          <reference field="2" count="1" selected="0">
            <x v="50"/>
          </reference>
          <reference field="3" count="1">
            <x v="0"/>
          </reference>
        </references>
      </pivotArea>
    </format>
    <format dxfId="62">
      <pivotArea dataOnly="0" labelOnly="1" fieldPosition="0">
        <references count="2">
          <reference field="2" count="1" selected="0">
            <x v="51"/>
          </reference>
          <reference field="3" count="1">
            <x v="0"/>
          </reference>
        </references>
      </pivotArea>
    </format>
    <format dxfId="61">
      <pivotArea dataOnly="0" labelOnly="1" fieldPosition="0">
        <references count="2">
          <reference field="2" count="1" selected="0">
            <x v="52"/>
          </reference>
          <reference field="3" count="1">
            <x v="1"/>
          </reference>
        </references>
      </pivotArea>
    </format>
    <format dxfId="60">
      <pivotArea dataOnly="0" labelOnly="1" fieldPosition="0">
        <references count="2">
          <reference field="2" count="1" selected="0">
            <x v="53"/>
          </reference>
          <reference field="3" count="1">
            <x v="0"/>
          </reference>
        </references>
      </pivotArea>
    </format>
    <format dxfId="59">
      <pivotArea dataOnly="0" labelOnly="1" fieldPosition="0">
        <references count="2">
          <reference field="2" count="1" selected="0">
            <x v="54"/>
          </reference>
          <reference field="3" count="1">
            <x v="0"/>
          </reference>
        </references>
      </pivotArea>
    </format>
    <format dxfId="58">
      <pivotArea dataOnly="0" labelOnly="1" fieldPosition="0">
        <references count="2">
          <reference field="2" count="1" selected="0">
            <x v="55"/>
          </reference>
          <reference field="3" count="1">
            <x v="0"/>
          </reference>
        </references>
      </pivotArea>
    </format>
    <format dxfId="57">
      <pivotArea dataOnly="0" labelOnly="1" fieldPosition="0">
        <references count="2">
          <reference field="2" count="1" selected="0">
            <x v="56"/>
          </reference>
          <reference field="3" count="1">
            <x v="0"/>
          </reference>
        </references>
      </pivotArea>
    </format>
    <format dxfId="56">
      <pivotArea dataOnly="0" labelOnly="1" fieldPosition="0">
        <references count="2">
          <reference field="2" count="1" selected="0">
            <x v="57"/>
          </reference>
          <reference field="3" count="1">
            <x v="0"/>
          </reference>
        </references>
      </pivotArea>
    </format>
    <format dxfId="55">
      <pivotArea dataOnly="0" labelOnly="1" fieldPosition="0">
        <references count="2">
          <reference field="2" count="1" selected="0">
            <x v="58"/>
          </reference>
          <reference field="3" count="1">
            <x v="0"/>
          </reference>
        </references>
      </pivotArea>
    </format>
    <format dxfId="54">
      <pivotArea dataOnly="0" labelOnly="1" fieldPosition="0">
        <references count="2">
          <reference field="2" count="1" selected="0">
            <x v="59"/>
          </reference>
          <reference field="3" count="1">
            <x v="0"/>
          </reference>
        </references>
      </pivotArea>
    </format>
    <format dxfId="53">
      <pivotArea dataOnly="0" labelOnly="1" fieldPosition="0">
        <references count="2">
          <reference field="2" count="1" selected="0">
            <x v="60"/>
          </reference>
          <reference field="3" count="1">
            <x v="0"/>
          </reference>
        </references>
      </pivotArea>
    </format>
    <format dxfId="52">
      <pivotArea dataOnly="0" labelOnly="1" fieldPosition="0">
        <references count="2">
          <reference field="2" count="1" selected="0">
            <x v="61"/>
          </reference>
          <reference field="3" count="1">
            <x v="0"/>
          </reference>
        </references>
      </pivotArea>
    </format>
    <format dxfId="51">
      <pivotArea dataOnly="0" labelOnly="1" fieldPosition="0">
        <references count="2">
          <reference field="2" count="1" selected="0">
            <x v="62"/>
          </reference>
          <reference field="3" count="1">
            <x v="0"/>
          </reference>
        </references>
      </pivotArea>
    </format>
    <format dxfId="50">
      <pivotArea dataOnly="0" labelOnly="1" fieldPosition="0">
        <references count="2">
          <reference field="2" count="1" selected="0">
            <x v="63"/>
          </reference>
          <reference field="3" count="1">
            <x v="0"/>
          </reference>
        </references>
      </pivotArea>
    </format>
    <format dxfId="49">
      <pivotArea dataOnly="0" labelOnly="1" fieldPosition="0">
        <references count="2">
          <reference field="2" count="1" selected="0">
            <x v="64"/>
          </reference>
          <reference field="3" count="1">
            <x v="0"/>
          </reference>
        </references>
      </pivotArea>
    </format>
    <format dxfId="48">
      <pivotArea dataOnly="0" labelOnly="1" fieldPosition="0">
        <references count="2">
          <reference field="2" count="1" selected="0">
            <x v="65"/>
          </reference>
          <reference field="3" count="1">
            <x v="0"/>
          </reference>
        </references>
      </pivotArea>
    </format>
    <format dxfId="47">
      <pivotArea dataOnly="0" labelOnly="1" fieldPosition="0">
        <references count="2">
          <reference field="2" count="1" selected="0">
            <x v="66"/>
          </reference>
          <reference field="3" count="1">
            <x v="0"/>
          </reference>
        </references>
      </pivotArea>
    </format>
    <format dxfId="46">
      <pivotArea dataOnly="0" labelOnly="1" fieldPosition="0">
        <references count="2">
          <reference field="2" count="1" selected="0">
            <x v="67"/>
          </reference>
          <reference field="3" count="1">
            <x v="0"/>
          </reference>
        </references>
      </pivotArea>
    </format>
    <format dxfId="45">
      <pivotArea dataOnly="0" labelOnly="1" fieldPosition="0">
        <references count="2">
          <reference field="2" count="1" selected="0">
            <x v="68"/>
          </reference>
          <reference field="3" count="1">
            <x v="0"/>
          </reference>
        </references>
      </pivotArea>
    </format>
    <format dxfId="44">
      <pivotArea dataOnly="0" labelOnly="1" fieldPosition="0">
        <references count="2">
          <reference field="2" count="1" selected="0">
            <x v="69"/>
          </reference>
          <reference field="3" count="1">
            <x v="0"/>
          </reference>
        </references>
      </pivotArea>
    </format>
    <format dxfId="43">
      <pivotArea dataOnly="0" labelOnly="1" fieldPosition="0">
        <references count="2">
          <reference field="2" count="1" selected="0">
            <x v="70"/>
          </reference>
          <reference field="3" count="1">
            <x v="0"/>
          </reference>
        </references>
      </pivotArea>
    </format>
    <format dxfId="42">
      <pivotArea dataOnly="0" labelOnly="1" fieldPosition="0">
        <references count="2">
          <reference field="2" count="1" selected="0">
            <x v="71"/>
          </reference>
          <reference field="3" count="1">
            <x v="0"/>
          </reference>
        </references>
      </pivotArea>
    </format>
    <format dxfId="41">
      <pivotArea dataOnly="0" labelOnly="1" fieldPosition="0">
        <references count="2">
          <reference field="2" count="1" selected="0">
            <x v="72"/>
          </reference>
          <reference field="3" count="1">
            <x v="0"/>
          </reference>
        </references>
      </pivotArea>
    </format>
    <format dxfId="40">
      <pivotArea dataOnly="0" labelOnly="1" fieldPosition="0">
        <references count="2">
          <reference field="2" count="1" selected="0">
            <x v="73"/>
          </reference>
          <reference field="3" count="1">
            <x v="0"/>
          </reference>
        </references>
      </pivotArea>
    </format>
    <format dxfId="39">
      <pivotArea dataOnly="0" labelOnly="1" fieldPosition="0">
        <references count="2">
          <reference field="2" count="1" selected="0">
            <x v="74"/>
          </reference>
          <reference field="3" count="1">
            <x v="0"/>
          </reference>
        </references>
      </pivotArea>
    </format>
    <format dxfId="38">
      <pivotArea dataOnly="0" labelOnly="1" fieldPosition="0">
        <references count="2">
          <reference field="2" count="1" selected="0">
            <x v="75"/>
          </reference>
          <reference field="3" count="1">
            <x v="0"/>
          </reference>
        </references>
      </pivotArea>
    </format>
    <format dxfId="37">
      <pivotArea dataOnly="0" labelOnly="1" fieldPosition="0">
        <references count="2">
          <reference field="2" count="1" selected="0">
            <x v="76"/>
          </reference>
          <reference field="3" count="1">
            <x v="0"/>
          </reference>
        </references>
      </pivotArea>
    </format>
    <format dxfId="36">
      <pivotArea dataOnly="0" labelOnly="1" fieldPosition="0">
        <references count="2">
          <reference field="2" count="1" selected="0">
            <x v="77"/>
          </reference>
          <reference field="3" count="1">
            <x v="0"/>
          </reference>
        </references>
      </pivotArea>
    </format>
    <format dxfId="35">
      <pivotArea dataOnly="0" labelOnly="1" fieldPosition="0">
        <references count="2">
          <reference field="2" count="1" selected="0">
            <x v="78"/>
          </reference>
          <reference field="3" count="1">
            <x v="0"/>
          </reference>
        </references>
      </pivotArea>
    </format>
    <format dxfId="34">
      <pivotArea dataOnly="0" labelOnly="1" fieldPosition="0">
        <references count="2">
          <reference field="2" count="1" selected="0">
            <x v="79"/>
          </reference>
          <reference field="3" count="1">
            <x v="0"/>
          </reference>
        </references>
      </pivotArea>
    </format>
    <format dxfId="33">
      <pivotArea dataOnly="0" labelOnly="1" fieldPosition="0">
        <references count="2">
          <reference field="2" count="1" selected="0">
            <x v="80"/>
          </reference>
          <reference field="3" count="1">
            <x v="0"/>
          </reference>
        </references>
      </pivotArea>
    </format>
    <format dxfId="32">
      <pivotArea dataOnly="0" labelOnly="1" outline="0" fieldPosition="0">
        <references count="1">
          <reference field="4294967294" count="15">
            <x v="0"/>
            <x v="1"/>
            <x v="2"/>
            <x v="3"/>
            <x v="4"/>
            <x v="5"/>
            <x v="6"/>
            <x v="7"/>
            <x v="8"/>
            <x v="9"/>
            <x v="10"/>
            <x v="11"/>
            <x v="12"/>
            <x v="13"/>
            <x v="14"/>
          </reference>
        </references>
      </pivotArea>
    </format>
    <format dxfId="31">
      <pivotArea grandRow="1" outline="0" collapsedLevelsAreSubtotals="1" fieldPosition="0"/>
    </format>
    <format dxfId="30">
      <pivotArea dataOnly="0" labelOnly="1" grandRow="1" outline="0" fieldPosition="0"/>
    </format>
    <format dxfId="29">
      <pivotArea grandRow="1" outline="0" collapsedLevelsAreSubtotals="1" fieldPosition="0"/>
    </format>
    <format dxfId="28">
      <pivotArea dataOnly="0" labelOnly="1" grandRow="1" outline="0" fieldPosition="0"/>
    </format>
    <format dxfId="27">
      <pivotArea grandRow="1" outline="0" collapsedLevelsAreSubtotals="1" fieldPosition="0"/>
    </format>
    <format dxfId="26">
      <pivotArea dataOnly="0" labelOnly="1" grandRow="1" outline="0" fieldPosition="0"/>
    </format>
    <format dxfId="25">
      <pivotArea grandRow="1" outline="0" collapsedLevelsAreSubtotals="1" fieldPosition="0"/>
    </format>
    <format dxfId="2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EF680C-B348-489D-A5C1-3912609177AD}"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2:P58" firstHeaderRow="0" firstDataRow="1" firstDataCol="1"/>
  <pivotFields count="3">
    <pivotField axis="axisRow" showAll="0">
      <items count="56">
        <item x="54"/>
        <item x="23"/>
        <item x="49"/>
        <item x="32"/>
        <item x="38"/>
        <item x="11"/>
        <item x="36"/>
        <item x="43"/>
        <item x="26"/>
        <item x="4"/>
        <item x="45"/>
        <item x="37"/>
        <item x="44"/>
        <item x="20"/>
        <item x="31"/>
        <item x="53"/>
        <item x="12"/>
        <item x="42"/>
        <item x="14"/>
        <item x="1"/>
        <item x="5"/>
        <item x="22"/>
        <item x="8"/>
        <item x="51"/>
        <item x="25"/>
        <item x="35"/>
        <item x="15"/>
        <item x="7"/>
        <item x="3"/>
        <item x="0"/>
        <item x="2"/>
        <item x="50"/>
        <item x="24"/>
        <item x="46"/>
        <item x="48"/>
        <item x="41"/>
        <item x="13"/>
        <item x="29"/>
        <item x="27"/>
        <item x="9"/>
        <item x="30"/>
        <item x="18"/>
        <item x="39"/>
        <item x="34"/>
        <item x="17"/>
        <item x="40"/>
        <item x="19"/>
        <item x="10"/>
        <item x="6"/>
        <item x="28"/>
        <item x="47"/>
        <item x="33"/>
        <item x="52"/>
        <item x="16"/>
        <item x="21"/>
        <item t="default"/>
      </items>
    </pivotField>
    <pivotField dataField="1" showAll="0"/>
    <pivotField dataField="1" numFmtId="172"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2"/>
  </colFields>
  <colItems count="2">
    <i>
      <x/>
    </i>
    <i i="1">
      <x v="1"/>
    </i>
  </colItems>
  <dataFields count="2">
    <dataField name="Sum of Quantity" fld="1" baseField="0" baseItem="9" numFmtId="165"/>
    <dataField name="Sum of Amount" fld="2" baseField="0" baseItem="8" numFmtId="17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F541A040-E63F-4C6E-B23E-4AC23249933F}" autoFormatId="16" applyNumberFormats="0" applyBorderFormats="0" applyFontFormats="0" applyPatternFormats="0" applyAlignmentFormats="0" applyWidthHeightFormats="0">
  <queryTableRefresh nextId="6">
    <queryTableFields count="5">
      <queryTableField id="1" name="Column1" tableColumnId="1"/>
      <queryTableField id="2" name="Column2" tableColumnId="2"/>
      <queryTableField id="3" name="Column3" tableColumnId="3"/>
      <queryTableField id="4" name="Column4" tableColumnId="4"/>
      <queryTableField id="5" name="Column5" tableColumnId="5"/>
    </queryTableFields>
  </queryTableRefresh>
  <extLst>
    <ext xmlns:x15="http://schemas.microsoft.com/office/spreadsheetml/2010/11/main" uri="{883FBD77-0823-4a55-B5E3-86C4891E6966}">
      <x15:queryTable sourceDataName="Query - Table 1 (2)"/>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A857E42-3CC8-4666-A396-870E26BAE23B}"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extLst>
    <ext xmlns:x15="http://schemas.microsoft.com/office/spreadsheetml/2010/11/main" uri="{883FBD77-0823-4a55-B5E3-86C4891E6966}">
      <x15:queryTable sourceDataName="Query - Table 3"/>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7F7CAD1E-EB9D-494C-9D9A-180254B7F55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extLst>
    <ext xmlns:x15="http://schemas.microsoft.com/office/spreadsheetml/2010/11/main" uri="{883FBD77-0823-4a55-B5E3-86C4891E6966}">
      <x15:queryTable sourceDataName="Query - Table 5"/>
    </ext>
  </extLst>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17</v>
    <v>8</v>
    <v>0</v>
    <v>1</v>
  </rv>
</rvData>
</file>

<file path=xl/richData/rdrichvaluestructure.xml><?xml version="1.0" encoding="utf-8"?>
<rvStructures xmlns="http://schemas.microsoft.com/office/spreadsheetml/2017/richdata" count="1">
  <s t="_error">
    <k n="colOffset" t="i"/>
    <k n="errorType" t="i"/>
    <k n="rwOffset"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B09575-E21A-4F0E-BD5E-9C3209AE7E29}" name="Table_1__2" displayName="Table_1__2" ref="A1:E22" tableType="queryTable" totalsRowShown="0" headerRowDxfId="20" dataDxfId="19">
  <autoFilter ref="A1:E22" xr:uid="{E6B09575-E21A-4F0E-BD5E-9C3209AE7E29}"/>
  <tableColumns count="5">
    <tableColumn id="1" xr3:uid="{75164A05-3192-4A03-AF4B-06E33BDFAFA9}" uniqueName="1" name="Column1" queryTableFieldId="1" dataDxfId="18"/>
    <tableColumn id="2" xr3:uid="{753A5CB4-62BF-4D51-A132-456A8B2173C7}" uniqueName="2" name="Column2" queryTableFieldId="2" dataDxfId="17"/>
    <tableColumn id="3" xr3:uid="{8833C533-32ED-49CF-BDA6-AE7D4C93DC59}" uniqueName="3" name="Column3" queryTableFieldId="3" dataDxfId="16"/>
    <tableColumn id="4" xr3:uid="{49963AD4-2579-4A39-A396-6D0FC5E749D2}" uniqueName="4" name="Column4" queryTableFieldId="4" dataDxfId="15"/>
    <tableColumn id="5" xr3:uid="{7FD0322B-C6C6-49E9-99FA-CF5ECF410906}" uniqueName="5" name="Column5" queryTableFieldId="5" dataDxf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FE0E26-3E8A-4FB1-B9D1-A5B938D6F0C1}" name="Table_3" displayName="Table_3" ref="A26:B32" tableType="queryTable" totalsRowShown="0" headerRowDxfId="13" dataDxfId="12">
  <autoFilter ref="A26:B32" xr:uid="{5AFE0E26-3E8A-4FB1-B9D1-A5B938D6F0C1}"/>
  <tableColumns count="2">
    <tableColumn id="1" xr3:uid="{AA5806C8-6A67-499B-99BA-DF5DBA78CFF2}" uniqueName="1" name="Column1" queryTableFieldId="1" dataDxfId="11"/>
    <tableColumn id="2" xr3:uid="{9E5C1ED5-E2BD-49A3-AC0F-80276ECC31DF}" uniqueName="2" name="Column2" queryTableFieldId="2" dataDxf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209FFA-7ABF-4E5A-A83B-75CC7254AEC5}" name="Table_5" displayName="Table_5" ref="A36:C40" tableType="queryTable" totalsRowShown="0" headerRowDxfId="9" dataDxfId="8">
  <autoFilter ref="A36:C40" xr:uid="{1F209FFA-7ABF-4E5A-A83B-75CC7254AEC5}"/>
  <tableColumns count="3">
    <tableColumn id="1" xr3:uid="{8D06A5A0-D7FF-4265-A9EC-D83E3054782F}" uniqueName="1" name="Column1" queryTableFieldId="1" dataDxfId="7"/>
    <tableColumn id="2" xr3:uid="{FF933CE0-D6F7-4E31-BD4E-9002581CC2DD}" uniqueName="2" name="Column2" queryTableFieldId="2" dataDxfId="6"/>
    <tableColumn id="3" xr3:uid="{5856121B-7A00-4FA7-8186-FBA4AF87EF45}" uniqueName="3" name="Column3" queryTableFieldId="3" dataDxf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6">
    <wetp:webextensionref xmlns:r="http://schemas.openxmlformats.org/officeDocument/2006/relationships" r:id="rId2"/>
  </wetp:taskpane>
  <wetp:taskpane dockstate="right" visibility="0" width="350" row="7">
    <wetp:webextensionref xmlns:r="http://schemas.openxmlformats.org/officeDocument/2006/relationships" r:id="rId3"/>
  </wetp:taskpane>
  <wetp:taskpane dockstate="right" visibility="0" width="350" row="6">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5">
    <wetp:webextensionref xmlns:r="http://schemas.openxmlformats.org/officeDocument/2006/relationships" r:id="rId6"/>
  </wetp:taskpane>
</wetp:taskpanes>
</file>

<file path=xl/webextensions/webextension1.xml><?xml version="1.0" encoding="utf-8"?>
<we:webextension xmlns:we="http://schemas.microsoft.com/office/webextensions/webextension/2010/11" id="{9B63BF12-B9DF-467B-8041-055BFC836D54}">
  <we:reference id="wa200005502" version="1.0.0.13" store="en-US" storeType="OMEX"/>
  <we:alternateReferences>
    <we:reference id="wa200005502" version="1.0.0.13" store="wa200005502" storeType="OMEX"/>
  </we:alternateReferences>
  <we:properties>
    <we:property name="docId" value="&quot;HwpB4ZigCqC-UXe32ms7u&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812496E4-EB1D-4531-BD68-60F2C01066BB}">
  <we:reference id="wa200010215" version="2.0.0.1" store="en-US" storeType="OMEX"/>
  <we:alternateReferences>
    <we:reference id="wa200010215" version="2.0.0.1" store="WA200010215" storeType="OMEX"/>
  </we:alternateReferences>
  <we:properties>
    <we:property name="bps.codex_control.document_id" value="&quot;6c21d78c-4608-4e9f-9e83-15fa89a09a2b&quot;"/>
  </we:properties>
  <we:bindings/>
  <we:snapshot xmlns:r="http://schemas.openxmlformats.org/officeDocument/2006/relationships"/>
</we:webextension>
</file>

<file path=xl/webextensions/webextension3.xml><?xml version="1.0" encoding="utf-8"?>
<we:webextension xmlns:we="http://schemas.microsoft.com/office/webextensions/webextension/2010/11" id="{12A6247D-8E4C-4F15-B48A-CEEE02DD3F41}">
  <we:reference id="wa200010925" version="1.0.1.0" store="en-US" storeType="OMEX"/>
  <we:alternateReferences>
    <we:reference id="WA200010925" version="1.0.1.0" store="WA200010925" storeType="OMEX"/>
  </we:alternateReferences>
  <we:properties>
    <we:property name="iaexcel_motor_workbook_key" value="&quot;1b2d0248-83f0-4c9f-9b7c-719d03ff0be4&quot;"/>
  </we:properties>
  <we:bindings/>
  <we:snapshot xmlns:r="http://schemas.openxmlformats.org/officeDocument/2006/relationships"/>
</we:webextension>
</file>

<file path=xl/webextensions/webextension4.xml><?xml version="1.0" encoding="utf-8"?>
<we:webextension xmlns:we="http://schemas.microsoft.com/office/webextensions/webextension/2010/11" id="{974F098C-B5C1-471A-B66A-D89B1242131A}">
  <we:reference id="wa200008989" version="1.0.0.4" store="en-US" storeType="OMEX"/>
  <we:alternateReferences>
    <we:reference id="WA200008989" version="1.0.0.4" store="WA200008989" storeType="OMEX"/>
  </we:alternateReferences>
  <we:properties>
    <we:property name="Office.ForceRefreshCustomFunctionsCache" value="true"/>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_xldudf_COREGPT</we:customFunctionIds>
        <we:customFunctionIds>_xldudf_COREGPT_TRANSLATE</we:customFunctionIds>
        <we:customFunctionIds>_xldudf_COREGPT_EXTRACT</we:customFunctionIds>
        <we:customFunctionIds>_xldudf_COREGPT_FORMAT</we:customFunctionIds>
        <we:customFunctionIds>_xldudf_COREGPT_SUMMARIZE</we:customFunctionIds>
        <we:customFunctionIds>_xldudf_COREGPT_CLASSIFY</we:customFunctionIds>
      </we:customFunctionIdList>
    </a:ext>
  </we:extLst>
</we:webextension>
</file>

<file path=xl/webextensions/webextension5.xml><?xml version="1.0" encoding="utf-8"?>
<we:webextension xmlns:we="http://schemas.microsoft.com/office/webextensions/webextension/2010/11" id="{CDD70166-FCC8-429F-8671-C049A876DC59}">
  <we:reference id="wa200009404" version="1.0.0.8" store="en-US" storeType="OMEX"/>
  <we:alternateReferences>
    <we:reference id="WA200009404" version="1.0.0.8" store="WA200009404" storeType="OMEX"/>
  </we:alternateReferences>
  <we:properties>
    <we:property name="claude.fileId" value="&quot;cbab1e68-2cfd-4890-9afe-cc7dfb9f7c45&quot;"/>
  </we:properties>
  <we:bindings/>
  <we:snapshot xmlns:r="http://schemas.openxmlformats.org/officeDocument/2006/relationships"/>
</we:webextension>
</file>

<file path=xl/webextensions/webextension6.xml><?xml version="1.0" encoding="utf-8"?>
<we:webextension xmlns:we="http://schemas.microsoft.com/office/webextensions/webextension/2010/11" id="{DA86ACD1-B211-45A1-AA8A-54133D8456D7}">
  <we:reference id="wa200011214" version="1.0.0.1" store="en-US" storeType="OMEX"/>
  <we:alternateReferences>
    <we:reference id="WA200011214" version="1.0.0.1" store="WA200011214" storeType="OMEX"/>
  </we:alternateReferences>
  <we:properties>
    <we:property name="grokConversationBinding" value="{&quot;responseId&quot;:&quot;aacee369-73ce-4d59-a9e2-93baefa1bd00&quot;,&quot;title&quot;:&quot;Clean Up Messy Documents&quot;,&quot;transport&quot;:&quot;gateway&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3" Type="http://schemas.openxmlformats.org/officeDocument/2006/relationships/hyperlink" Target="mailto:karan01@gmail.com%20" TargetMode="External"/><Relationship Id="rId18" Type="http://schemas.openxmlformats.org/officeDocument/2006/relationships/hyperlink" Target="mailto:deepak01@gmail.com%20" TargetMode="External"/><Relationship Id="rId26" Type="http://schemas.openxmlformats.org/officeDocument/2006/relationships/hyperlink" Target="mailto:ravi01@gmail.com%20" TargetMode="External"/><Relationship Id="rId39" Type="http://schemas.openxmlformats.org/officeDocument/2006/relationships/hyperlink" Target="mailto:harsh01@gmail.com%20" TargetMode="External"/><Relationship Id="rId21" Type="http://schemas.openxmlformats.org/officeDocument/2006/relationships/hyperlink" Target="mailto:mahesh01@gmail.com%20" TargetMode="External"/><Relationship Id="rId34" Type="http://schemas.openxmlformats.org/officeDocument/2006/relationships/hyperlink" Target="mailto:sunil01@gmail.com%20" TargetMode="External"/><Relationship Id="rId42" Type="http://schemas.openxmlformats.org/officeDocument/2006/relationships/hyperlink" Target="mailto:tarun01@gmail.com%20" TargetMode="External"/><Relationship Id="rId47" Type="http://schemas.openxmlformats.org/officeDocument/2006/relationships/hyperlink" Target="mailto:aayush01@gmail.com%20" TargetMode="External"/><Relationship Id="rId50" Type="http://schemas.openxmlformats.org/officeDocument/2006/relationships/hyperlink" Target="mailto:dinesh01@gmail.com%20" TargetMode="External"/><Relationship Id="rId7" Type="http://schemas.openxmlformats.org/officeDocument/2006/relationships/hyperlink" Target="mailto:aditya01@gmail.com%20" TargetMode="External"/><Relationship Id="rId2" Type="http://schemas.openxmlformats.org/officeDocument/2006/relationships/hyperlink" Target="mailto:sahil01@gmail.com" TargetMode="External"/><Relationship Id="rId16" Type="http://schemas.openxmlformats.org/officeDocument/2006/relationships/hyperlink" Target="mailto:ankit01@gmail.com%20" TargetMode="External"/><Relationship Id="rId29" Type="http://schemas.openxmlformats.org/officeDocument/2006/relationships/hyperlink" Target="mailto:sanjay01@gmail.com%20" TargetMode="External"/><Relationship Id="rId11" Type="http://schemas.openxmlformats.org/officeDocument/2006/relationships/hyperlink" Target="mailto:krishna01@gmail.com%20" TargetMode="External"/><Relationship Id="rId24" Type="http://schemas.openxmlformats.org/officeDocument/2006/relationships/hyperlink" Target="mailto:nitin01@gmail.com%20" TargetMode="External"/><Relationship Id="rId32" Type="http://schemas.openxmlformats.org/officeDocument/2006/relationships/hyperlink" Target="mailto:pradeep01@gmail.com%20" TargetMode="External"/><Relationship Id="rId37" Type="http://schemas.openxmlformats.org/officeDocument/2006/relationships/hyperlink" Target="mailto:rohit01@gmail.com%20" TargetMode="External"/><Relationship Id="rId40" Type="http://schemas.openxmlformats.org/officeDocument/2006/relationships/hyperlink" Target="mailto:naveen01@gmail.com%20" TargetMode="External"/><Relationship Id="rId45" Type="http://schemas.openxmlformats.org/officeDocument/2006/relationships/hyperlink" Target="mailto:tushar02@gmail.com%20" TargetMode="External"/><Relationship Id="rId5" Type="http://schemas.openxmlformats.org/officeDocument/2006/relationships/hyperlink" Target="mailto:aarav01@gmail.com%20" TargetMode="External"/><Relationship Id="rId15" Type="http://schemas.openxmlformats.org/officeDocument/2006/relationships/hyperlink" Target="mailto:vikram01@gmail.com%20" TargetMode="External"/><Relationship Id="rId23" Type="http://schemas.openxmlformats.org/officeDocument/2006/relationships/hyperlink" Target="mailto:mukesh01@gmail.com%20" TargetMode="External"/><Relationship Id="rId28" Type="http://schemas.openxmlformats.org/officeDocument/2006/relationships/hyperlink" Target="mailto:vijay01@gmail.com%20" TargetMode="External"/><Relationship Id="rId36" Type="http://schemas.openxmlformats.org/officeDocument/2006/relationships/hyperlink" Target="mailto:sachin01@gmail.com%20" TargetMode="External"/><Relationship Id="rId49" Type="http://schemas.openxmlformats.org/officeDocument/2006/relationships/hyperlink" Target="mailto:hemant01@gmail.com%20" TargetMode="External"/><Relationship Id="rId10" Type="http://schemas.openxmlformats.org/officeDocument/2006/relationships/hyperlink" Target="mailto:arjun01@gmail.com%20" TargetMode="External"/><Relationship Id="rId19" Type="http://schemas.openxmlformats.org/officeDocument/2006/relationships/hyperlink" Target="mailto:rakesh01@gmail.com%20" TargetMode="External"/><Relationship Id="rId31" Type="http://schemas.openxmlformats.org/officeDocument/2006/relationships/hyperlink" Target="mailto:pankaj01@gmail.com%20" TargetMode="External"/><Relationship Id="rId44" Type="http://schemas.openxmlformats.org/officeDocument/2006/relationships/hyperlink" Target="mailto:shubham01@gmail.com%20" TargetMode="External"/><Relationship Id="rId4" Type="http://schemas.openxmlformats.org/officeDocument/2006/relationships/hyperlink" Target="mailto:chirag01@gmail.com%20" TargetMode="External"/><Relationship Id="rId9" Type="http://schemas.openxmlformats.org/officeDocument/2006/relationships/hyperlink" Target="mailto:anuj123@gmail.com" TargetMode="External"/><Relationship Id="rId14" Type="http://schemas.openxmlformats.org/officeDocument/2006/relationships/hyperlink" Target="mailto:varun01@gmail.com%20" TargetMode="External"/><Relationship Id="rId22" Type="http://schemas.openxmlformats.org/officeDocument/2006/relationships/hyperlink" Target="mailto:rajesh01@gmail.com%20" TargetMode="External"/><Relationship Id="rId27" Type="http://schemas.openxmlformats.org/officeDocument/2006/relationships/hyperlink" Target="mailto:ajay01@gmail.com%20" TargetMode="External"/><Relationship Id="rId30" Type="http://schemas.openxmlformats.org/officeDocument/2006/relationships/hyperlink" Target="mailto:manoj01@gmail.com%20" TargetMode="External"/><Relationship Id="rId35" Type="http://schemas.openxmlformats.org/officeDocument/2006/relationships/hyperlink" Target="mailto:anil01@gmail.com%20" TargetMode="External"/><Relationship Id="rId43" Type="http://schemas.openxmlformats.org/officeDocument/2006/relationships/hyperlink" Target="mailto:yash01@gmail.com%20" TargetMode="External"/><Relationship Id="rId48" Type="http://schemas.openxmlformats.org/officeDocument/2006/relationships/hyperlink" Target="mailto:mohit01@gmail.com%20" TargetMode="External"/><Relationship Id="rId8" Type="http://schemas.openxmlformats.org/officeDocument/2006/relationships/hyperlink" Target="mailto:hemantmahawar67@gmail.com" TargetMode="External"/><Relationship Id="rId51" Type="http://schemas.openxmlformats.org/officeDocument/2006/relationships/hyperlink" Target="mailto:He@12345" TargetMode="External"/><Relationship Id="rId3" Type="http://schemas.openxmlformats.org/officeDocument/2006/relationships/hyperlink" Target="mailto:prakash01@gmail.com" TargetMode="External"/><Relationship Id="rId12" Type="http://schemas.openxmlformats.org/officeDocument/2006/relationships/hyperlink" Target="mailto:rohan01@gmail.com%20" TargetMode="External"/><Relationship Id="rId17" Type="http://schemas.openxmlformats.org/officeDocument/2006/relationships/hyperlink" Target="mailto:akash01@gmail.com%20" TargetMode="External"/><Relationship Id="rId25" Type="http://schemas.openxmlformats.org/officeDocument/2006/relationships/hyperlink" Target="mailto:sumit01@gmail.com%20" TargetMode="External"/><Relationship Id="rId33" Type="http://schemas.openxmlformats.org/officeDocument/2006/relationships/hyperlink" Target="mailto:ashok01@gmail.com%20" TargetMode="External"/><Relationship Id="rId38" Type="http://schemas.openxmlformats.org/officeDocument/2006/relationships/hyperlink" Target="mailto:abhishek01@gmail.com%20" TargetMode="External"/><Relationship Id="rId46" Type="http://schemas.openxmlformats.org/officeDocument/2006/relationships/hyperlink" Target="mailto:nikhil01@gmail.com%20" TargetMode="External"/><Relationship Id="rId20" Type="http://schemas.openxmlformats.org/officeDocument/2006/relationships/hyperlink" Target="mailto:suresh01@gmail.com%20" TargetMode="External"/><Relationship Id="rId41" Type="http://schemas.openxmlformats.org/officeDocument/2006/relationships/hyperlink" Target="mailto:gaurav01@gmail.com%20" TargetMode="External"/><Relationship Id="rId1" Type="http://schemas.openxmlformats.org/officeDocument/2006/relationships/hyperlink" Target="mailto:tushar01@gmail.com" TargetMode="External"/><Relationship Id="rId6" Type="http://schemas.openxmlformats.org/officeDocument/2006/relationships/hyperlink" Target="mailto:vivaan01@gmail.com%20"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openxmlformats.org/officeDocument/2006/relationships/hyperlink" Target="mailto:tushar01@gmail.com" TargetMode="External"/><Relationship Id="rId2" Type="http://schemas.openxmlformats.org/officeDocument/2006/relationships/hyperlink" Target="mailto:tushar01@gmail.com" TargetMode="External"/><Relationship Id="rId1" Type="http://schemas.openxmlformats.org/officeDocument/2006/relationships/hyperlink" Target="mailto:tushar01@gmail.com" TargetMode="External"/><Relationship Id="rId5" Type="http://schemas.openxmlformats.org/officeDocument/2006/relationships/hyperlink" Target="mailto:tushar01@gmail.com" TargetMode="External"/><Relationship Id="rId4" Type="http://schemas.openxmlformats.org/officeDocument/2006/relationships/hyperlink" Target="mailto:tushar01@gmail.com" TargetMode="Externa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8" Type="http://schemas.microsoft.com/office/2006/relationships/xlExternalLinkPath/xlPathMissing" Target="marksheet%20(1).xlsx" TargetMode="External"/><Relationship Id="rId13" Type="http://schemas.microsoft.com/office/2006/relationships/xlExternalLinkPath/xlPathMissing" Target="marksheet%20(1).xlsx" TargetMode="External"/><Relationship Id="rId3" Type="http://schemas.microsoft.com/office/2006/relationships/xlExternalLinkPath/xlPathMissing" Target="marksheet%20(1).xlsx" TargetMode="External"/><Relationship Id="rId7" Type="http://schemas.microsoft.com/office/2006/relationships/xlExternalLinkPath/xlPathMissing" Target="marksheet%20(1).xlsx" TargetMode="External"/><Relationship Id="rId12" Type="http://schemas.microsoft.com/office/2006/relationships/xlExternalLinkPath/xlPathMissing" Target="marksheet%20(1).xlsx" TargetMode="External"/><Relationship Id="rId2" Type="http://schemas.microsoft.com/office/2006/relationships/xlExternalLinkPath/xlPathMissing" Target="marksheet%20(1).xlsx" TargetMode="External"/><Relationship Id="rId1" Type="http://schemas.openxmlformats.org/officeDocument/2006/relationships/pivotTable" Target="../pivotTables/pivotTable3.xml"/><Relationship Id="rId6" Type="http://schemas.microsoft.com/office/2006/relationships/xlExternalLinkPath/xlPathMissing" Target="marksheet%20(1).xlsx" TargetMode="External"/><Relationship Id="rId11" Type="http://schemas.microsoft.com/office/2006/relationships/xlExternalLinkPath/xlPathMissing" Target="marksheet%20(1).xlsx" TargetMode="External"/><Relationship Id="rId5" Type="http://schemas.microsoft.com/office/2006/relationships/xlExternalLinkPath/xlPathMissing" Target="marksheet%20(1).xlsx" TargetMode="External"/><Relationship Id="rId10" Type="http://schemas.microsoft.com/office/2006/relationships/xlExternalLinkPath/xlPathMissing" Target="marksheet%20(1).xlsx" TargetMode="External"/><Relationship Id="rId4" Type="http://schemas.microsoft.com/office/2006/relationships/xlExternalLinkPath/xlPathMissing" Target="marksheet%20(1).xlsx" TargetMode="External"/><Relationship Id="rId9" Type="http://schemas.microsoft.com/office/2006/relationships/xlExternalLinkPath/xlPathMissing" Target="marksheet%20(1).xlsx" TargetMode="External"/><Relationship Id="rId1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5.xml"/><Relationship Id="rId5" Type="http://schemas.microsoft.com/office/2019/04/relationships/namedSheetView" Target="../namedSheetViews/namedSheetView1.xml"/><Relationship Id="rId4" Type="http://schemas.openxmlformats.org/officeDocument/2006/relationships/image" Target="../media/image1.emf"/></Relationships>
</file>

<file path=xl/worksheets/_rels/sheet1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17" Type="http://schemas.openxmlformats.org/officeDocument/2006/relationships/hyperlink" Target="mailto:dinesh01@gmail.com%20" TargetMode="External"/><Relationship Id="rId21" Type="http://schemas.openxmlformats.org/officeDocument/2006/relationships/hyperlink" Target="mailto:mahesh01@gmail.com%20" TargetMode="External"/><Relationship Id="rId42" Type="http://schemas.openxmlformats.org/officeDocument/2006/relationships/hyperlink" Target="mailto:tarun01@gmail.com%20" TargetMode="External"/><Relationship Id="rId63" Type="http://schemas.openxmlformats.org/officeDocument/2006/relationships/hyperlink" Target="mailto:dinesh01@gmail.com%20" TargetMode="External"/><Relationship Id="rId84" Type="http://schemas.openxmlformats.org/officeDocument/2006/relationships/hyperlink" Target="mailto:dinesh01@gmail.com%20" TargetMode="External"/><Relationship Id="rId138" Type="http://schemas.openxmlformats.org/officeDocument/2006/relationships/hyperlink" Target="mailto:dinesh01@gmail.com%20" TargetMode="External"/><Relationship Id="rId159" Type="http://schemas.openxmlformats.org/officeDocument/2006/relationships/hyperlink" Target="mailto:dinesh01@gmail.com%20" TargetMode="External"/><Relationship Id="rId170" Type="http://schemas.openxmlformats.org/officeDocument/2006/relationships/hyperlink" Target="mailto:dinesh01@gmail.com%20" TargetMode="External"/><Relationship Id="rId107" Type="http://schemas.openxmlformats.org/officeDocument/2006/relationships/hyperlink" Target="mailto:dinesh01@gmail.com%20" TargetMode="External"/><Relationship Id="rId11" Type="http://schemas.openxmlformats.org/officeDocument/2006/relationships/hyperlink" Target="mailto:krishna01@gmail.com%20" TargetMode="External"/><Relationship Id="rId32" Type="http://schemas.openxmlformats.org/officeDocument/2006/relationships/hyperlink" Target="mailto:pradeep01@gmail.com%20" TargetMode="External"/><Relationship Id="rId53" Type="http://schemas.openxmlformats.org/officeDocument/2006/relationships/hyperlink" Target="mailto:dinesh01@gmail.com%20" TargetMode="External"/><Relationship Id="rId74" Type="http://schemas.openxmlformats.org/officeDocument/2006/relationships/hyperlink" Target="mailto:dinesh01@gmail.com%20" TargetMode="External"/><Relationship Id="rId128" Type="http://schemas.openxmlformats.org/officeDocument/2006/relationships/hyperlink" Target="mailto:dinesh01@gmail.com%20" TargetMode="External"/><Relationship Id="rId149" Type="http://schemas.openxmlformats.org/officeDocument/2006/relationships/hyperlink" Target="mailto:dinesh01@gmail.com%20" TargetMode="External"/><Relationship Id="rId5" Type="http://schemas.openxmlformats.org/officeDocument/2006/relationships/hyperlink" Target="mailto:aarav01@gmail.com%20" TargetMode="External"/><Relationship Id="rId95" Type="http://schemas.openxmlformats.org/officeDocument/2006/relationships/hyperlink" Target="mailto:dinesh01@gmail.com%20" TargetMode="External"/><Relationship Id="rId160" Type="http://schemas.openxmlformats.org/officeDocument/2006/relationships/hyperlink" Target="mailto:dinesh01@gmail.com%20" TargetMode="External"/><Relationship Id="rId181" Type="http://schemas.openxmlformats.org/officeDocument/2006/relationships/comments" Target="../comments1.xml"/><Relationship Id="rId22" Type="http://schemas.openxmlformats.org/officeDocument/2006/relationships/hyperlink" Target="mailto:rajesh01@gmail.com%20" TargetMode="External"/><Relationship Id="rId43" Type="http://schemas.openxmlformats.org/officeDocument/2006/relationships/hyperlink" Target="mailto:yash01@gmail.com%20" TargetMode="External"/><Relationship Id="rId64" Type="http://schemas.openxmlformats.org/officeDocument/2006/relationships/hyperlink" Target="mailto:dinesh01@gmail.com%20" TargetMode="External"/><Relationship Id="rId118" Type="http://schemas.openxmlformats.org/officeDocument/2006/relationships/hyperlink" Target="mailto:dinesh01@gmail.com%20" TargetMode="External"/><Relationship Id="rId139" Type="http://schemas.openxmlformats.org/officeDocument/2006/relationships/hyperlink" Target="mailto:dinesh01@gmail.com%20" TargetMode="External"/><Relationship Id="rId85" Type="http://schemas.openxmlformats.org/officeDocument/2006/relationships/hyperlink" Target="mailto:dinesh01@gmail.com%20" TargetMode="External"/><Relationship Id="rId150" Type="http://schemas.openxmlformats.org/officeDocument/2006/relationships/hyperlink" Target="mailto:dinesh01@gmail.com%20" TargetMode="External"/><Relationship Id="rId171" Type="http://schemas.openxmlformats.org/officeDocument/2006/relationships/hyperlink" Target="mailto:dinesh01@gmail.com%20" TargetMode="External"/><Relationship Id="rId12" Type="http://schemas.openxmlformats.org/officeDocument/2006/relationships/hyperlink" Target="mailto:rohan01@gmail.com%20" TargetMode="External"/><Relationship Id="rId33" Type="http://schemas.openxmlformats.org/officeDocument/2006/relationships/hyperlink" Target="mailto:ashok01@gmail.com%20" TargetMode="External"/><Relationship Id="rId108" Type="http://schemas.openxmlformats.org/officeDocument/2006/relationships/hyperlink" Target="mailto:dinesh01@gmail.com%20" TargetMode="External"/><Relationship Id="rId129" Type="http://schemas.openxmlformats.org/officeDocument/2006/relationships/hyperlink" Target="mailto:dinesh01@gmail.com%20" TargetMode="External"/><Relationship Id="rId54" Type="http://schemas.openxmlformats.org/officeDocument/2006/relationships/hyperlink" Target="mailto:dinesh01@gmail.com%20" TargetMode="External"/><Relationship Id="rId75" Type="http://schemas.openxmlformats.org/officeDocument/2006/relationships/hyperlink" Target="mailto:dinesh01@gmail.com%20" TargetMode="External"/><Relationship Id="rId96" Type="http://schemas.openxmlformats.org/officeDocument/2006/relationships/hyperlink" Target="mailto:dinesh01@gmail.com%20" TargetMode="External"/><Relationship Id="rId140" Type="http://schemas.openxmlformats.org/officeDocument/2006/relationships/hyperlink" Target="mailto:dinesh01@gmail.com%20" TargetMode="External"/><Relationship Id="rId161" Type="http://schemas.openxmlformats.org/officeDocument/2006/relationships/hyperlink" Target="mailto:dinesh01@gmail.com%20" TargetMode="External"/><Relationship Id="rId6" Type="http://schemas.openxmlformats.org/officeDocument/2006/relationships/hyperlink" Target="mailto:vivaan01@gmail.com%20" TargetMode="External"/><Relationship Id="rId23" Type="http://schemas.openxmlformats.org/officeDocument/2006/relationships/hyperlink" Target="mailto:mukesh01@gmail.com%20" TargetMode="External"/><Relationship Id="rId119" Type="http://schemas.openxmlformats.org/officeDocument/2006/relationships/hyperlink" Target="mailto:dinesh01@gmail.com%20" TargetMode="External"/><Relationship Id="rId44" Type="http://schemas.openxmlformats.org/officeDocument/2006/relationships/hyperlink" Target="mailto:shubham01@gmail.com%20" TargetMode="External"/><Relationship Id="rId60" Type="http://schemas.openxmlformats.org/officeDocument/2006/relationships/hyperlink" Target="mailto:dinesh01@gmail.com%20" TargetMode="External"/><Relationship Id="rId65" Type="http://schemas.openxmlformats.org/officeDocument/2006/relationships/hyperlink" Target="mailto:dinesh01@gmail.com%20" TargetMode="External"/><Relationship Id="rId81" Type="http://schemas.openxmlformats.org/officeDocument/2006/relationships/hyperlink" Target="mailto:dinesh01@gmail.com%20" TargetMode="External"/><Relationship Id="rId86" Type="http://schemas.openxmlformats.org/officeDocument/2006/relationships/hyperlink" Target="mailto:dinesh01@gmail.com%20" TargetMode="External"/><Relationship Id="rId130" Type="http://schemas.openxmlformats.org/officeDocument/2006/relationships/hyperlink" Target="mailto:dinesh01@gmail.com%20" TargetMode="External"/><Relationship Id="rId135" Type="http://schemas.openxmlformats.org/officeDocument/2006/relationships/hyperlink" Target="mailto:dinesh01@gmail.com%20" TargetMode="External"/><Relationship Id="rId151" Type="http://schemas.openxmlformats.org/officeDocument/2006/relationships/hyperlink" Target="mailto:dinesh01@gmail.com%20" TargetMode="External"/><Relationship Id="rId156" Type="http://schemas.openxmlformats.org/officeDocument/2006/relationships/hyperlink" Target="mailto:dinesh01@gmail.com%20" TargetMode="External"/><Relationship Id="rId177" Type="http://schemas.openxmlformats.org/officeDocument/2006/relationships/hyperlink" Target="mailto:dinesh01@gmail.com%20" TargetMode="External"/><Relationship Id="rId172" Type="http://schemas.openxmlformats.org/officeDocument/2006/relationships/hyperlink" Target="mailto:dinesh01@gmail.com%20" TargetMode="External"/><Relationship Id="rId13" Type="http://schemas.openxmlformats.org/officeDocument/2006/relationships/hyperlink" Target="mailto:karan01@gmail.com%20" TargetMode="External"/><Relationship Id="rId18" Type="http://schemas.openxmlformats.org/officeDocument/2006/relationships/hyperlink" Target="mailto:deepak01@gmail.com%20" TargetMode="External"/><Relationship Id="rId39" Type="http://schemas.openxmlformats.org/officeDocument/2006/relationships/hyperlink" Target="mailto:harsh01@gmail.com%20" TargetMode="External"/><Relationship Id="rId109" Type="http://schemas.openxmlformats.org/officeDocument/2006/relationships/hyperlink" Target="mailto:dinesh01@gmail.com%20" TargetMode="External"/><Relationship Id="rId34" Type="http://schemas.openxmlformats.org/officeDocument/2006/relationships/hyperlink" Target="mailto:sunil01@gmail.com%20" TargetMode="External"/><Relationship Id="rId50" Type="http://schemas.openxmlformats.org/officeDocument/2006/relationships/hyperlink" Target="mailto:dinesh01@gmail.com%20" TargetMode="External"/><Relationship Id="rId55" Type="http://schemas.openxmlformats.org/officeDocument/2006/relationships/hyperlink" Target="mailto:dinesh01@gmail.com%20" TargetMode="External"/><Relationship Id="rId76" Type="http://schemas.openxmlformats.org/officeDocument/2006/relationships/hyperlink" Target="mailto:dinesh01@gmail.com%20" TargetMode="External"/><Relationship Id="rId97" Type="http://schemas.openxmlformats.org/officeDocument/2006/relationships/hyperlink" Target="mailto:dinesh01@gmail.com%20" TargetMode="External"/><Relationship Id="rId104" Type="http://schemas.openxmlformats.org/officeDocument/2006/relationships/hyperlink" Target="mailto:dinesh01@gmail.com%20" TargetMode="External"/><Relationship Id="rId120" Type="http://schemas.openxmlformats.org/officeDocument/2006/relationships/hyperlink" Target="mailto:dinesh01@gmail.com%20" TargetMode="External"/><Relationship Id="rId125" Type="http://schemas.openxmlformats.org/officeDocument/2006/relationships/hyperlink" Target="mailto:dinesh01@gmail.com%20" TargetMode="External"/><Relationship Id="rId141" Type="http://schemas.openxmlformats.org/officeDocument/2006/relationships/hyperlink" Target="mailto:dinesh01@gmail.com%20" TargetMode="External"/><Relationship Id="rId146" Type="http://schemas.openxmlformats.org/officeDocument/2006/relationships/hyperlink" Target="mailto:dinesh01@gmail.com%20" TargetMode="External"/><Relationship Id="rId167" Type="http://schemas.openxmlformats.org/officeDocument/2006/relationships/hyperlink" Target="mailto:dinesh01@gmail.com%20" TargetMode="External"/><Relationship Id="rId7" Type="http://schemas.openxmlformats.org/officeDocument/2006/relationships/hyperlink" Target="mailto:aditya01@gmail.com%20" TargetMode="External"/><Relationship Id="rId71" Type="http://schemas.openxmlformats.org/officeDocument/2006/relationships/hyperlink" Target="mailto:dinesh01@gmail.com%20" TargetMode="External"/><Relationship Id="rId92" Type="http://schemas.openxmlformats.org/officeDocument/2006/relationships/hyperlink" Target="mailto:dinesh01@gmail.com%20" TargetMode="External"/><Relationship Id="rId162" Type="http://schemas.openxmlformats.org/officeDocument/2006/relationships/hyperlink" Target="mailto:dinesh01@gmail.com%20" TargetMode="External"/><Relationship Id="rId2" Type="http://schemas.openxmlformats.org/officeDocument/2006/relationships/hyperlink" Target="mailto:sahil01@gmail.com" TargetMode="External"/><Relationship Id="rId29" Type="http://schemas.openxmlformats.org/officeDocument/2006/relationships/hyperlink" Target="mailto:sanjay01@gmail.com%20" TargetMode="External"/><Relationship Id="rId24" Type="http://schemas.openxmlformats.org/officeDocument/2006/relationships/hyperlink" Target="mailto:nitin01@gmail.com%20" TargetMode="External"/><Relationship Id="rId40" Type="http://schemas.openxmlformats.org/officeDocument/2006/relationships/hyperlink" Target="mailto:naveen01@gmail.com%20" TargetMode="External"/><Relationship Id="rId45" Type="http://schemas.openxmlformats.org/officeDocument/2006/relationships/hyperlink" Target="mailto:tushar02@gmail.com%20" TargetMode="External"/><Relationship Id="rId66" Type="http://schemas.openxmlformats.org/officeDocument/2006/relationships/hyperlink" Target="mailto:dinesh01@gmail.com%20" TargetMode="External"/><Relationship Id="rId87" Type="http://schemas.openxmlformats.org/officeDocument/2006/relationships/hyperlink" Target="mailto:dinesh01@gmail.com%20" TargetMode="External"/><Relationship Id="rId110" Type="http://schemas.openxmlformats.org/officeDocument/2006/relationships/hyperlink" Target="mailto:dinesh01@gmail.com%20" TargetMode="External"/><Relationship Id="rId115" Type="http://schemas.openxmlformats.org/officeDocument/2006/relationships/hyperlink" Target="mailto:dinesh01@gmail.com%20" TargetMode="External"/><Relationship Id="rId131" Type="http://schemas.openxmlformats.org/officeDocument/2006/relationships/hyperlink" Target="mailto:dinesh01@gmail.com%20" TargetMode="External"/><Relationship Id="rId136" Type="http://schemas.openxmlformats.org/officeDocument/2006/relationships/hyperlink" Target="mailto:dinesh01@gmail.com%20" TargetMode="External"/><Relationship Id="rId157" Type="http://schemas.openxmlformats.org/officeDocument/2006/relationships/hyperlink" Target="mailto:dinesh01@gmail.com%20" TargetMode="External"/><Relationship Id="rId178" Type="http://schemas.openxmlformats.org/officeDocument/2006/relationships/hyperlink" Target="mailto:dinesh01@gmail.com%20" TargetMode="External"/><Relationship Id="rId61" Type="http://schemas.openxmlformats.org/officeDocument/2006/relationships/hyperlink" Target="mailto:dinesh01@gmail.com%20" TargetMode="External"/><Relationship Id="rId82" Type="http://schemas.openxmlformats.org/officeDocument/2006/relationships/hyperlink" Target="mailto:dinesh01@gmail.com%20" TargetMode="External"/><Relationship Id="rId152" Type="http://schemas.openxmlformats.org/officeDocument/2006/relationships/hyperlink" Target="mailto:dinesh01@gmail.com%20" TargetMode="External"/><Relationship Id="rId173" Type="http://schemas.openxmlformats.org/officeDocument/2006/relationships/hyperlink" Target="mailto:dinesh01@gmail.com%20" TargetMode="External"/><Relationship Id="rId19" Type="http://schemas.openxmlformats.org/officeDocument/2006/relationships/hyperlink" Target="mailto:rakesh01@gmail.com%20" TargetMode="External"/><Relationship Id="rId14" Type="http://schemas.openxmlformats.org/officeDocument/2006/relationships/hyperlink" Target="mailto:varun01@gmail.com%20" TargetMode="External"/><Relationship Id="rId30" Type="http://schemas.openxmlformats.org/officeDocument/2006/relationships/hyperlink" Target="mailto:manoj01@gmail.com%20" TargetMode="External"/><Relationship Id="rId35" Type="http://schemas.openxmlformats.org/officeDocument/2006/relationships/hyperlink" Target="mailto:anil01@gmail.com%20" TargetMode="External"/><Relationship Id="rId56" Type="http://schemas.openxmlformats.org/officeDocument/2006/relationships/hyperlink" Target="mailto:dinesh01@gmail.com%20" TargetMode="External"/><Relationship Id="rId77" Type="http://schemas.openxmlformats.org/officeDocument/2006/relationships/hyperlink" Target="mailto:dinesh01@gmail.com%20" TargetMode="External"/><Relationship Id="rId100" Type="http://schemas.openxmlformats.org/officeDocument/2006/relationships/hyperlink" Target="mailto:dinesh01@gmail.com%20" TargetMode="External"/><Relationship Id="rId105" Type="http://schemas.openxmlformats.org/officeDocument/2006/relationships/hyperlink" Target="mailto:dinesh01@gmail.com%20" TargetMode="External"/><Relationship Id="rId126" Type="http://schemas.openxmlformats.org/officeDocument/2006/relationships/hyperlink" Target="mailto:dinesh01@gmail.com%20" TargetMode="External"/><Relationship Id="rId147" Type="http://schemas.openxmlformats.org/officeDocument/2006/relationships/hyperlink" Target="mailto:dinesh01@gmail.com%20" TargetMode="External"/><Relationship Id="rId168" Type="http://schemas.openxmlformats.org/officeDocument/2006/relationships/hyperlink" Target="mailto:dinesh01@gmail.com%20" TargetMode="External"/><Relationship Id="rId8" Type="http://schemas.openxmlformats.org/officeDocument/2006/relationships/hyperlink" Target="mailto:hemantmahawar67@gmail.com" TargetMode="External"/><Relationship Id="rId51" Type="http://schemas.openxmlformats.org/officeDocument/2006/relationships/hyperlink" Target="mailto:dinesh01@gmail.com%20" TargetMode="External"/><Relationship Id="rId72" Type="http://schemas.openxmlformats.org/officeDocument/2006/relationships/hyperlink" Target="mailto:dinesh01@gmail.com%20" TargetMode="External"/><Relationship Id="rId93" Type="http://schemas.openxmlformats.org/officeDocument/2006/relationships/hyperlink" Target="mailto:dinesh01@gmail.com%20" TargetMode="External"/><Relationship Id="rId98" Type="http://schemas.openxmlformats.org/officeDocument/2006/relationships/hyperlink" Target="mailto:dinesh01@gmail.com%20" TargetMode="External"/><Relationship Id="rId121" Type="http://schemas.openxmlformats.org/officeDocument/2006/relationships/hyperlink" Target="mailto:dinesh01@gmail.com%20" TargetMode="External"/><Relationship Id="rId142" Type="http://schemas.openxmlformats.org/officeDocument/2006/relationships/hyperlink" Target="mailto:dinesh01@gmail.com%20" TargetMode="External"/><Relationship Id="rId163" Type="http://schemas.openxmlformats.org/officeDocument/2006/relationships/hyperlink" Target="mailto:dinesh01@gmail.com%20" TargetMode="External"/><Relationship Id="rId3" Type="http://schemas.openxmlformats.org/officeDocument/2006/relationships/hyperlink" Target="mailto:prakash01@gmail.com" TargetMode="External"/><Relationship Id="rId25" Type="http://schemas.openxmlformats.org/officeDocument/2006/relationships/hyperlink" Target="mailto:sumit01@gmail.com%20" TargetMode="External"/><Relationship Id="rId46" Type="http://schemas.openxmlformats.org/officeDocument/2006/relationships/hyperlink" Target="mailto:nikhil01@gmail.com%20" TargetMode="External"/><Relationship Id="rId67" Type="http://schemas.openxmlformats.org/officeDocument/2006/relationships/hyperlink" Target="mailto:dinesh01@gmail.com%20" TargetMode="External"/><Relationship Id="rId116" Type="http://schemas.openxmlformats.org/officeDocument/2006/relationships/hyperlink" Target="mailto:dinesh01@gmail.com%20" TargetMode="External"/><Relationship Id="rId137" Type="http://schemas.openxmlformats.org/officeDocument/2006/relationships/hyperlink" Target="mailto:dinesh01@gmail.com%20" TargetMode="External"/><Relationship Id="rId158" Type="http://schemas.openxmlformats.org/officeDocument/2006/relationships/hyperlink" Target="mailto:dinesh01@gmail.com%20" TargetMode="External"/><Relationship Id="rId20" Type="http://schemas.openxmlformats.org/officeDocument/2006/relationships/hyperlink" Target="mailto:suresh01@gmail.com%20" TargetMode="External"/><Relationship Id="rId41" Type="http://schemas.openxmlformats.org/officeDocument/2006/relationships/hyperlink" Target="mailto:gaurav01@gmail.com%20" TargetMode="External"/><Relationship Id="rId62" Type="http://schemas.openxmlformats.org/officeDocument/2006/relationships/hyperlink" Target="mailto:dinesh01@gmail.com%20" TargetMode="External"/><Relationship Id="rId83" Type="http://schemas.openxmlformats.org/officeDocument/2006/relationships/hyperlink" Target="mailto:dinesh01@gmail.com%20" TargetMode="External"/><Relationship Id="rId88" Type="http://schemas.openxmlformats.org/officeDocument/2006/relationships/hyperlink" Target="mailto:dinesh01@gmail.com%20" TargetMode="External"/><Relationship Id="rId111" Type="http://schemas.openxmlformats.org/officeDocument/2006/relationships/hyperlink" Target="mailto:dinesh01@gmail.com%20" TargetMode="External"/><Relationship Id="rId132" Type="http://schemas.openxmlformats.org/officeDocument/2006/relationships/hyperlink" Target="mailto:dinesh01@gmail.com%20" TargetMode="External"/><Relationship Id="rId153" Type="http://schemas.openxmlformats.org/officeDocument/2006/relationships/hyperlink" Target="mailto:dinesh01@gmail.com%20" TargetMode="External"/><Relationship Id="rId174" Type="http://schemas.openxmlformats.org/officeDocument/2006/relationships/hyperlink" Target="mailto:dinesh01@gmail.com%20" TargetMode="External"/><Relationship Id="rId179" Type="http://schemas.openxmlformats.org/officeDocument/2006/relationships/hyperlink" Target="mailto:dinesh01@gmail.com%20" TargetMode="External"/><Relationship Id="rId15" Type="http://schemas.openxmlformats.org/officeDocument/2006/relationships/hyperlink" Target="mailto:vikram01@gmail.com%20" TargetMode="External"/><Relationship Id="rId36" Type="http://schemas.openxmlformats.org/officeDocument/2006/relationships/hyperlink" Target="mailto:sachin01@gmail.com%20" TargetMode="External"/><Relationship Id="rId57" Type="http://schemas.openxmlformats.org/officeDocument/2006/relationships/hyperlink" Target="mailto:dinesh01@gmail.com%20" TargetMode="External"/><Relationship Id="rId106" Type="http://schemas.openxmlformats.org/officeDocument/2006/relationships/hyperlink" Target="mailto:dinesh01@gmail.com%20" TargetMode="External"/><Relationship Id="rId127" Type="http://schemas.openxmlformats.org/officeDocument/2006/relationships/hyperlink" Target="mailto:dinesh01@gmail.com%20" TargetMode="External"/><Relationship Id="rId10" Type="http://schemas.openxmlformats.org/officeDocument/2006/relationships/hyperlink" Target="mailto:arjun01@gmail.com%20" TargetMode="External"/><Relationship Id="rId31" Type="http://schemas.openxmlformats.org/officeDocument/2006/relationships/hyperlink" Target="mailto:pankaj01@gmail.com%20" TargetMode="External"/><Relationship Id="rId52" Type="http://schemas.openxmlformats.org/officeDocument/2006/relationships/hyperlink" Target="mailto:dinesh01@gmail.com%20" TargetMode="External"/><Relationship Id="rId73" Type="http://schemas.openxmlformats.org/officeDocument/2006/relationships/hyperlink" Target="mailto:dinesh01@gmail.com%20" TargetMode="External"/><Relationship Id="rId78" Type="http://schemas.openxmlformats.org/officeDocument/2006/relationships/hyperlink" Target="mailto:dinesh01@gmail.com%20" TargetMode="External"/><Relationship Id="rId94" Type="http://schemas.openxmlformats.org/officeDocument/2006/relationships/hyperlink" Target="mailto:dinesh01@gmail.com%20" TargetMode="External"/><Relationship Id="rId99" Type="http://schemas.openxmlformats.org/officeDocument/2006/relationships/hyperlink" Target="mailto:dinesh01@gmail.com%20" TargetMode="External"/><Relationship Id="rId101" Type="http://schemas.openxmlformats.org/officeDocument/2006/relationships/hyperlink" Target="mailto:dinesh01@gmail.com%20" TargetMode="External"/><Relationship Id="rId122" Type="http://schemas.openxmlformats.org/officeDocument/2006/relationships/hyperlink" Target="mailto:dinesh01@gmail.com%20" TargetMode="External"/><Relationship Id="rId143" Type="http://schemas.openxmlformats.org/officeDocument/2006/relationships/hyperlink" Target="mailto:dinesh01@gmail.com%20" TargetMode="External"/><Relationship Id="rId148" Type="http://schemas.openxmlformats.org/officeDocument/2006/relationships/hyperlink" Target="mailto:dinesh01@gmail.com%20" TargetMode="External"/><Relationship Id="rId164" Type="http://schemas.openxmlformats.org/officeDocument/2006/relationships/hyperlink" Target="mailto:dinesh01@gmail.com%20" TargetMode="External"/><Relationship Id="rId169" Type="http://schemas.openxmlformats.org/officeDocument/2006/relationships/hyperlink" Target="mailto:dinesh01@gmail.com%20" TargetMode="External"/><Relationship Id="rId4" Type="http://schemas.openxmlformats.org/officeDocument/2006/relationships/hyperlink" Target="mailto:chirag01@gmail.com%20" TargetMode="External"/><Relationship Id="rId9" Type="http://schemas.openxmlformats.org/officeDocument/2006/relationships/hyperlink" Target="mailto:anuj123@gmail.com" TargetMode="External"/><Relationship Id="rId180" Type="http://schemas.openxmlformats.org/officeDocument/2006/relationships/vmlDrawing" Target="../drawings/vmlDrawing2.vml"/><Relationship Id="rId26" Type="http://schemas.openxmlformats.org/officeDocument/2006/relationships/hyperlink" Target="mailto:ravi01@gmail.com%20" TargetMode="External"/><Relationship Id="rId47" Type="http://schemas.openxmlformats.org/officeDocument/2006/relationships/hyperlink" Target="mailto:aayush01@gmail.com%20" TargetMode="External"/><Relationship Id="rId68" Type="http://schemas.openxmlformats.org/officeDocument/2006/relationships/hyperlink" Target="mailto:dinesh01@gmail.com%20" TargetMode="External"/><Relationship Id="rId89" Type="http://schemas.openxmlformats.org/officeDocument/2006/relationships/hyperlink" Target="mailto:dinesh01@gmail.com%20" TargetMode="External"/><Relationship Id="rId112" Type="http://schemas.openxmlformats.org/officeDocument/2006/relationships/hyperlink" Target="mailto:dinesh01@gmail.com%20" TargetMode="External"/><Relationship Id="rId133" Type="http://schemas.openxmlformats.org/officeDocument/2006/relationships/hyperlink" Target="mailto:dinesh01@gmail.com%20" TargetMode="External"/><Relationship Id="rId154" Type="http://schemas.openxmlformats.org/officeDocument/2006/relationships/hyperlink" Target="mailto:dinesh01@gmail.com%20" TargetMode="External"/><Relationship Id="rId175" Type="http://schemas.openxmlformats.org/officeDocument/2006/relationships/hyperlink" Target="mailto:dinesh01@gmail.com%20" TargetMode="External"/><Relationship Id="rId16" Type="http://schemas.openxmlformats.org/officeDocument/2006/relationships/hyperlink" Target="mailto:ankit01@gmail.com%20" TargetMode="External"/><Relationship Id="rId37" Type="http://schemas.openxmlformats.org/officeDocument/2006/relationships/hyperlink" Target="mailto:rohit01@gmail.com%20" TargetMode="External"/><Relationship Id="rId58" Type="http://schemas.openxmlformats.org/officeDocument/2006/relationships/hyperlink" Target="mailto:dinesh01@gmail.com%20" TargetMode="External"/><Relationship Id="rId79" Type="http://schemas.openxmlformats.org/officeDocument/2006/relationships/hyperlink" Target="mailto:dinesh01@gmail.com%20" TargetMode="External"/><Relationship Id="rId102" Type="http://schemas.openxmlformats.org/officeDocument/2006/relationships/hyperlink" Target="mailto:dinesh01@gmail.com%20" TargetMode="External"/><Relationship Id="rId123" Type="http://schemas.openxmlformats.org/officeDocument/2006/relationships/hyperlink" Target="mailto:dinesh01@gmail.com%20" TargetMode="External"/><Relationship Id="rId144" Type="http://schemas.openxmlformats.org/officeDocument/2006/relationships/hyperlink" Target="mailto:dinesh01@gmail.com%20" TargetMode="External"/><Relationship Id="rId90" Type="http://schemas.openxmlformats.org/officeDocument/2006/relationships/hyperlink" Target="mailto:dinesh01@gmail.com%20" TargetMode="External"/><Relationship Id="rId165" Type="http://schemas.openxmlformats.org/officeDocument/2006/relationships/hyperlink" Target="mailto:dinesh01@gmail.com%20" TargetMode="External"/><Relationship Id="rId27" Type="http://schemas.openxmlformats.org/officeDocument/2006/relationships/hyperlink" Target="mailto:ajay01@gmail.com%20" TargetMode="External"/><Relationship Id="rId48" Type="http://schemas.openxmlformats.org/officeDocument/2006/relationships/hyperlink" Target="mailto:mohit01@gmail.com%20" TargetMode="External"/><Relationship Id="rId69" Type="http://schemas.openxmlformats.org/officeDocument/2006/relationships/hyperlink" Target="mailto:dinesh01@gmail.com%20" TargetMode="External"/><Relationship Id="rId113" Type="http://schemas.openxmlformats.org/officeDocument/2006/relationships/hyperlink" Target="mailto:dinesh01@gmail.com%20" TargetMode="External"/><Relationship Id="rId134" Type="http://schemas.openxmlformats.org/officeDocument/2006/relationships/hyperlink" Target="mailto:dinesh01@gmail.com%20" TargetMode="External"/><Relationship Id="rId80" Type="http://schemas.openxmlformats.org/officeDocument/2006/relationships/hyperlink" Target="mailto:dinesh01@gmail.com%20" TargetMode="External"/><Relationship Id="rId155" Type="http://schemas.openxmlformats.org/officeDocument/2006/relationships/hyperlink" Target="mailto:dinesh01@gmail.com%20" TargetMode="External"/><Relationship Id="rId176" Type="http://schemas.openxmlformats.org/officeDocument/2006/relationships/hyperlink" Target="mailto:dinesh01@gmail.com%20" TargetMode="External"/><Relationship Id="rId17" Type="http://schemas.openxmlformats.org/officeDocument/2006/relationships/hyperlink" Target="mailto:akash01@gmail.com%20" TargetMode="External"/><Relationship Id="rId38" Type="http://schemas.openxmlformats.org/officeDocument/2006/relationships/hyperlink" Target="mailto:abhishek01@gmail.com%20" TargetMode="External"/><Relationship Id="rId59" Type="http://schemas.openxmlformats.org/officeDocument/2006/relationships/hyperlink" Target="mailto:dinesh01@gmail.com%20" TargetMode="External"/><Relationship Id="rId103" Type="http://schemas.openxmlformats.org/officeDocument/2006/relationships/hyperlink" Target="mailto:dinesh01@gmail.com%20" TargetMode="External"/><Relationship Id="rId124" Type="http://schemas.openxmlformats.org/officeDocument/2006/relationships/hyperlink" Target="mailto:dinesh01@gmail.com%20" TargetMode="External"/><Relationship Id="rId70" Type="http://schemas.openxmlformats.org/officeDocument/2006/relationships/hyperlink" Target="mailto:dinesh01@gmail.com%20" TargetMode="External"/><Relationship Id="rId91" Type="http://schemas.openxmlformats.org/officeDocument/2006/relationships/hyperlink" Target="mailto:dinesh01@gmail.com%20" TargetMode="External"/><Relationship Id="rId145" Type="http://schemas.openxmlformats.org/officeDocument/2006/relationships/hyperlink" Target="mailto:dinesh01@gmail.com%20" TargetMode="External"/><Relationship Id="rId166" Type="http://schemas.openxmlformats.org/officeDocument/2006/relationships/hyperlink" Target="mailto:dinesh01@gmail.com%20" TargetMode="External"/><Relationship Id="rId1" Type="http://schemas.openxmlformats.org/officeDocument/2006/relationships/hyperlink" Target="mailto:tushar01@gmail.com" TargetMode="External"/><Relationship Id="rId28" Type="http://schemas.openxmlformats.org/officeDocument/2006/relationships/hyperlink" Target="mailto:vijay01@gmail.com%20" TargetMode="External"/><Relationship Id="rId49" Type="http://schemas.openxmlformats.org/officeDocument/2006/relationships/hyperlink" Target="mailto:hemant01@gmail.com%20" TargetMode="External"/><Relationship Id="rId114" Type="http://schemas.openxmlformats.org/officeDocument/2006/relationships/hyperlink" Target="mailto:dinesh01@gmail.com%20" TargetMode="External"/></Relationships>
</file>

<file path=xl/worksheets/_rels/sheet2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2D559-5B19-4148-88BF-1E8AB1BF6EAB}">
  <sheetPr codeName="Sheet1"/>
  <dimension ref="A1:Z61"/>
  <sheetViews>
    <sheetView workbookViewId="0">
      <selection activeCell="I11" sqref="I11"/>
    </sheetView>
  </sheetViews>
  <sheetFormatPr defaultRowHeight="15" x14ac:dyDescent="0.25"/>
  <cols>
    <col min="1" max="1" width="10.7109375" customWidth="1"/>
    <col min="2" max="2" width="24.7109375" customWidth="1"/>
    <col min="3" max="3" width="12.140625" customWidth="1"/>
    <col min="4" max="9" width="13.7109375" customWidth="1"/>
    <col min="10" max="10" width="10.7109375" customWidth="1"/>
    <col min="11" max="11" width="16.7109375" customWidth="1"/>
    <col min="12" max="14" width="12.140625" customWidth="1"/>
    <col min="15" max="15" width="17.5703125" customWidth="1"/>
    <col min="16" max="16" width="22.85546875" customWidth="1"/>
    <col min="17" max="24" width="13.7109375" customWidth="1"/>
    <col min="25" max="26" width="15.28515625" customWidth="1"/>
  </cols>
  <sheetData>
    <row r="1" spans="1:26" ht="27.95" customHeight="1" x14ac:dyDescent="0.25">
      <c r="A1" s="438" t="s">
        <v>1998</v>
      </c>
      <c r="B1" s="439"/>
      <c r="C1" s="439"/>
      <c r="D1" s="439"/>
      <c r="E1" s="439"/>
      <c r="F1" s="439"/>
      <c r="G1" s="439"/>
      <c r="H1" s="439"/>
      <c r="I1" s="439"/>
      <c r="J1" s="439"/>
      <c r="K1" s="439"/>
      <c r="L1" s="439"/>
      <c r="M1" s="439"/>
      <c r="N1" s="439"/>
      <c r="O1" s="439"/>
      <c r="P1" s="439"/>
      <c r="Q1" s="439"/>
      <c r="R1" s="439"/>
      <c r="S1" s="439"/>
      <c r="T1" s="439"/>
      <c r="U1" s="439"/>
      <c r="V1" s="439"/>
      <c r="W1" s="439"/>
      <c r="X1" s="439"/>
      <c r="Y1" s="439"/>
      <c r="Z1" s="440"/>
    </row>
    <row r="2" spans="1:26" ht="27.95" customHeight="1" x14ac:dyDescent="0.25">
      <c r="A2" s="352" t="s">
        <v>1999</v>
      </c>
      <c r="B2" s="417" t="s">
        <v>2507</v>
      </c>
      <c r="C2" s="417" t="s">
        <v>2508</v>
      </c>
      <c r="D2" s="417" t="s">
        <v>2000</v>
      </c>
      <c r="E2" s="352" t="s">
        <v>665</v>
      </c>
      <c r="F2" s="352" t="s">
        <v>2001</v>
      </c>
      <c r="G2" s="352" t="s">
        <v>2002</v>
      </c>
      <c r="H2" s="352" t="s">
        <v>2003</v>
      </c>
      <c r="I2" s="352" t="s">
        <v>1887</v>
      </c>
      <c r="J2" s="352" t="s">
        <v>2004</v>
      </c>
      <c r="K2" s="352" t="s">
        <v>21</v>
      </c>
      <c r="L2" s="352" t="s">
        <v>2005</v>
      </c>
      <c r="M2" s="352" t="s">
        <v>2006</v>
      </c>
      <c r="N2" s="352" t="s">
        <v>2007</v>
      </c>
      <c r="O2" s="352" t="s">
        <v>2008</v>
      </c>
      <c r="P2" s="352" t="s">
        <v>2009</v>
      </c>
      <c r="Q2" s="352" t="s">
        <v>2010</v>
      </c>
      <c r="R2" s="352" t="s">
        <v>1964</v>
      </c>
      <c r="S2" s="352" t="s">
        <v>2011</v>
      </c>
      <c r="T2" s="352" t="s">
        <v>2012</v>
      </c>
      <c r="U2" s="352" t="s">
        <v>2013</v>
      </c>
      <c r="V2" s="352" t="s">
        <v>2014</v>
      </c>
      <c r="W2" s="352" t="s">
        <v>2015</v>
      </c>
      <c r="X2" s="371" t="s">
        <v>2039</v>
      </c>
      <c r="Y2" s="371" t="s">
        <v>2040</v>
      </c>
      <c r="Z2" s="371" t="s">
        <v>2041</v>
      </c>
    </row>
    <row r="3" spans="1:26" x14ac:dyDescent="0.25">
      <c r="A3" s="404">
        <v>1</v>
      </c>
      <c r="B3" s="412" t="s">
        <v>2505</v>
      </c>
      <c r="C3" s="404">
        <v>1</v>
      </c>
      <c r="D3" s="405">
        <v>76</v>
      </c>
      <c r="E3" s="405">
        <v>94</v>
      </c>
      <c r="F3" s="405">
        <v>53</v>
      </c>
      <c r="G3" s="405">
        <v>56</v>
      </c>
      <c r="H3" s="405">
        <v>54</v>
      </c>
      <c r="I3" s="405">
        <v>98</v>
      </c>
      <c r="J3" s="405">
        <v>77</v>
      </c>
      <c r="K3" s="414">
        <f>SUM(D3:J3)</f>
        <v>508</v>
      </c>
      <c r="L3" s="405">
        <f>MIN(D3:J3)</f>
        <v>53</v>
      </c>
      <c r="M3" s="405">
        <f>MAX(D3:J3)</f>
        <v>98</v>
      </c>
      <c r="N3" s="406">
        <f>K3/7</f>
        <v>72.571428571428569</v>
      </c>
      <c r="O3" s="407" t="str">
        <f t="shared" ref="O3:O28" si="0">IF(AND(COUNT(D3:J3)=7,MIN(D3:J3)&gt;=33),"Pass","Fail")</f>
        <v>Pass</v>
      </c>
      <c r="P3" s="407" t="str">
        <f t="shared" ref="P3:P28" si="1">IF(K3&gt;100,"Pass","Fail")</f>
        <v>Pass</v>
      </c>
      <c r="Q3" s="407" t="str">
        <f t="shared" ref="Q3:Q28" si="2">IF(N3&gt;33,"Pass","Fail")</f>
        <v>Pass</v>
      </c>
      <c r="R3" s="415">
        <f t="shared" ref="R3:R28" si="3">RANK(N3,$N$3:$N$28,0)</f>
        <v>5</v>
      </c>
      <c r="S3" s="407" t="str">
        <f t="shared" ref="S3:S28" si="4">IF(O3="Fail","Compartment","—")</f>
        <v>—</v>
      </c>
      <c r="T3" s="407" t="str">
        <f t="shared" ref="T3:T28" si="5">IF(N3&gt;=80,"A",IF(N3&gt;=60,"B",IF(N3&gt;=40,"C",IF(N3&gt;=33,"D","F"))))</f>
        <v>B</v>
      </c>
      <c r="U3" s="407">
        <f>COUNT(D3:J3)</f>
        <v>7</v>
      </c>
      <c r="V3" s="407">
        <f>COUNTA(C3:J3)</f>
        <v>8</v>
      </c>
      <c r="W3" s="407">
        <f>COUNTIF(D3:J3,"&lt;33")</f>
        <v>0</v>
      </c>
      <c r="X3" s="404">
        <f t="shared" ref="X3:X28" si="6">COUNTIF(D3:J3,"&gt;33")</f>
        <v>7</v>
      </c>
      <c r="Y3" s="404">
        <f t="shared" ref="Y3:Y28" si="7">COUNTIF(D3:J3,"&gt;=33")</f>
        <v>7</v>
      </c>
      <c r="Z3" s="404">
        <f t="shared" ref="Z3:Z28" si="8">COUNTBLANK(D3:J3)</f>
        <v>0</v>
      </c>
    </row>
    <row r="4" spans="1:26" x14ac:dyDescent="0.25">
      <c r="A4" s="408">
        <v>2</v>
      </c>
      <c r="B4" s="413" t="s">
        <v>2506</v>
      </c>
      <c r="C4" s="408">
        <v>2</v>
      </c>
      <c r="D4" s="409">
        <v>54</v>
      </c>
      <c r="E4" s="409">
        <v>81</v>
      </c>
      <c r="F4" s="409">
        <v>94</v>
      </c>
      <c r="G4" s="409">
        <v>60</v>
      </c>
      <c r="H4" s="409">
        <v>86</v>
      </c>
      <c r="I4" s="409">
        <v>85</v>
      </c>
      <c r="J4" s="409">
        <v>34</v>
      </c>
      <c r="K4" s="414">
        <f t="shared" ref="K4:K13" si="9">SUM(D4:J4)</f>
        <v>494</v>
      </c>
      <c r="L4" s="409">
        <f t="shared" ref="L4:L13" si="10">MIN(D4:J4)</f>
        <v>34</v>
      </c>
      <c r="M4" s="409">
        <f t="shared" ref="M4:M13" si="11">MAX(D4:J4)</f>
        <v>94</v>
      </c>
      <c r="N4" s="410">
        <f t="shared" ref="N4:N13" si="12">K4/7</f>
        <v>70.571428571428569</v>
      </c>
      <c r="O4" s="411" t="str">
        <f t="shared" si="0"/>
        <v>Pass</v>
      </c>
      <c r="P4" s="411" t="str">
        <f t="shared" si="1"/>
        <v>Pass</v>
      </c>
      <c r="Q4" s="411" t="str">
        <f t="shared" si="2"/>
        <v>Pass</v>
      </c>
      <c r="R4" s="416">
        <f t="shared" si="3"/>
        <v>10</v>
      </c>
      <c r="S4" s="411" t="str">
        <f t="shared" si="4"/>
        <v>—</v>
      </c>
      <c r="T4" s="411" t="str">
        <f t="shared" si="5"/>
        <v>B</v>
      </c>
      <c r="U4" s="411">
        <f t="shared" ref="U4:U13" si="13">COUNT(D4:J4)</f>
        <v>7</v>
      </c>
      <c r="V4" s="411">
        <f t="shared" ref="V4:V13" si="14">COUNTA(C4:J4)</f>
        <v>8</v>
      </c>
      <c r="W4" s="411">
        <f t="shared" ref="W4:W13" si="15">COUNTIF(D4:J4,"&lt;33")</f>
        <v>0</v>
      </c>
      <c r="X4" s="408">
        <f t="shared" si="6"/>
        <v>7</v>
      </c>
      <c r="Y4" s="408">
        <f t="shared" si="7"/>
        <v>7</v>
      </c>
      <c r="Z4" s="408">
        <f t="shared" si="8"/>
        <v>0</v>
      </c>
    </row>
    <row r="5" spans="1:26" x14ac:dyDescent="0.25">
      <c r="A5" s="356">
        <v>3</v>
      </c>
      <c r="B5" s="357" t="s">
        <v>2016</v>
      </c>
      <c r="C5" s="356">
        <v>3</v>
      </c>
      <c r="D5" s="358">
        <v>61</v>
      </c>
      <c r="E5" s="358">
        <v>67</v>
      </c>
      <c r="F5" s="358">
        <v>33</v>
      </c>
      <c r="G5" s="358">
        <v>95</v>
      </c>
      <c r="H5" s="358">
        <v>97</v>
      </c>
      <c r="I5" s="358">
        <v>58</v>
      </c>
      <c r="J5" s="358">
        <v>92</v>
      </c>
      <c r="K5" s="366">
        <f t="shared" si="9"/>
        <v>503</v>
      </c>
      <c r="L5" s="358">
        <f t="shared" si="10"/>
        <v>33</v>
      </c>
      <c r="M5" s="358">
        <f t="shared" si="11"/>
        <v>97</v>
      </c>
      <c r="N5" s="359">
        <f t="shared" si="12"/>
        <v>71.857142857142861</v>
      </c>
      <c r="O5" s="360" t="str">
        <f t="shared" si="0"/>
        <v>Pass</v>
      </c>
      <c r="P5" s="360" t="str">
        <f t="shared" si="1"/>
        <v>Pass</v>
      </c>
      <c r="Q5" s="360" t="str">
        <f t="shared" si="2"/>
        <v>Pass</v>
      </c>
      <c r="R5" s="367">
        <f t="shared" si="3"/>
        <v>7</v>
      </c>
      <c r="S5" s="360" t="str">
        <f t="shared" si="4"/>
        <v>—</v>
      </c>
      <c r="T5" s="360" t="str">
        <f t="shared" si="5"/>
        <v>B</v>
      </c>
      <c r="U5" s="360">
        <f t="shared" si="13"/>
        <v>7</v>
      </c>
      <c r="V5" s="360">
        <f t="shared" si="14"/>
        <v>8</v>
      </c>
      <c r="W5" s="360">
        <f t="shared" si="15"/>
        <v>0</v>
      </c>
      <c r="X5" s="354">
        <f t="shared" si="6"/>
        <v>6</v>
      </c>
      <c r="Y5" s="354">
        <f t="shared" si="7"/>
        <v>7</v>
      </c>
      <c r="Z5" s="354">
        <f t="shared" si="8"/>
        <v>0</v>
      </c>
    </row>
    <row r="6" spans="1:26" x14ac:dyDescent="0.25">
      <c r="A6" s="361">
        <v>4</v>
      </c>
      <c r="B6" s="362" t="s">
        <v>2263</v>
      </c>
      <c r="C6" s="361">
        <v>4</v>
      </c>
      <c r="D6" s="363">
        <v>87</v>
      </c>
      <c r="E6" s="363">
        <v>72</v>
      </c>
      <c r="F6" s="363"/>
      <c r="G6" s="363">
        <v>37</v>
      </c>
      <c r="H6" s="363">
        <v>52</v>
      </c>
      <c r="I6" s="363">
        <v>34</v>
      </c>
      <c r="J6" s="363">
        <v>66</v>
      </c>
      <c r="K6" s="366">
        <f t="shared" si="9"/>
        <v>348</v>
      </c>
      <c r="L6" s="363">
        <f t="shared" si="10"/>
        <v>34</v>
      </c>
      <c r="M6" s="363">
        <f t="shared" si="11"/>
        <v>87</v>
      </c>
      <c r="N6" s="364">
        <f t="shared" si="12"/>
        <v>49.714285714285715</v>
      </c>
      <c r="O6" s="365" t="str">
        <f t="shared" si="0"/>
        <v>Fail</v>
      </c>
      <c r="P6" s="365" t="str">
        <f t="shared" si="1"/>
        <v>Pass</v>
      </c>
      <c r="Q6" s="365" t="str">
        <f t="shared" si="2"/>
        <v>Pass</v>
      </c>
      <c r="R6" s="368">
        <f t="shared" si="3"/>
        <v>22</v>
      </c>
      <c r="S6" s="365" t="str">
        <f t="shared" si="4"/>
        <v>Compartment</v>
      </c>
      <c r="T6" s="365" t="str">
        <f t="shared" si="5"/>
        <v>C</v>
      </c>
      <c r="U6" s="365">
        <f t="shared" si="13"/>
        <v>6</v>
      </c>
      <c r="V6" s="365">
        <f t="shared" si="14"/>
        <v>7</v>
      </c>
      <c r="W6" s="365">
        <f t="shared" si="15"/>
        <v>0</v>
      </c>
      <c r="X6" s="354">
        <f t="shared" si="6"/>
        <v>6</v>
      </c>
      <c r="Y6" s="354">
        <f t="shared" si="7"/>
        <v>6</v>
      </c>
      <c r="Z6" s="354">
        <f t="shared" si="8"/>
        <v>1</v>
      </c>
    </row>
    <row r="7" spans="1:26" x14ac:dyDescent="0.25">
      <c r="A7" s="356">
        <v>5</v>
      </c>
      <c r="B7" s="357" t="s">
        <v>2017</v>
      </c>
      <c r="C7" s="356">
        <v>5</v>
      </c>
      <c r="D7" s="358">
        <v>45</v>
      </c>
      <c r="E7" s="358">
        <v>69</v>
      </c>
      <c r="F7" s="358">
        <v>100</v>
      </c>
      <c r="G7" s="358">
        <v>39</v>
      </c>
      <c r="H7" s="358" t="s">
        <v>6</v>
      </c>
      <c r="I7" s="358">
        <v>86</v>
      </c>
      <c r="J7" s="358">
        <v>57</v>
      </c>
      <c r="K7" s="366">
        <f t="shared" si="9"/>
        <v>396</v>
      </c>
      <c r="L7" s="358">
        <f t="shared" si="10"/>
        <v>39</v>
      </c>
      <c r="M7" s="358">
        <f t="shared" si="11"/>
        <v>100</v>
      </c>
      <c r="N7" s="359">
        <f t="shared" si="12"/>
        <v>56.571428571428569</v>
      </c>
      <c r="O7" s="360" t="str">
        <f t="shared" si="0"/>
        <v>Fail</v>
      </c>
      <c r="P7" s="360" t="str">
        <f t="shared" si="1"/>
        <v>Pass</v>
      </c>
      <c r="Q7" s="360" t="str">
        <f t="shared" si="2"/>
        <v>Pass</v>
      </c>
      <c r="R7" s="367">
        <f t="shared" si="3"/>
        <v>20</v>
      </c>
      <c r="S7" s="360" t="str">
        <f t="shared" si="4"/>
        <v>Compartment</v>
      </c>
      <c r="T7" s="360" t="str">
        <f t="shared" si="5"/>
        <v>C</v>
      </c>
      <c r="U7" s="360">
        <f t="shared" si="13"/>
        <v>6</v>
      </c>
      <c r="V7" s="360">
        <f t="shared" si="14"/>
        <v>8</v>
      </c>
      <c r="W7" s="360">
        <f t="shared" si="15"/>
        <v>0</v>
      </c>
      <c r="X7" s="354">
        <f t="shared" si="6"/>
        <v>6</v>
      </c>
      <c r="Y7" s="354">
        <f t="shared" si="7"/>
        <v>6</v>
      </c>
      <c r="Z7" s="354">
        <f t="shared" si="8"/>
        <v>0</v>
      </c>
    </row>
    <row r="8" spans="1:26" x14ac:dyDescent="0.25">
      <c r="A8" s="361">
        <v>6</v>
      </c>
      <c r="B8" s="362" t="s">
        <v>2018</v>
      </c>
      <c r="C8" s="361">
        <v>6</v>
      </c>
      <c r="D8" s="363">
        <v>44</v>
      </c>
      <c r="E8" s="363">
        <v>60</v>
      </c>
      <c r="F8" s="363">
        <v>82</v>
      </c>
      <c r="G8" s="363">
        <v>83</v>
      </c>
      <c r="H8" s="363">
        <v>67</v>
      </c>
      <c r="I8" s="363">
        <v>80</v>
      </c>
      <c r="J8" s="363">
        <v>72</v>
      </c>
      <c r="K8" s="366">
        <f t="shared" si="9"/>
        <v>488</v>
      </c>
      <c r="L8" s="363">
        <f t="shared" si="10"/>
        <v>44</v>
      </c>
      <c r="M8" s="363">
        <f t="shared" si="11"/>
        <v>83</v>
      </c>
      <c r="N8" s="364">
        <f t="shared" si="12"/>
        <v>69.714285714285708</v>
      </c>
      <c r="O8" s="365" t="str">
        <f t="shared" si="0"/>
        <v>Pass</v>
      </c>
      <c r="P8" s="365" t="str">
        <f t="shared" si="1"/>
        <v>Pass</v>
      </c>
      <c r="Q8" s="365" t="str">
        <f t="shared" si="2"/>
        <v>Pass</v>
      </c>
      <c r="R8" s="368">
        <f t="shared" si="3"/>
        <v>12</v>
      </c>
      <c r="S8" s="365" t="str">
        <f t="shared" si="4"/>
        <v>—</v>
      </c>
      <c r="T8" s="365" t="str">
        <f t="shared" si="5"/>
        <v>B</v>
      </c>
      <c r="U8" s="365">
        <f t="shared" si="13"/>
        <v>7</v>
      </c>
      <c r="V8" s="365">
        <f t="shared" si="14"/>
        <v>8</v>
      </c>
      <c r="W8" s="365">
        <f t="shared" si="15"/>
        <v>0</v>
      </c>
      <c r="X8" s="354">
        <f t="shared" si="6"/>
        <v>7</v>
      </c>
      <c r="Y8" s="354">
        <f t="shared" si="7"/>
        <v>7</v>
      </c>
      <c r="Z8" s="354">
        <f t="shared" si="8"/>
        <v>0</v>
      </c>
    </row>
    <row r="9" spans="1:26" x14ac:dyDescent="0.25">
      <c r="A9" s="356">
        <v>7</v>
      </c>
      <c r="B9" s="357" t="s">
        <v>2019</v>
      </c>
      <c r="C9" s="356">
        <v>7</v>
      </c>
      <c r="D9" s="358">
        <v>70</v>
      </c>
      <c r="E9" s="358">
        <v>50</v>
      </c>
      <c r="F9" s="358">
        <v>74</v>
      </c>
      <c r="G9" s="358">
        <v>53</v>
      </c>
      <c r="H9" s="358">
        <v>85</v>
      </c>
      <c r="I9" s="358">
        <v>78</v>
      </c>
      <c r="J9" s="358">
        <v>63</v>
      </c>
      <c r="K9" s="366">
        <f t="shared" si="9"/>
        <v>473</v>
      </c>
      <c r="L9" s="358">
        <f t="shared" si="10"/>
        <v>50</v>
      </c>
      <c r="M9" s="358">
        <f t="shared" si="11"/>
        <v>85</v>
      </c>
      <c r="N9" s="359">
        <f t="shared" si="12"/>
        <v>67.571428571428569</v>
      </c>
      <c r="O9" s="360" t="str">
        <f t="shared" si="0"/>
        <v>Pass</v>
      </c>
      <c r="P9" s="360" t="str">
        <f t="shared" si="1"/>
        <v>Pass</v>
      </c>
      <c r="Q9" s="360" t="str">
        <f t="shared" si="2"/>
        <v>Pass</v>
      </c>
      <c r="R9" s="367">
        <f t="shared" si="3"/>
        <v>14</v>
      </c>
      <c r="S9" s="360" t="str">
        <f t="shared" si="4"/>
        <v>—</v>
      </c>
      <c r="T9" s="360" t="str">
        <f t="shared" si="5"/>
        <v>B</v>
      </c>
      <c r="U9" s="360">
        <f t="shared" si="13"/>
        <v>7</v>
      </c>
      <c r="V9" s="360">
        <f t="shared" si="14"/>
        <v>8</v>
      </c>
      <c r="W9" s="360">
        <f t="shared" si="15"/>
        <v>0</v>
      </c>
      <c r="X9" s="354">
        <f t="shared" si="6"/>
        <v>7</v>
      </c>
      <c r="Y9" s="354">
        <f t="shared" si="7"/>
        <v>7</v>
      </c>
      <c r="Z9" s="354">
        <f t="shared" si="8"/>
        <v>0</v>
      </c>
    </row>
    <row r="10" spans="1:26" x14ac:dyDescent="0.25">
      <c r="A10" s="361">
        <v>8</v>
      </c>
      <c r="B10" s="362" t="s">
        <v>2020</v>
      </c>
      <c r="C10" s="361">
        <v>8</v>
      </c>
      <c r="D10" s="363">
        <v>42</v>
      </c>
      <c r="E10" s="363">
        <v>44</v>
      </c>
      <c r="F10" s="363">
        <v>67</v>
      </c>
      <c r="G10" s="363">
        <v>69</v>
      </c>
      <c r="H10" s="363">
        <v>80</v>
      </c>
      <c r="I10" s="363">
        <v>48</v>
      </c>
      <c r="J10" s="363">
        <v>78</v>
      </c>
      <c r="K10" s="366">
        <f t="shared" si="9"/>
        <v>428</v>
      </c>
      <c r="L10" s="363">
        <f t="shared" si="10"/>
        <v>42</v>
      </c>
      <c r="M10" s="363">
        <f t="shared" si="11"/>
        <v>80</v>
      </c>
      <c r="N10" s="364">
        <f t="shared" si="12"/>
        <v>61.142857142857146</v>
      </c>
      <c r="O10" s="365" t="str">
        <f t="shared" si="0"/>
        <v>Pass</v>
      </c>
      <c r="P10" s="365" t="str">
        <f t="shared" si="1"/>
        <v>Pass</v>
      </c>
      <c r="Q10" s="365" t="str">
        <f t="shared" si="2"/>
        <v>Pass</v>
      </c>
      <c r="R10" s="368">
        <f t="shared" si="3"/>
        <v>19</v>
      </c>
      <c r="S10" s="365" t="str">
        <f t="shared" si="4"/>
        <v>—</v>
      </c>
      <c r="T10" s="365" t="str">
        <f t="shared" si="5"/>
        <v>B</v>
      </c>
      <c r="U10" s="365">
        <f t="shared" si="13"/>
        <v>7</v>
      </c>
      <c r="V10" s="365">
        <f t="shared" si="14"/>
        <v>8</v>
      </c>
      <c r="W10" s="365">
        <f t="shared" si="15"/>
        <v>0</v>
      </c>
      <c r="X10" s="354">
        <f t="shared" si="6"/>
        <v>7</v>
      </c>
      <c r="Y10" s="354">
        <f t="shared" si="7"/>
        <v>7</v>
      </c>
      <c r="Z10" s="354">
        <f t="shared" si="8"/>
        <v>0</v>
      </c>
    </row>
    <row r="11" spans="1:26" x14ac:dyDescent="0.25">
      <c r="A11" s="356">
        <v>9</v>
      </c>
      <c r="B11" s="357" t="s">
        <v>166</v>
      </c>
      <c r="C11" s="356">
        <v>9</v>
      </c>
      <c r="D11" s="358">
        <v>100</v>
      </c>
      <c r="E11" s="358">
        <v>35</v>
      </c>
      <c r="F11" s="358">
        <v>41</v>
      </c>
      <c r="G11" s="358">
        <v>82</v>
      </c>
      <c r="H11" s="358">
        <v>71</v>
      </c>
      <c r="I11" s="358">
        <v>66</v>
      </c>
      <c r="J11" s="358">
        <v>91</v>
      </c>
      <c r="K11" s="366">
        <f t="shared" si="9"/>
        <v>486</v>
      </c>
      <c r="L11" s="358">
        <f t="shared" si="10"/>
        <v>35</v>
      </c>
      <c r="M11" s="358">
        <f t="shared" si="11"/>
        <v>100</v>
      </c>
      <c r="N11" s="359">
        <f t="shared" si="12"/>
        <v>69.428571428571431</v>
      </c>
      <c r="O11" s="360" t="str">
        <f t="shared" si="0"/>
        <v>Pass</v>
      </c>
      <c r="P11" s="360" t="str">
        <f t="shared" si="1"/>
        <v>Pass</v>
      </c>
      <c r="Q11" s="360" t="str">
        <f t="shared" si="2"/>
        <v>Pass</v>
      </c>
      <c r="R11" s="367">
        <f t="shared" si="3"/>
        <v>13</v>
      </c>
      <c r="S11" s="360" t="str">
        <f t="shared" si="4"/>
        <v>—</v>
      </c>
      <c r="T11" s="360" t="str">
        <f t="shared" si="5"/>
        <v>B</v>
      </c>
      <c r="U11" s="360">
        <f t="shared" si="13"/>
        <v>7</v>
      </c>
      <c r="V11" s="360">
        <f t="shared" si="14"/>
        <v>8</v>
      </c>
      <c r="W11" s="360">
        <f t="shared" si="15"/>
        <v>0</v>
      </c>
      <c r="X11" s="354">
        <f t="shared" si="6"/>
        <v>7</v>
      </c>
      <c r="Y11" s="354">
        <f t="shared" si="7"/>
        <v>7</v>
      </c>
      <c r="Z11" s="354">
        <f t="shared" si="8"/>
        <v>0</v>
      </c>
    </row>
    <row r="12" spans="1:26" x14ac:dyDescent="0.25">
      <c r="A12" s="361">
        <v>10</v>
      </c>
      <c r="B12" s="362" t="s">
        <v>2021</v>
      </c>
      <c r="C12" s="361">
        <v>10</v>
      </c>
      <c r="D12" s="363">
        <v>64</v>
      </c>
      <c r="E12" s="363">
        <v>42</v>
      </c>
      <c r="F12" s="363">
        <v>91</v>
      </c>
      <c r="G12" s="363">
        <v>57</v>
      </c>
      <c r="H12" s="363">
        <v>75</v>
      </c>
      <c r="I12" s="363">
        <v>52</v>
      </c>
      <c r="J12" s="363">
        <v>75</v>
      </c>
      <c r="K12" s="366">
        <f t="shared" si="9"/>
        <v>456</v>
      </c>
      <c r="L12" s="363">
        <f t="shared" si="10"/>
        <v>42</v>
      </c>
      <c r="M12" s="363">
        <f t="shared" si="11"/>
        <v>91</v>
      </c>
      <c r="N12" s="364">
        <f t="shared" si="12"/>
        <v>65.142857142857139</v>
      </c>
      <c r="O12" s="365" t="str">
        <f t="shared" si="0"/>
        <v>Pass</v>
      </c>
      <c r="P12" s="365" t="str">
        <f t="shared" si="1"/>
        <v>Pass</v>
      </c>
      <c r="Q12" s="365" t="str">
        <f t="shared" si="2"/>
        <v>Pass</v>
      </c>
      <c r="R12" s="368">
        <f t="shared" si="3"/>
        <v>16</v>
      </c>
      <c r="S12" s="365" t="str">
        <f t="shared" si="4"/>
        <v>—</v>
      </c>
      <c r="T12" s="365" t="str">
        <f t="shared" si="5"/>
        <v>B</v>
      </c>
      <c r="U12" s="365">
        <f t="shared" si="13"/>
        <v>7</v>
      </c>
      <c r="V12" s="365">
        <f t="shared" si="14"/>
        <v>8</v>
      </c>
      <c r="W12" s="365">
        <f t="shared" si="15"/>
        <v>0</v>
      </c>
      <c r="X12" s="354">
        <f t="shared" si="6"/>
        <v>7</v>
      </c>
      <c r="Y12" s="354">
        <f t="shared" si="7"/>
        <v>7</v>
      </c>
      <c r="Z12" s="354">
        <f t="shared" si="8"/>
        <v>0</v>
      </c>
    </row>
    <row r="13" spans="1:26" x14ac:dyDescent="0.25">
      <c r="A13" s="356">
        <v>11</v>
      </c>
      <c r="B13" s="357" t="s">
        <v>2022</v>
      </c>
      <c r="C13" s="356">
        <v>11</v>
      </c>
      <c r="D13" s="358">
        <v>84</v>
      </c>
      <c r="E13" s="358">
        <v>94</v>
      </c>
      <c r="F13" s="358">
        <v>66</v>
      </c>
      <c r="G13" s="358">
        <v>43</v>
      </c>
      <c r="H13" s="358">
        <v>44</v>
      </c>
      <c r="I13" s="358">
        <v>100</v>
      </c>
      <c r="J13" s="358">
        <v>42</v>
      </c>
      <c r="K13" s="366">
        <f t="shared" si="9"/>
        <v>473</v>
      </c>
      <c r="L13" s="358">
        <f t="shared" si="10"/>
        <v>42</v>
      </c>
      <c r="M13" s="358">
        <f t="shared" si="11"/>
        <v>100</v>
      </c>
      <c r="N13" s="359">
        <f t="shared" si="12"/>
        <v>67.571428571428569</v>
      </c>
      <c r="O13" s="360" t="str">
        <f t="shared" si="0"/>
        <v>Pass</v>
      </c>
      <c r="P13" s="360" t="str">
        <f t="shared" si="1"/>
        <v>Pass</v>
      </c>
      <c r="Q13" s="360" t="str">
        <f t="shared" si="2"/>
        <v>Pass</v>
      </c>
      <c r="R13" s="367">
        <f t="shared" si="3"/>
        <v>14</v>
      </c>
      <c r="S13" s="360" t="str">
        <f t="shared" si="4"/>
        <v>—</v>
      </c>
      <c r="T13" s="360" t="str">
        <f t="shared" si="5"/>
        <v>B</v>
      </c>
      <c r="U13" s="360">
        <f t="shared" si="13"/>
        <v>7</v>
      </c>
      <c r="V13" s="360">
        <f t="shared" si="14"/>
        <v>8</v>
      </c>
      <c r="W13" s="360">
        <f t="shared" si="15"/>
        <v>0</v>
      </c>
      <c r="X13" s="354">
        <f t="shared" si="6"/>
        <v>7</v>
      </c>
      <c r="Y13" s="354">
        <f t="shared" si="7"/>
        <v>7</v>
      </c>
      <c r="Z13" s="354">
        <f t="shared" si="8"/>
        <v>0</v>
      </c>
    </row>
    <row r="14" spans="1:26" x14ac:dyDescent="0.25">
      <c r="A14" s="361">
        <v>12</v>
      </c>
      <c r="B14" s="362" t="s">
        <v>2024</v>
      </c>
      <c r="C14" s="361">
        <v>12</v>
      </c>
      <c r="D14" s="363">
        <v>72</v>
      </c>
      <c r="E14" s="363">
        <v>81</v>
      </c>
      <c r="F14" s="363">
        <v>64</v>
      </c>
      <c r="G14" s="363">
        <v>58</v>
      </c>
      <c r="H14" s="363">
        <v>70</v>
      </c>
      <c r="I14" s="363">
        <v>88</v>
      </c>
      <c r="J14" s="363">
        <v>75</v>
      </c>
      <c r="K14" s="366">
        <f t="shared" ref="K14:K28" si="16">SUM(D14:J14)</f>
        <v>508</v>
      </c>
      <c r="L14" s="363">
        <f t="shared" ref="L14:L28" si="17">MIN(D14:J14)</f>
        <v>58</v>
      </c>
      <c r="M14" s="363">
        <f t="shared" ref="M14:M28" si="18">MAX(D14:J14)</f>
        <v>88</v>
      </c>
      <c r="N14" s="364">
        <f t="shared" ref="N14:N28" si="19">K14/7</f>
        <v>72.571428571428569</v>
      </c>
      <c r="O14" s="365" t="str">
        <f t="shared" si="0"/>
        <v>Pass</v>
      </c>
      <c r="P14" s="365" t="str">
        <f t="shared" si="1"/>
        <v>Pass</v>
      </c>
      <c r="Q14" s="365" t="str">
        <f t="shared" si="2"/>
        <v>Pass</v>
      </c>
      <c r="R14" s="368">
        <f t="shared" si="3"/>
        <v>5</v>
      </c>
      <c r="S14" s="365" t="str">
        <f t="shared" si="4"/>
        <v>—</v>
      </c>
      <c r="T14" s="365" t="str">
        <f t="shared" si="5"/>
        <v>B</v>
      </c>
      <c r="U14" s="365">
        <f t="shared" ref="U14:U28" si="20">COUNT(D14:J14)</f>
        <v>7</v>
      </c>
      <c r="V14" s="365">
        <f t="shared" ref="V14:V28" si="21">COUNTA(C14:J14)</f>
        <v>8</v>
      </c>
      <c r="W14" s="365">
        <f t="shared" ref="W14:W28" si="22">COUNTIF(D14:J14,"&lt;33")</f>
        <v>0</v>
      </c>
      <c r="X14" s="354">
        <f t="shared" si="6"/>
        <v>7</v>
      </c>
      <c r="Y14" s="354">
        <f t="shared" si="7"/>
        <v>7</v>
      </c>
      <c r="Z14" s="354">
        <f t="shared" si="8"/>
        <v>0</v>
      </c>
    </row>
    <row r="15" spans="1:26" x14ac:dyDescent="0.25">
      <c r="A15" s="356">
        <v>13</v>
      </c>
      <c r="B15" s="357" t="s">
        <v>2025</v>
      </c>
      <c r="C15" s="356">
        <v>13</v>
      </c>
      <c r="D15" s="358">
        <v>91</v>
      </c>
      <c r="E15" s="358">
        <v>86</v>
      </c>
      <c r="F15" s="358">
        <v>79</v>
      </c>
      <c r="G15" s="358">
        <v>84</v>
      </c>
      <c r="H15" s="358">
        <v>77</v>
      </c>
      <c r="I15" s="358">
        <v>90</v>
      </c>
      <c r="J15" s="358">
        <v>82</v>
      </c>
      <c r="K15" s="366">
        <f t="shared" si="16"/>
        <v>589</v>
      </c>
      <c r="L15" s="358">
        <f t="shared" si="17"/>
        <v>77</v>
      </c>
      <c r="M15" s="358">
        <f t="shared" si="18"/>
        <v>91</v>
      </c>
      <c r="N15" s="359">
        <f t="shared" si="19"/>
        <v>84.142857142857139</v>
      </c>
      <c r="O15" s="360" t="str">
        <f t="shared" si="0"/>
        <v>Pass</v>
      </c>
      <c r="P15" s="360" t="str">
        <f t="shared" si="1"/>
        <v>Pass</v>
      </c>
      <c r="Q15" s="360" t="str">
        <f t="shared" si="2"/>
        <v>Pass</v>
      </c>
      <c r="R15" s="367">
        <f t="shared" si="3"/>
        <v>3</v>
      </c>
      <c r="S15" s="360" t="str">
        <f t="shared" si="4"/>
        <v>—</v>
      </c>
      <c r="T15" s="360" t="str">
        <f t="shared" si="5"/>
        <v>A</v>
      </c>
      <c r="U15" s="360">
        <f t="shared" si="20"/>
        <v>7</v>
      </c>
      <c r="V15" s="360">
        <f t="shared" si="21"/>
        <v>8</v>
      </c>
      <c r="W15" s="360">
        <f t="shared" si="22"/>
        <v>0</v>
      </c>
      <c r="X15" s="354">
        <f t="shared" si="6"/>
        <v>7</v>
      </c>
      <c r="Y15" s="354">
        <f t="shared" si="7"/>
        <v>7</v>
      </c>
      <c r="Z15" s="354">
        <f t="shared" si="8"/>
        <v>0</v>
      </c>
    </row>
    <row r="16" spans="1:26" x14ac:dyDescent="0.25">
      <c r="A16" s="361">
        <v>14</v>
      </c>
      <c r="B16" s="362" t="s">
        <v>2026</v>
      </c>
      <c r="C16" s="361">
        <v>14</v>
      </c>
      <c r="D16" s="363">
        <v>40</v>
      </c>
      <c r="E16" s="363">
        <v>33</v>
      </c>
      <c r="F16" s="363">
        <v>45</v>
      </c>
      <c r="G16" s="363">
        <v>38</v>
      </c>
      <c r="H16" s="363">
        <v>41</v>
      </c>
      <c r="I16" s="363">
        <v>36</v>
      </c>
      <c r="J16" s="363">
        <v>39</v>
      </c>
      <c r="K16" s="366">
        <f t="shared" si="16"/>
        <v>272</v>
      </c>
      <c r="L16" s="363">
        <f t="shared" si="17"/>
        <v>33</v>
      </c>
      <c r="M16" s="363">
        <f t="shared" si="18"/>
        <v>45</v>
      </c>
      <c r="N16" s="364">
        <f t="shared" si="19"/>
        <v>38.857142857142854</v>
      </c>
      <c r="O16" s="365" t="str">
        <f t="shared" si="0"/>
        <v>Pass</v>
      </c>
      <c r="P16" s="365" t="str">
        <f t="shared" si="1"/>
        <v>Pass</v>
      </c>
      <c r="Q16" s="365" t="str">
        <f t="shared" si="2"/>
        <v>Pass</v>
      </c>
      <c r="R16" s="368">
        <f t="shared" si="3"/>
        <v>25</v>
      </c>
      <c r="S16" s="365" t="str">
        <f t="shared" si="4"/>
        <v>—</v>
      </c>
      <c r="T16" s="365" t="str">
        <f t="shared" si="5"/>
        <v>D</v>
      </c>
      <c r="U16" s="365">
        <f t="shared" si="20"/>
        <v>7</v>
      </c>
      <c r="V16" s="365">
        <f t="shared" si="21"/>
        <v>8</v>
      </c>
      <c r="W16" s="365">
        <f t="shared" si="22"/>
        <v>0</v>
      </c>
      <c r="X16" s="354">
        <f t="shared" si="6"/>
        <v>6</v>
      </c>
      <c r="Y16" s="354">
        <f t="shared" si="7"/>
        <v>7</v>
      </c>
      <c r="Z16" s="354">
        <f t="shared" si="8"/>
        <v>0</v>
      </c>
    </row>
    <row r="17" spans="1:26" x14ac:dyDescent="0.25">
      <c r="A17" s="356">
        <v>15</v>
      </c>
      <c r="B17" s="357" t="s">
        <v>2027</v>
      </c>
      <c r="C17" s="356">
        <v>15</v>
      </c>
      <c r="D17" s="358">
        <v>68</v>
      </c>
      <c r="E17" s="358">
        <v>74</v>
      </c>
      <c r="F17" s="358">
        <v>71</v>
      </c>
      <c r="G17" s="358">
        <v>69</v>
      </c>
      <c r="H17" s="358">
        <v>80</v>
      </c>
      <c r="I17" s="358">
        <v>65</v>
      </c>
      <c r="J17" s="358">
        <v>73</v>
      </c>
      <c r="K17" s="366">
        <f t="shared" si="16"/>
        <v>500</v>
      </c>
      <c r="L17" s="358">
        <f t="shared" si="17"/>
        <v>65</v>
      </c>
      <c r="M17" s="358">
        <f t="shared" si="18"/>
        <v>80</v>
      </c>
      <c r="N17" s="359">
        <f t="shared" si="19"/>
        <v>71.428571428571431</v>
      </c>
      <c r="O17" s="360" t="str">
        <f t="shared" si="0"/>
        <v>Pass</v>
      </c>
      <c r="P17" s="360" t="str">
        <f t="shared" si="1"/>
        <v>Pass</v>
      </c>
      <c r="Q17" s="360" t="str">
        <f t="shared" si="2"/>
        <v>Pass</v>
      </c>
      <c r="R17" s="367">
        <f t="shared" si="3"/>
        <v>9</v>
      </c>
      <c r="S17" s="360" t="str">
        <f t="shared" si="4"/>
        <v>—</v>
      </c>
      <c r="T17" s="360" t="str">
        <f t="shared" si="5"/>
        <v>B</v>
      </c>
      <c r="U17" s="360">
        <f t="shared" si="20"/>
        <v>7</v>
      </c>
      <c r="V17" s="360">
        <f t="shared" si="21"/>
        <v>8</v>
      </c>
      <c r="W17" s="360">
        <f t="shared" si="22"/>
        <v>0</v>
      </c>
      <c r="X17" s="354">
        <f t="shared" si="6"/>
        <v>7</v>
      </c>
      <c r="Y17" s="354">
        <f t="shared" si="7"/>
        <v>7</v>
      </c>
      <c r="Z17" s="354">
        <f t="shared" si="8"/>
        <v>0</v>
      </c>
    </row>
    <row r="18" spans="1:26" x14ac:dyDescent="0.25">
      <c r="A18" s="361">
        <v>16</v>
      </c>
      <c r="B18" s="362" t="s">
        <v>2028</v>
      </c>
      <c r="C18" s="361">
        <v>16</v>
      </c>
      <c r="D18" s="363">
        <v>55</v>
      </c>
      <c r="E18" s="363">
        <v>49</v>
      </c>
      <c r="F18" s="363">
        <v>62</v>
      </c>
      <c r="G18" s="363">
        <v>51</v>
      </c>
      <c r="H18" s="363">
        <v>58</v>
      </c>
      <c r="I18" s="363">
        <v>60</v>
      </c>
      <c r="J18" s="363">
        <v>54</v>
      </c>
      <c r="K18" s="366">
        <f t="shared" si="16"/>
        <v>389</v>
      </c>
      <c r="L18" s="363">
        <f t="shared" si="17"/>
        <v>49</v>
      </c>
      <c r="M18" s="363">
        <f t="shared" si="18"/>
        <v>62</v>
      </c>
      <c r="N18" s="364">
        <f t="shared" si="19"/>
        <v>55.571428571428569</v>
      </c>
      <c r="O18" s="365" t="str">
        <f t="shared" si="0"/>
        <v>Pass</v>
      </c>
      <c r="P18" s="365" t="str">
        <f t="shared" si="1"/>
        <v>Pass</v>
      </c>
      <c r="Q18" s="365" t="str">
        <f t="shared" si="2"/>
        <v>Pass</v>
      </c>
      <c r="R18" s="368">
        <f t="shared" si="3"/>
        <v>21</v>
      </c>
      <c r="S18" s="365" t="str">
        <f t="shared" si="4"/>
        <v>—</v>
      </c>
      <c r="T18" s="365" t="str">
        <f t="shared" si="5"/>
        <v>C</v>
      </c>
      <c r="U18" s="365">
        <f t="shared" si="20"/>
        <v>7</v>
      </c>
      <c r="V18" s="365">
        <f t="shared" si="21"/>
        <v>8</v>
      </c>
      <c r="W18" s="365">
        <f t="shared" si="22"/>
        <v>0</v>
      </c>
      <c r="X18" s="354">
        <f t="shared" si="6"/>
        <v>7</v>
      </c>
      <c r="Y18" s="354">
        <f t="shared" si="7"/>
        <v>7</v>
      </c>
      <c r="Z18" s="354">
        <f t="shared" si="8"/>
        <v>0</v>
      </c>
    </row>
    <row r="19" spans="1:26" x14ac:dyDescent="0.25">
      <c r="A19" s="356">
        <v>17</v>
      </c>
      <c r="B19" s="357" t="s">
        <v>2029</v>
      </c>
      <c r="C19" s="356">
        <v>17</v>
      </c>
      <c r="D19" s="358">
        <v>88</v>
      </c>
      <c r="E19" s="358">
        <v>92</v>
      </c>
      <c r="F19" s="358">
        <v>85</v>
      </c>
      <c r="G19" s="358">
        <v>79</v>
      </c>
      <c r="H19" s="358">
        <v>81</v>
      </c>
      <c r="I19" s="358">
        <v>94</v>
      </c>
      <c r="J19" s="358">
        <v>87</v>
      </c>
      <c r="K19" s="366">
        <f t="shared" si="16"/>
        <v>606</v>
      </c>
      <c r="L19" s="358">
        <f t="shared" si="17"/>
        <v>79</v>
      </c>
      <c r="M19" s="358">
        <f t="shared" si="18"/>
        <v>94</v>
      </c>
      <c r="N19" s="359">
        <f t="shared" si="19"/>
        <v>86.571428571428569</v>
      </c>
      <c r="O19" s="360" t="str">
        <f t="shared" si="0"/>
        <v>Pass</v>
      </c>
      <c r="P19" s="360" t="str">
        <f t="shared" si="1"/>
        <v>Pass</v>
      </c>
      <c r="Q19" s="360" t="str">
        <f t="shared" si="2"/>
        <v>Pass</v>
      </c>
      <c r="R19" s="367">
        <f t="shared" si="3"/>
        <v>2</v>
      </c>
      <c r="S19" s="360" t="str">
        <f t="shared" si="4"/>
        <v>—</v>
      </c>
      <c r="T19" s="360" t="str">
        <f t="shared" si="5"/>
        <v>A</v>
      </c>
      <c r="U19" s="360">
        <f t="shared" si="20"/>
        <v>7</v>
      </c>
      <c r="V19" s="360">
        <f t="shared" si="21"/>
        <v>8</v>
      </c>
      <c r="W19" s="360">
        <f t="shared" si="22"/>
        <v>0</v>
      </c>
      <c r="X19" s="354">
        <f t="shared" si="6"/>
        <v>7</v>
      </c>
      <c r="Y19" s="354">
        <f t="shared" si="7"/>
        <v>7</v>
      </c>
      <c r="Z19" s="354">
        <f t="shared" si="8"/>
        <v>0</v>
      </c>
    </row>
    <row r="20" spans="1:26" x14ac:dyDescent="0.25">
      <c r="A20" s="361">
        <v>18</v>
      </c>
      <c r="B20" s="362" t="s">
        <v>2030</v>
      </c>
      <c r="C20" s="361">
        <v>18</v>
      </c>
      <c r="D20" s="363">
        <v>31</v>
      </c>
      <c r="E20" s="363">
        <v>44</v>
      </c>
      <c r="F20" s="363">
        <v>52</v>
      </c>
      <c r="G20" s="363">
        <v>29</v>
      </c>
      <c r="H20" s="363">
        <v>48</v>
      </c>
      <c r="I20" s="363">
        <v>61</v>
      </c>
      <c r="J20" s="363">
        <v>40</v>
      </c>
      <c r="K20" s="366">
        <f t="shared" si="16"/>
        <v>305</v>
      </c>
      <c r="L20" s="363">
        <f t="shared" si="17"/>
        <v>29</v>
      </c>
      <c r="M20" s="363">
        <f t="shared" si="18"/>
        <v>61</v>
      </c>
      <c r="N20" s="364">
        <f t="shared" si="19"/>
        <v>43.571428571428569</v>
      </c>
      <c r="O20" s="365" t="str">
        <f t="shared" si="0"/>
        <v>Fail</v>
      </c>
      <c r="P20" s="365" t="str">
        <f t="shared" si="1"/>
        <v>Pass</v>
      </c>
      <c r="Q20" s="365" t="str">
        <f t="shared" si="2"/>
        <v>Pass</v>
      </c>
      <c r="R20" s="368">
        <f t="shared" si="3"/>
        <v>24</v>
      </c>
      <c r="S20" s="365" t="str">
        <f t="shared" si="4"/>
        <v>Compartment</v>
      </c>
      <c r="T20" s="365" t="str">
        <f t="shared" si="5"/>
        <v>C</v>
      </c>
      <c r="U20" s="365">
        <f t="shared" si="20"/>
        <v>7</v>
      </c>
      <c r="V20" s="365">
        <f t="shared" si="21"/>
        <v>8</v>
      </c>
      <c r="W20" s="365">
        <f t="shared" si="22"/>
        <v>2</v>
      </c>
      <c r="X20" s="354">
        <f t="shared" si="6"/>
        <v>5</v>
      </c>
      <c r="Y20" s="354">
        <f t="shared" si="7"/>
        <v>5</v>
      </c>
      <c r="Z20" s="354">
        <f t="shared" si="8"/>
        <v>0</v>
      </c>
    </row>
    <row r="21" spans="1:26" x14ac:dyDescent="0.25">
      <c r="A21" s="356">
        <v>19</v>
      </c>
      <c r="B21" s="357" t="s">
        <v>2031</v>
      </c>
      <c r="C21" s="356">
        <v>19</v>
      </c>
      <c r="D21" s="358">
        <v>76</v>
      </c>
      <c r="E21" s="358">
        <v>69</v>
      </c>
      <c r="F21" s="358">
        <v>73</v>
      </c>
      <c r="G21" s="358">
        <v>70</v>
      </c>
      <c r="H21" s="358">
        <v>66</v>
      </c>
      <c r="I21" s="358">
        <v>78</v>
      </c>
      <c r="J21" s="358">
        <v>71</v>
      </c>
      <c r="K21" s="366">
        <f t="shared" si="16"/>
        <v>503</v>
      </c>
      <c r="L21" s="358">
        <f t="shared" si="17"/>
        <v>66</v>
      </c>
      <c r="M21" s="358">
        <f t="shared" si="18"/>
        <v>78</v>
      </c>
      <c r="N21" s="359">
        <f t="shared" si="19"/>
        <v>71.857142857142861</v>
      </c>
      <c r="O21" s="360" t="str">
        <f t="shared" si="0"/>
        <v>Pass</v>
      </c>
      <c r="P21" s="360" t="str">
        <f t="shared" si="1"/>
        <v>Pass</v>
      </c>
      <c r="Q21" s="360" t="str">
        <f t="shared" si="2"/>
        <v>Pass</v>
      </c>
      <c r="R21" s="367">
        <f t="shared" si="3"/>
        <v>7</v>
      </c>
      <c r="S21" s="360" t="str">
        <f t="shared" si="4"/>
        <v>—</v>
      </c>
      <c r="T21" s="360" t="str">
        <f t="shared" si="5"/>
        <v>B</v>
      </c>
      <c r="U21" s="360">
        <f t="shared" si="20"/>
        <v>7</v>
      </c>
      <c r="V21" s="360">
        <f t="shared" si="21"/>
        <v>8</v>
      </c>
      <c r="W21" s="360">
        <f t="shared" si="22"/>
        <v>0</v>
      </c>
      <c r="X21" s="354">
        <f t="shared" si="6"/>
        <v>7</v>
      </c>
      <c r="Y21" s="354">
        <f t="shared" si="7"/>
        <v>7</v>
      </c>
      <c r="Z21" s="354">
        <f t="shared" si="8"/>
        <v>0</v>
      </c>
    </row>
    <row r="22" spans="1:26" x14ac:dyDescent="0.25">
      <c r="A22" s="361">
        <v>20</v>
      </c>
      <c r="B22" s="362" t="s">
        <v>2032</v>
      </c>
      <c r="C22" s="361">
        <v>20</v>
      </c>
      <c r="D22" s="363">
        <v>83</v>
      </c>
      <c r="E22" s="363">
        <v>77</v>
      </c>
      <c r="F22" s="363">
        <v>80</v>
      </c>
      <c r="G22" s="363">
        <v>75</v>
      </c>
      <c r="H22" s="363">
        <v>82</v>
      </c>
      <c r="I22" s="363">
        <v>71</v>
      </c>
      <c r="J22" s="363">
        <v>79</v>
      </c>
      <c r="K22" s="366">
        <f t="shared" si="16"/>
        <v>547</v>
      </c>
      <c r="L22" s="363">
        <f t="shared" si="17"/>
        <v>71</v>
      </c>
      <c r="M22" s="363">
        <f t="shared" si="18"/>
        <v>83</v>
      </c>
      <c r="N22" s="364">
        <f t="shared" si="19"/>
        <v>78.142857142857139</v>
      </c>
      <c r="O22" s="365" t="str">
        <f t="shared" si="0"/>
        <v>Pass</v>
      </c>
      <c r="P22" s="365" t="str">
        <f t="shared" si="1"/>
        <v>Pass</v>
      </c>
      <c r="Q22" s="365" t="str">
        <f t="shared" si="2"/>
        <v>Pass</v>
      </c>
      <c r="R22" s="368">
        <f t="shared" si="3"/>
        <v>4</v>
      </c>
      <c r="S22" s="365" t="str">
        <f t="shared" si="4"/>
        <v>—</v>
      </c>
      <c r="T22" s="365" t="str">
        <f t="shared" si="5"/>
        <v>B</v>
      </c>
      <c r="U22" s="365">
        <f t="shared" si="20"/>
        <v>7</v>
      </c>
      <c r="V22" s="365">
        <f t="shared" si="21"/>
        <v>8</v>
      </c>
      <c r="W22" s="365">
        <f t="shared" si="22"/>
        <v>0</v>
      </c>
      <c r="X22" s="354">
        <f t="shared" si="6"/>
        <v>7</v>
      </c>
      <c r="Y22" s="354">
        <f t="shared" si="7"/>
        <v>7</v>
      </c>
      <c r="Z22" s="354">
        <f t="shared" si="8"/>
        <v>0</v>
      </c>
    </row>
    <row r="23" spans="1:26" x14ac:dyDescent="0.25">
      <c r="A23" s="356">
        <v>21</v>
      </c>
      <c r="B23" s="357" t="s">
        <v>2033</v>
      </c>
      <c r="C23" s="356">
        <v>21</v>
      </c>
      <c r="D23" s="358">
        <v>59</v>
      </c>
      <c r="E23" s="358">
        <v>63</v>
      </c>
      <c r="F23" s="358">
        <v>57</v>
      </c>
      <c r="G23" s="358">
        <v>64</v>
      </c>
      <c r="H23" s="358">
        <v>60</v>
      </c>
      <c r="I23" s="358">
        <v>68</v>
      </c>
      <c r="J23" s="358">
        <v>62</v>
      </c>
      <c r="K23" s="366">
        <f t="shared" si="16"/>
        <v>433</v>
      </c>
      <c r="L23" s="358">
        <f t="shared" si="17"/>
        <v>57</v>
      </c>
      <c r="M23" s="358">
        <f t="shared" si="18"/>
        <v>68</v>
      </c>
      <c r="N23" s="359">
        <f t="shared" si="19"/>
        <v>61.857142857142854</v>
      </c>
      <c r="O23" s="360" t="str">
        <f t="shared" si="0"/>
        <v>Pass</v>
      </c>
      <c r="P23" s="360" t="str">
        <f t="shared" si="1"/>
        <v>Pass</v>
      </c>
      <c r="Q23" s="360" t="str">
        <f t="shared" si="2"/>
        <v>Pass</v>
      </c>
      <c r="R23" s="367">
        <f t="shared" si="3"/>
        <v>17</v>
      </c>
      <c r="S23" s="360" t="str">
        <f t="shared" si="4"/>
        <v>—</v>
      </c>
      <c r="T23" s="360" t="str">
        <f t="shared" si="5"/>
        <v>B</v>
      </c>
      <c r="U23" s="360">
        <f t="shared" si="20"/>
        <v>7</v>
      </c>
      <c r="V23" s="360">
        <f t="shared" si="21"/>
        <v>8</v>
      </c>
      <c r="W23" s="360">
        <f t="shared" si="22"/>
        <v>0</v>
      </c>
      <c r="X23" s="354">
        <f t="shared" si="6"/>
        <v>7</v>
      </c>
      <c r="Y23" s="354">
        <f t="shared" si="7"/>
        <v>7</v>
      </c>
      <c r="Z23" s="354">
        <f t="shared" si="8"/>
        <v>0</v>
      </c>
    </row>
    <row r="24" spans="1:26" x14ac:dyDescent="0.25">
      <c r="A24" s="361">
        <v>22</v>
      </c>
      <c r="B24" s="362" t="s">
        <v>2034</v>
      </c>
      <c r="C24" s="361">
        <v>22</v>
      </c>
      <c r="D24" s="363">
        <v>47</v>
      </c>
      <c r="E24" s="363">
        <v>52</v>
      </c>
      <c r="F24" s="363">
        <v>38</v>
      </c>
      <c r="G24" s="363">
        <v>41</v>
      </c>
      <c r="H24" s="363">
        <v>49</v>
      </c>
      <c r="I24" s="363">
        <v>55</v>
      </c>
      <c r="J24" s="363">
        <v>44</v>
      </c>
      <c r="K24" s="366">
        <f t="shared" si="16"/>
        <v>326</v>
      </c>
      <c r="L24" s="363">
        <f t="shared" si="17"/>
        <v>38</v>
      </c>
      <c r="M24" s="363">
        <f t="shared" si="18"/>
        <v>55</v>
      </c>
      <c r="N24" s="364">
        <f t="shared" si="19"/>
        <v>46.571428571428569</v>
      </c>
      <c r="O24" s="365" t="str">
        <f t="shared" si="0"/>
        <v>Pass</v>
      </c>
      <c r="P24" s="365" t="str">
        <f t="shared" si="1"/>
        <v>Pass</v>
      </c>
      <c r="Q24" s="365" t="str">
        <f t="shared" si="2"/>
        <v>Pass</v>
      </c>
      <c r="R24" s="368">
        <f t="shared" si="3"/>
        <v>23</v>
      </c>
      <c r="S24" s="365" t="str">
        <f t="shared" si="4"/>
        <v>—</v>
      </c>
      <c r="T24" s="365" t="str">
        <f t="shared" si="5"/>
        <v>C</v>
      </c>
      <c r="U24" s="365">
        <f t="shared" si="20"/>
        <v>7</v>
      </c>
      <c r="V24" s="365">
        <f t="shared" si="21"/>
        <v>8</v>
      </c>
      <c r="W24" s="365">
        <f t="shared" si="22"/>
        <v>0</v>
      </c>
      <c r="X24" s="354">
        <f t="shared" si="6"/>
        <v>7</v>
      </c>
      <c r="Y24" s="354">
        <f t="shared" si="7"/>
        <v>7</v>
      </c>
      <c r="Z24" s="354">
        <f t="shared" si="8"/>
        <v>0</v>
      </c>
    </row>
    <row r="25" spans="1:26" x14ac:dyDescent="0.25">
      <c r="A25" s="356">
        <v>23</v>
      </c>
      <c r="B25" s="357" t="s">
        <v>2035</v>
      </c>
      <c r="C25" s="356">
        <v>23</v>
      </c>
      <c r="D25" s="358">
        <v>95</v>
      </c>
      <c r="E25" s="358">
        <v>89</v>
      </c>
      <c r="F25" s="358">
        <v>91</v>
      </c>
      <c r="G25" s="358">
        <v>88</v>
      </c>
      <c r="H25" s="358">
        <v>93</v>
      </c>
      <c r="I25" s="358">
        <v>97</v>
      </c>
      <c r="J25" s="358">
        <v>90</v>
      </c>
      <c r="K25" s="366">
        <f t="shared" si="16"/>
        <v>643</v>
      </c>
      <c r="L25" s="358">
        <f t="shared" si="17"/>
        <v>88</v>
      </c>
      <c r="M25" s="358">
        <f t="shared" si="18"/>
        <v>97</v>
      </c>
      <c r="N25" s="359">
        <f t="shared" si="19"/>
        <v>91.857142857142861</v>
      </c>
      <c r="O25" s="360" t="str">
        <f t="shared" si="0"/>
        <v>Pass</v>
      </c>
      <c r="P25" s="360" t="str">
        <f t="shared" si="1"/>
        <v>Pass</v>
      </c>
      <c r="Q25" s="360" t="str">
        <f t="shared" si="2"/>
        <v>Pass</v>
      </c>
      <c r="R25" s="367">
        <f t="shared" si="3"/>
        <v>1</v>
      </c>
      <c r="S25" s="360" t="str">
        <f t="shared" si="4"/>
        <v>—</v>
      </c>
      <c r="T25" s="360" t="str">
        <f t="shared" si="5"/>
        <v>A</v>
      </c>
      <c r="U25" s="360">
        <f t="shared" si="20"/>
        <v>7</v>
      </c>
      <c r="V25" s="360">
        <f t="shared" si="21"/>
        <v>8</v>
      </c>
      <c r="W25" s="360">
        <f t="shared" si="22"/>
        <v>0</v>
      </c>
      <c r="X25" s="354">
        <f t="shared" si="6"/>
        <v>7</v>
      </c>
      <c r="Y25" s="354">
        <f t="shared" si="7"/>
        <v>7</v>
      </c>
      <c r="Z25" s="354">
        <f t="shared" si="8"/>
        <v>0</v>
      </c>
    </row>
    <row r="26" spans="1:26" x14ac:dyDescent="0.25">
      <c r="A26" s="361">
        <v>24</v>
      </c>
      <c r="B26" s="362" t="s">
        <v>2036</v>
      </c>
      <c r="C26" s="361">
        <v>24</v>
      </c>
      <c r="D26" s="363">
        <v>34</v>
      </c>
      <c r="E26" s="363">
        <v>28</v>
      </c>
      <c r="F26" s="363">
        <v>36</v>
      </c>
      <c r="G26" s="363">
        <v>42</v>
      </c>
      <c r="H26" s="363">
        <v>33</v>
      </c>
      <c r="I26" s="363">
        <v>30</v>
      </c>
      <c r="J26" s="363">
        <v>35</v>
      </c>
      <c r="K26" s="366">
        <f t="shared" si="16"/>
        <v>238</v>
      </c>
      <c r="L26" s="363">
        <f t="shared" si="17"/>
        <v>28</v>
      </c>
      <c r="M26" s="363">
        <f t="shared" si="18"/>
        <v>42</v>
      </c>
      <c r="N26" s="364">
        <f t="shared" si="19"/>
        <v>34</v>
      </c>
      <c r="O26" s="365" t="str">
        <f t="shared" si="0"/>
        <v>Fail</v>
      </c>
      <c r="P26" s="365" t="str">
        <f t="shared" si="1"/>
        <v>Pass</v>
      </c>
      <c r="Q26" s="365" t="str">
        <f t="shared" si="2"/>
        <v>Pass</v>
      </c>
      <c r="R26" s="368">
        <f t="shared" si="3"/>
        <v>26</v>
      </c>
      <c r="S26" s="365" t="str">
        <f t="shared" si="4"/>
        <v>Compartment</v>
      </c>
      <c r="T26" s="365" t="str">
        <f t="shared" si="5"/>
        <v>D</v>
      </c>
      <c r="U26" s="365">
        <f t="shared" si="20"/>
        <v>7</v>
      </c>
      <c r="V26" s="365">
        <f t="shared" si="21"/>
        <v>8</v>
      </c>
      <c r="W26" s="365">
        <f t="shared" si="22"/>
        <v>2</v>
      </c>
      <c r="X26" s="354">
        <f t="shared" si="6"/>
        <v>4</v>
      </c>
      <c r="Y26" s="354">
        <f t="shared" si="7"/>
        <v>5</v>
      </c>
      <c r="Z26" s="354">
        <f t="shared" si="8"/>
        <v>0</v>
      </c>
    </row>
    <row r="27" spans="1:26" x14ac:dyDescent="0.25">
      <c r="A27" s="356">
        <v>25</v>
      </c>
      <c r="B27" s="357" t="s">
        <v>2037</v>
      </c>
      <c r="C27" s="356">
        <v>25</v>
      </c>
      <c r="D27" s="358">
        <v>70</v>
      </c>
      <c r="E27" s="358">
        <v>66</v>
      </c>
      <c r="F27" s="358">
        <v>72</v>
      </c>
      <c r="G27" s="358">
        <v>68</v>
      </c>
      <c r="H27" s="358">
        <v>74</v>
      </c>
      <c r="I27" s="358">
        <v>69</v>
      </c>
      <c r="J27" s="358">
        <v>71</v>
      </c>
      <c r="K27" s="366">
        <f t="shared" si="16"/>
        <v>490</v>
      </c>
      <c r="L27" s="358">
        <f t="shared" si="17"/>
        <v>66</v>
      </c>
      <c r="M27" s="358">
        <f t="shared" si="18"/>
        <v>74</v>
      </c>
      <c r="N27" s="359">
        <f t="shared" si="19"/>
        <v>70</v>
      </c>
      <c r="O27" s="360" t="str">
        <f t="shared" si="0"/>
        <v>Pass</v>
      </c>
      <c r="P27" s="360" t="str">
        <f t="shared" si="1"/>
        <v>Pass</v>
      </c>
      <c r="Q27" s="360" t="str">
        <f t="shared" si="2"/>
        <v>Pass</v>
      </c>
      <c r="R27" s="367">
        <f t="shared" si="3"/>
        <v>11</v>
      </c>
      <c r="S27" s="360" t="str">
        <f t="shared" si="4"/>
        <v>—</v>
      </c>
      <c r="T27" s="360" t="str">
        <f t="shared" si="5"/>
        <v>B</v>
      </c>
      <c r="U27" s="360">
        <f t="shared" si="20"/>
        <v>7</v>
      </c>
      <c r="V27" s="360">
        <f t="shared" si="21"/>
        <v>8</v>
      </c>
      <c r="W27" s="360">
        <f t="shared" si="22"/>
        <v>0</v>
      </c>
      <c r="X27" s="354">
        <f t="shared" si="6"/>
        <v>7</v>
      </c>
      <c r="Y27" s="354">
        <f t="shared" si="7"/>
        <v>7</v>
      </c>
      <c r="Z27" s="354">
        <f t="shared" si="8"/>
        <v>0</v>
      </c>
    </row>
    <row r="28" spans="1:26" x14ac:dyDescent="0.25">
      <c r="A28" s="361">
        <v>26</v>
      </c>
      <c r="B28" s="362" t="s">
        <v>2038</v>
      </c>
      <c r="C28" s="361">
        <v>26</v>
      </c>
      <c r="D28" s="363">
        <v>61</v>
      </c>
      <c r="E28" s="363">
        <v>58</v>
      </c>
      <c r="F28" s="363">
        <v>64</v>
      </c>
      <c r="G28" s="363">
        <v>59</v>
      </c>
      <c r="H28" s="363">
        <v>63</v>
      </c>
      <c r="I28" s="363">
        <v>67</v>
      </c>
      <c r="J28" s="363">
        <v>60</v>
      </c>
      <c r="K28" s="366">
        <f t="shared" si="16"/>
        <v>432</v>
      </c>
      <c r="L28" s="363">
        <f t="shared" si="17"/>
        <v>58</v>
      </c>
      <c r="M28" s="363">
        <f t="shared" si="18"/>
        <v>67</v>
      </c>
      <c r="N28" s="364">
        <f t="shared" si="19"/>
        <v>61.714285714285715</v>
      </c>
      <c r="O28" s="365" t="str">
        <f t="shared" si="0"/>
        <v>Pass</v>
      </c>
      <c r="P28" s="365" t="str">
        <f t="shared" si="1"/>
        <v>Pass</v>
      </c>
      <c r="Q28" s="365" t="str">
        <f t="shared" si="2"/>
        <v>Pass</v>
      </c>
      <c r="R28" s="368">
        <f t="shared" si="3"/>
        <v>18</v>
      </c>
      <c r="S28" s="365" t="str">
        <f t="shared" si="4"/>
        <v>—</v>
      </c>
      <c r="T28" s="365" t="str">
        <f t="shared" si="5"/>
        <v>B</v>
      </c>
      <c r="U28" s="365">
        <f t="shared" si="20"/>
        <v>7</v>
      </c>
      <c r="V28" s="365">
        <f t="shared" si="21"/>
        <v>8</v>
      </c>
      <c r="W28" s="365">
        <f t="shared" si="22"/>
        <v>0</v>
      </c>
      <c r="X28" s="354">
        <f t="shared" si="6"/>
        <v>7</v>
      </c>
      <c r="Y28" s="354">
        <f t="shared" si="7"/>
        <v>7</v>
      </c>
      <c r="Z28" s="354">
        <f t="shared" si="8"/>
        <v>0</v>
      </c>
    </row>
    <row r="29" spans="1:26" x14ac:dyDescent="0.25">
      <c r="A29" s="336" t="s">
        <v>2023</v>
      </c>
      <c r="B29" s="336"/>
      <c r="C29" s="336"/>
      <c r="D29" s="369">
        <f t="shared" ref="D29:N29" si="23">AVERAGE(D3:D28)</f>
        <v>65.269230769230774</v>
      </c>
      <c r="E29" s="369">
        <f t="shared" si="23"/>
        <v>64.192307692307693</v>
      </c>
      <c r="F29" s="369">
        <f t="shared" si="23"/>
        <v>66.8</v>
      </c>
      <c r="G29" s="369">
        <f t="shared" si="23"/>
        <v>61.115384615384613</v>
      </c>
      <c r="H29" s="369">
        <f t="shared" si="23"/>
        <v>67.44</v>
      </c>
      <c r="I29" s="369">
        <f t="shared" si="23"/>
        <v>69.769230769230774</v>
      </c>
      <c r="J29" s="369">
        <f t="shared" si="23"/>
        <v>65.730769230769226</v>
      </c>
      <c r="K29" s="369">
        <f t="shared" si="23"/>
        <v>455.15384615384613</v>
      </c>
      <c r="L29" s="369">
        <f t="shared" si="23"/>
        <v>50.384615384615387</v>
      </c>
      <c r="M29" s="369">
        <f t="shared" si="23"/>
        <v>80.769230769230774</v>
      </c>
      <c r="N29" s="370">
        <f t="shared" si="23"/>
        <v>65.021978021978029</v>
      </c>
      <c r="O29" s="336" t="str">
        <f>COUNTIF(O3:O28,"Pass")&amp;" / 26 passed"</f>
        <v>22 / 26 passed</v>
      </c>
      <c r="P29" s="336"/>
      <c r="Q29" s="336"/>
      <c r="R29" s="336"/>
      <c r="S29" s="336"/>
      <c r="T29" s="336"/>
      <c r="U29" s="336"/>
      <c r="V29" s="336"/>
      <c r="W29" s="336"/>
      <c r="X29" s="372">
        <f>AVERAGE(X3:X28)</f>
        <v>6.6538461538461542</v>
      </c>
      <c r="Y29" s="372">
        <f>AVERAGE(Y3:Y28)</f>
        <v>6.7692307692307692</v>
      </c>
      <c r="Z29" s="373">
        <f>SUM(Z3:Z28)</f>
        <v>1</v>
      </c>
    </row>
    <row r="31" spans="1:26" ht="18.75" x14ac:dyDescent="0.3">
      <c r="A31" s="441" t="s">
        <v>2042</v>
      </c>
      <c r="B31" s="441"/>
      <c r="C31" s="441"/>
      <c r="D31" s="441"/>
      <c r="E31" s="441"/>
      <c r="F31" s="441"/>
      <c r="G31" s="441"/>
      <c r="H31" s="441"/>
    </row>
    <row r="33" spans="1:24" x14ac:dyDescent="0.25">
      <c r="A33" s="442" t="s">
        <v>1950</v>
      </c>
      <c r="B33" s="442"/>
      <c r="D33" s="442" t="s">
        <v>2052</v>
      </c>
      <c r="E33" s="442"/>
      <c r="G33" s="442" t="s">
        <v>2057</v>
      </c>
      <c r="H33" s="442"/>
      <c r="J33" s="434" t="s">
        <v>2064</v>
      </c>
      <c r="K33" s="434"/>
      <c r="L33" s="434"/>
      <c r="M33" s="434"/>
      <c r="N33" s="434"/>
      <c r="P33" s="435" t="s">
        <v>2261</v>
      </c>
      <c r="Q33" s="435"/>
      <c r="R33" s="435"/>
      <c r="S33" s="435"/>
      <c r="T33" s="435"/>
      <c r="U33" s="435"/>
      <c r="V33" s="435"/>
      <c r="W33" s="435"/>
      <c r="X33" s="435"/>
    </row>
    <row r="34" spans="1:24" ht="15.75" x14ac:dyDescent="0.25">
      <c r="A34" s="314" t="s">
        <v>2043</v>
      </c>
      <c r="B34" s="315">
        <f>COUNTA(B3:B28)</f>
        <v>26</v>
      </c>
      <c r="D34" s="374" t="s">
        <v>6</v>
      </c>
      <c r="E34" s="315">
        <f>COUNTIF($T$3:$T$28,"A")</f>
        <v>3</v>
      </c>
      <c r="F34" s="50"/>
      <c r="G34" s="325" t="s">
        <v>2000</v>
      </c>
      <c r="H34" s="380">
        <f>D29</f>
        <v>65.269230769230774</v>
      </c>
      <c r="J34" s="323" t="s">
        <v>1964</v>
      </c>
      <c r="K34" s="322" t="s">
        <v>2065</v>
      </c>
      <c r="L34" s="323" t="s">
        <v>2007</v>
      </c>
      <c r="M34" s="323" t="s">
        <v>1996</v>
      </c>
      <c r="N34" s="323" t="s">
        <v>2012</v>
      </c>
      <c r="P34" s="391" t="s">
        <v>2065</v>
      </c>
      <c r="Q34" s="391" t="s">
        <v>1996</v>
      </c>
      <c r="R34" s="391" t="s">
        <v>2000</v>
      </c>
      <c r="S34" s="391" t="s">
        <v>665</v>
      </c>
      <c r="T34" s="391" t="s">
        <v>2001</v>
      </c>
      <c r="U34" s="391" t="s">
        <v>2002</v>
      </c>
      <c r="V34" s="391" t="s">
        <v>2003</v>
      </c>
      <c r="W34" s="391" t="s">
        <v>1887</v>
      </c>
      <c r="X34" s="391" t="s">
        <v>2004</v>
      </c>
    </row>
    <row r="35" spans="1:24" ht="15.75" x14ac:dyDescent="0.25">
      <c r="A35" s="375" t="s">
        <v>2044</v>
      </c>
      <c r="B35" s="376">
        <f>COUNTIF(O3:O28,"Pass")</f>
        <v>22</v>
      </c>
      <c r="D35" s="374" t="s">
        <v>2053</v>
      </c>
      <c r="E35" s="315">
        <f>COUNTIF($T$3:$T$28,"B")</f>
        <v>16</v>
      </c>
      <c r="F35" s="50"/>
      <c r="G35" s="325" t="s">
        <v>665</v>
      </c>
      <c r="H35" s="380">
        <f>E29</f>
        <v>64.192307692307693</v>
      </c>
      <c r="J35" s="383">
        <v>1</v>
      </c>
      <c r="K35" s="384" t="str">
        <f>INDEX($B$3:$B$28,MATCH(L35,$N$3:$N$28,0))</f>
        <v>Ishita Kapoor</v>
      </c>
      <c r="L35" s="385">
        <f>LARGE($N$3:$N$28,J35)</f>
        <v>91.857142857142861</v>
      </c>
      <c r="M35" s="386">
        <f>INDEX($K$3:$K$28,MATCH(L35,$N$3:$N$28,0))</f>
        <v>643</v>
      </c>
      <c r="N35" s="383" t="str">
        <f>INDEX($T$3:$T$28,MATCH(L35,$N$3:$N$28,0))</f>
        <v>A</v>
      </c>
      <c r="P35" s="392" t="str">
        <f t="shared" ref="P35:P60" si="24">B3</f>
        <v>Prakash Kumar</v>
      </c>
      <c r="Q35" s="393">
        <f t="shared" ref="Q35:Q60" si="25">K3</f>
        <v>508</v>
      </c>
      <c r="R35" s="393">
        <f t="shared" ref="R35:R60" si="26">D3</f>
        <v>76</v>
      </c>
      <c r="S35" s="393">
        <f t="shared" ref="S35:S60" si="27">E3</f>
        <v>94</v>
      </c>
      <c r="T35" s="393">
        <f t="shared" ref="T35:T60" si="28">F3</f>
        <v>53</v>
      </c>
      <c r="U35" s="393">
        <f t="shared" ref="U35:U60" si="29">G3</f>
        <v>56</v>
      </c>
      <c r="V35" s="393">
        <f t="shared" ref="V35:V60" si="30">H3</f>
        <v>54</v>
      </c>
      <c r="W35" s="393">
        <f t="shared" ref="W35:W60" si="31">I3</f>
        <v>98</v>
      </c>
      <c r="X35" s="393">
        <f t="shared" ref="X35:X60" si="32">J3</f>
        <v>77</v>
      </c>
    </row>
    <row r="36" spans="1:24" ht="15.75" x14ac:dyDescent="0.25">
      <c r="A36" s="377" t="s">
        <v>2045</v>
      </c>
      <c r="B36" s="316">
        <f>COUNTIF(O3:O28,"Fail")</f>
        <v>4</v>
      </c>
      <c r="D36" s="374" t="s">
        <v>2054</v>
      </c>
      <c r="E36" s="315">
        <f>COUNTIF($T$3:$T$28,"C")</f>
        <v>5</v>
      </c>
      <c r="F36" s="50"/>
      <c r="G36" s="325" t="s">
        <v>2001</v>
      </c>
      <c r="H36" s="380">
        <f>F29</f>
        <v>66.8</v>
      </c>
      <c r="J36" s="381">
        <v>2</v>
      </c>
      <c r="K36" s="331" t="str">
        <f>INDEX($B$3:$B$28,MATCH(L36,$N$3:$N$28,0))</f>
        <v>Pooja Nair</v>
      </c>
      <c r="L36" s="382">
        <f>LARGE($N$3:$N$28,J36)</f>
        <v>86.571428571428569</v>
      </c>
      <c r="M36" s="330">
        <f>INDEX($K$3:$K$28,MATCH(L36,$N$3:$N$28,0))</f>
        <v>606</v>
      </c>
      <c r="N36" s="381" t="str">
        <f>INDEX($T$3:$T$28,MATCH(L36,$N$3:$N$28,0))</f>
        <v>A</v>
      </c>
      <c r="P36" s="392" t="str">
        <f t="shared" si="24"/>
        <v>Daksh Kumar</v>
      </c>
      <c r="Q36" s="393">
        <f t="shared" si="25"/>
        <v>494</v>
      </c>
      <c r="R36" s="393">
        <f t="shared" si="26"/>
        <v>54</v>
      </c>
      <c r="S36" s="393">
        <f t="shared" si="27"/>
        <v>81</v>
      </c>
      <c r="T36" s="393">
        <f t="shared" si="28"/>
        <v>94</v>
      </c>
      <c r="U36" s="393">
        <f t="shared" si="29"/>
        <v>60</v>
      </c>
      <c r="V36" s="393">
        <f t="shared" si="30"/>
        <v>86</v>
      </c>
      <c r="W36" s="393">
        <f t="shared" si="31"/>
        <v>85</v>
      </c>
      <c r="X36" s="393">
        <f t="shared" si="32"/>
        <v>34</v>
      </c>
    </row>
    <row r="37" spans="1:24" ht="15.75" x14ac:dyDescent="0.25">
      <c r="A37" s="314" t="s">
        <v>2046</v>
      </c>
      <c r="B37" s="317">
        <f>IF(B34=0,"",B35/B34)</f>
        <v>0.84615384615384615</v>
      </c>
      <c r="D37" s="374" t="s">
        <v>2055</v>
      </c>
      <c r="E37" s="315">
        <f>COUNTIF($T$3:$T$28,"D")</f>
        <v>2</v>
      </c>
      <c r="F37" s="50"/>
      <c r="G37" s="325" t="s">
        <v>2002</v>
      </c>
      <c r="H37" s="380">
        <f>G29</f>
        <v>61.115384615384613</v>
      </c>
      <c r="J37" s="383">
        <v>3</v>
      </c>
      <c r="K37" s="384" t="str">
        <f>INDEX($B$3:$B$28,MATCH(L37,$N$3:$N$28,0))</f>
        <v>Ananya Sharma</v>
      </c>
      <c r="L37" s="385">
        <f>LARGE($N$3:$N$28,J37)</f>
        <v>84.142857142857139</v>
      </c>
      <c r="M37" s="387">
        <f>INDEX($K$3:$K$28,MATCH(L37,$N$3:$N$28,0))</f>
        <v>589</v>
      </c>
      <c r="N37" s="383" t="str">
        <f>INDEX($T$3:$T$28,MATCH(L37,$N$3:$N$28,0))</f>
        <v>A</v>
      </c>
      <c r="P37" s="392" t="str">
        <f t="shared" si="24"/>
        <v>Chand Chanival</v>
      </c>
      <c r="Q37" s="393">
        <f t="shared" si="25"/>
        <v>503</v>
      </c>
      <c r="R37" s="393">
        <f t="shared" si="26"/>
        <v>61</v>
      </c>
      <c r="S37" s="393">
        <f t="shared" si="27"/>
        <v>67</v>
      </c>
      <c r="T37" s="393">
        <f t="shared" si="28"/>
        <v>33</v>
      </c>
      <c r="U37" s="393">
        <f t="shared" si="29"/>
        <v>95</v>
      </c>
      <c r="V37" s="393">
        <f t="shared" si="30"/>
        <v>97</v>
      </c>
      <c r="W37" s="393">
        <f t="shared" si="31"/>
        <v>58</v>
      </c>
      <c r="X37" s="393">
        <f t="shared" si="32"/>
        <v>92</v>
      </c>
    </row>
    <row r="38" spans="1:24" ht="15.75" x14ac:dyDescent="0.25">
      <c r="A38" s="314" t="s">
        <v>2047</v>
      </c>
      <c r="B38" s="378">
        <f>N29</f>
        <v>65.021978021978029</v>
      </c>
      <c r="D38" s="374" t="s">
        <v>2056</v>
      </c>
      <c r="E38" s="315">
        <f>COUNTIF($T$3:$T$28,"F")</f>
        <v>0</v>
      </c>
      <c r="F38" s="50"/>
      <c r="G38" s="325" t="s">
        <v>2003</v>
      </c>
      <c r="H38" s="380">
        <f>H29</f>
        <v>67.44</v>
      </c>
      <c r="J38" s="381">
        <v>4</v>
      </c>
      <c r="K38" s="331" t="str">
        <f>INDEX($B$3:$B$28,MATCH(L38,$N$3:$N$28,0))</f>
        <v>Aditya Rao</v>
      </c>
      <c r="L38" s="382">
        <f>LARGE($N$3:$N$28,J38)</f>
        <v>78.142857142857139</v>
      </c>
      <c r="M38" s="330">
        <f>INDEX($K$3:$K$28,MATCH(L38,$N$3:$N$28,0))</f>
        <v>547</v>
      </c>
      <c r="N38" s="381" t="str">
        <f>INDEX($T$3:$T$28,MATCH(L38,$N$3:$N$28,0))</f>
        <v>B</v>
      </c>
      <c r="P38" s="392" t="str">
        <f t="shared" si="24"/>
        <v>Current player: X</v>
      </c>
      <c r="Q38" s="393">
        <f t="shared" si="25"/>
        <v>348</v>
      </c>
      <c r="R38" s="393">
        <f t="shared" si="26"/>
        <v>87</v>
      </c>
      <c r="S38" s="393">
        <f t="shared" si="27"/>
        <v>72</v>
      </c>
      <c r="T38" s="393">
        <f t="shared" si="28"/>
        <v>0</v>
      </c>
      <c r="U38" s="393">
        <f t="shared" si="29"/>
        <v>37</v>
      </c>
      <c r="V38" s="393">
        <f t="shared" si="30"/>
        <v>52</v>
      </c>
      <c r="W38" s="393">
        <f t="shared" si="31"/>
        <v>34</v>
      </c>
      <c r="X38" s="393">
        <f t="shared" si="32"/>
        <v>66</v>
      </c>
    </row>
    <row r="39" spans="1:24" x14ac:dyDescent="0.25">
      <c r="A39" s="375" t="s">
        <v>2048</v>
      </c>
      <c r="B39" s="292" t="str">
        <f>INDEX($B$3:$B$28,MATCH(MAX($N$3:$N$28),$N$3:$N$28,0))</f>
        <v>Ishita Kapoor</v>
      </c>
      <c r="E39" s="50"/>
      <c r="F39" s="50"/>
      <c r="G39" s="325" t="s">
        <v>1887</v>
      </c>
      <c r="H39" s="380">
        <f>I29</f>
        <v>69.769230769230774</v>
      </c>
      <c r="J39" s="383">
        <v>5</v>
      </c>
      <c r="K39" s="384" t="str">
        <f>INDEX($B$3:$B$28,MATCH(L39,$N$3:$N$28,0))</f>
        <v>Prakash Kumar</v>
      </c>
      <c r="L39" s="385">
        <f>LARGE($N$3:$N$28,J39)</f>
        <v>72.571428571428569</v>
      </c>
      <c r="M39" s="387">
        <f>INDEX($K$3:$K$28,MATCH(L39,$N$3:$N$28,0))</f>
        <v>508</v>
      </c>
      <c r="N39" s="383" t="str">
        <f>INDEX($T$3:$T$28,MATCH(L39,$N$3:$N$28,0))</f>
        <v>B</v>
      </c>
      <c r="P39" s="392" t="str">
        <f t="shared" si="24"/>
        <v>Mayank Latwal</v>
      </c>
      <c r="Q39" s="393">
        <f t="shared" si="25"/>
        <v>396</v>
      </c>
      <c r="R39" s="393">
        <f t="shared" si="26"/>
        <v>45</v>
      </c>
      <c r="S39" s="393">
        <f t="shared" si="27"/>
        <v>69</v>
      </c>
      <c r="T39" s="393">
        <f t="shared" si="28"/>
        <v>100</v>
      </c>
      <c r="U39" s="393">
        <f t="shared" si="29"/>
        <v>39</v>
      </c>
      <c r="V39" s="393" t="str">
        <f t="shared" si="30"/>
        <v>A</v>
      </c>
      <c r="W39" s="393">
        <f t="shared" si="31"/>
        <v>86</v>
      </c>
      <c r="X39" s="393">
        <f t="shared" si="32"/>
        <v>57</v>
      </c>
    </row>
    <row r="40" spans="1:24" ht="15.75" x14ac:dyDescent="0.25">
      <c r="A40" s="314" t="s">
        <v>2049</v>
      </c>
      <c r="B40" s="378">
        <f>MAX($N$3:$N$28)</f>
        <v>91.857142857142861</v>
      </c>
      <c r="E40" s="50"/>
      <c r="F40" s="50"/>
      <c r="G40" s="325" t="s">
        <v>2004</v>
      </c>
      <c r="H40" s="380">
        <f>J29</f>
        <v>65.730769230769226</v>
      </c>
      <c r="P40" s="392" t="str">
        <f t="shared" si="24"/>
        <v>Mayank Arya</v>
      </c>
      <c r="Q40" s="393">
        <f t="shared" si="25"/>
        <v>488</v>
      </c>
      <c r="R40" s="393">
        <f t="shared" si="26"/>
        <v>44</v>
      </c>
      <c r="S40" s="393">
        <f t="shared" si="27"/>
        <v>60</v>
      </c>
      <c r="T40" s="393">
        <f t="shared" si="28"/>
        <v>82</v>
      </c>
      <c r="U40" s="393">
        <f t="shared" si="29"/>
        <v>83</v>
      </c>
      <c r="V40" s="393">
        <f t="shared" si="30"/>
        <v>67</v>
      </c>
      <c r="W40" s="393">
        <f t="shared" si="31"/>
        <v>80</v>
      </c>
      <c r="X40" s="393">
        <f t="shared" si="32"/>
        <v>72</v>
      </c>
    </row>
    <row r="41" spans="1:24" x14ac:dyDescent="0.25">
      <c r="A41" s="377" t="s">
        <v>2050</v>
      </c>
      <c r="B41" s="379" t="str">
        <f>INDEX($D$2:$J$2,MATCH(MIN($D$29:$J$29),$D$29:$J$29,0))</f>
        <v>Economics</v>
      </c>
      <c r="E41" s="50"/>
      <c r="F41" s="50"/>
      <c r="G41" s="50"/>
      <c r="P41" s="392" t="str">
        <f t="shared" si="24"/>
        <v>Chirag Singh</v>
      </c>
      <c r="Q41" s="393">
        <f t="shared" si="25"/>
        <v>473</v>
      </c>
      <c r="R41" s="393">
        <f t="shared" si="26"/>
        <v>70</v>
      </c>
      <c r="S41" s="393">
        <f t="shared" si="27"/>
        <v>50</v>
      </c>
      <c r="T41" s="393">
        <f t="shared" si="28"/>
        <v>74</v>
      </c>
      <c r="U41" s="393">
        <f t="shared" si="29"/>
        <v>53</v>
      </c>
      <c r="V41" s="393">
        <f t="shared" si="30"/>
        <v>85</v>
      </c>
      <c r="W41" s="393">
        <f t="shared" si="31"/>
        <v>78</v>
      </c>
      <c r="X41" s="393">
        <f t="shared" si="32"/>
        <v>63</v>
      </c>
    </row>
    <row r="42" spans="1:24" ht="15.75" x14ac:dyDescent="0.25">
      <c r="A42" s="314" t="s">
        <v>2051</v>
      </c>
      <c r="B42" s="315">
        <f>Z29</f>
        <v>1</v>
      </c>
      <c r="E42" s="50"/>
      <c r="F42" s="50"/>
      <c r="G42" s="50"/>
      <c r="P42" s="392" t="str">
        <f t="shared" si="24"/>
        <v>Bhavesh Pathak</v>
      </c>
      <c r="Q42" s="393">
        <f t="shared" si="25"/>
        <v>428</v>
      </c>
      <c r="R42" s="393">
        <f t="shared" si="26"/>
        <v>42</v>
      </c>
      <c r="S42" s="393">
        <f t="shared" si="27"/>
        <v>44</v>
      </c>
      <c r="T42" s="393">
        <f t="shared" si="28"/>
        <v>67</v>
      </c>
      <c r="U42" s="393">
        <f t="shared" si="29"/>
        <v>69</v>
      </c>
      <c r="V42" s="393">
        <f t="shared" si="30"/>
        <v>80</v>
      </c>
      <c r="W42" s="393">
        <f t="shared" si="31"/>
        <v>48</v>
      </c>
      <c r="X42" s="393">
        <f t="shared" si="32"/>
        <v>78</v>
      </c>
    </row>
    <row r="43" spans="1:24" x14ac:dyDescent="0.25">
      <c r="E43" s="50"/>
      <c r="F43" s="50"/>
      <c r="G43" s="50"/>
      <c r="P43" s="392" t="str">
        <f t="shared" si="24"/>
        <v>Deepak</v>
      </c>
      <c r="Q43" s="393">
        <f t="shared" si="25"/>
        <v>486</v>
      </c>
      <c r="R43" s="393">
        <f t="shared" si="26"/>
        <v>100</v>
      </c>
      <c r="S43" s="393">
        <f t="shared" si="27"/>
        <v>35</v>
      </c>
      <c r="T43" s="393">
        <f t="shared" si="28"/>
        <v>41</v>
      </c>
      <c r="U43" s="393">
        <f t="shared" si="29"/>
        <v>82</v>
      </c>
      <c r="V43" s="393">
        <f t="shared" si="30"/>
        <v>71</v>
      </c>
      <c r="W43" s="393">
        <f t="shared" si="31"/>
        <v>66</v>
      </c>
      <c r="X43" s="393">
        <f t="shared" si="32"/>
        <v>91</v>
      </c>
    </row>
    <row r="44" spans="1:24" x14ac:dyDescent="0.25">
      <c r="A44" s="436" t="s">
        <v>1969</v>
      </c>
      <c r="B44" s="436"/>
      <c r="C44" s="436"/>
      <c r="D44" s="436"/>
      <c r="E44" s="436"/>
      <c r="F44" s="436"/>
      <c r="G44" s="436"/>
      <c r="H44" s="436"/>
      <c r="P44" s="392" t="str">
        <f t="shared" si="24"/>
        <v>Amit Kumar</v>
      </c>
      <c r="Q44" s="393">
        <f t="shared" si="25"/>
        <v>456</v>
      </c>
      <c r="R44" s="393">
        <f t="shared" si="26"/>
        <v>64</v>
      </c>
      <c r="S44" s="393">
        <f t="shared" si="27"/>
        <v>42</v>
      </c>
      <c r="T44" s="393">
        <f t="shared" si="28"/>
        <v>91</v>
      </c>
      <c r="U44" s="393">
        <f t="shared" si="29"/>
        <v>57</v>
      </c>
      <c r="V44" s="393">
        <f t="shared" si="30"/>
        <v>75</v>
      </c>
      <c r="W44" s="393">
        <f t="shared" si="31"/>
        <v>52</v>
      </c>
      <c r="X44" s="393">
        <f t="shared" si="32"/>
        <v>75</v>
      </c>
    </row>
    <row r="45" spans="1:24" ht="27.95" customHeight="1" x14ac:dyDescent="0.25">
      <c r="A45" s="433" t="s">
        <v>2058</v>
      </c>
      <c r="B45" s="433"/>
      <c r="C45" s="433"/>
      <c r="D45" s="433"/>
      <c r="E45" s="433"/>
      <c r="F45" s="433"/>
      <c r="G45" s="433"/>
      <c r="H45" s="433"/>
      <c r="P45" s="392" t="str">
        <f t="shared" si="24"/>
        <v>Rahul Mishra</v>
      </c>
      <c r="Q45" s="393">
        <f t="shared" si="25"/>
        <v>473</v>
      </c>
      <c r="R45" s="393">
        <f t="shared" si="26"/>
        <v>84</v>
      </c>
      <c r="S45" s="393">
        <f t="shared" si="27"/>
        <v>94</v>
      </c>
      <c r="T45" s="393">
        <f t="shared" si="28"/>
        <v>66</v>
      </c>
      <c r="U45" s="393">
        <f t="shared" si="29"/>
        <v>43</v>
      </c>
      <c r="V45" s="393">
        <f t="shared" si="30"/>
        <v>44</v>
      </c>
      <c r="W45" s="393">
        <f t="shared" si="31"/>
        <v>100</v>
      </c>
      <c r="X45" s="393">
        <f t="shared" si="32"/>
        <v>42</v>
      </c>
    </row>
    <row r="46" spans="1:24" ht="27.95" customHeight="1" x14ac:dyDescent="0.25">
      <c r="A46" s="433" t="s">
        <v>2059</v>
      </c>
      <c r="B46" s="433"/>
      <c r="C46" s="433"/>
      <c r="D46" s="433"/>
      <c r="E46" s="433"/>
      <c r="F46" s="433"/>
      <c r="G46" s="433"/>
      <c r="H46" s="433"/>
      <c r="P46" s="392" t="str">
        <f t="shared" si="24"/>
        <v>Rohit Verma</v>
      </c>
      <c r="Q46" s="393">
        <f t="shared" si="25"/>
        <v>508</v>
      </c>
      <c r="R46" s="393">
        <f t="shared" si="26"/>
        <v>72</v>
      </c>
      <c r="S46" s="393">
        <f t="shared" si="27"/>
        <v>81</v>
      </c>
      <c r="T46" s="393">
        <f t="shared" si="28"/>
        <v>64</v>
      </c>
      <c r="U46" s="393">
        <f t="shared" si="29"/>
        <v>58</v>
      </c>
      <c r="V46" s="393">
        <f t="shared" si="30"/>
        <v>70</v>
      </c>
      <c r="W46" s="393">
        <f t="shared" si="31"/>
        <v>88</v>
      </c>
      <c r="X46" s="393">
        <f t="shared" si="32"/>
        <v>75</v>
      </c>
    </row>
    <row r="47" spans="1:24" ht="27.95" customHeight="1" x14ac:dyDescent="0.25">
      <c r="A47" s="433" t="s">
        <v>2060</v>
      </c>
      <c r="B47" s="433"/>
      <c r="C47" s="433"/>
      <c r="D47" s="433"/>
      <c r="E47" s="433"/>
      <c r="F47" s="433"/>
      <c r="G47" s="433"/>
      <c r="H47" s="433"/>
      <c r="P47" s="392" t="str">
        <f t="shared" si="24"/>
        <v>Ananya Sharma</v>
      </c>
      <c r="Q47" s="393">
        <f t="shared" si="25"/>
        <v>589</v>
      </c>
      <c r="R47" s="393">
        <f t="shared" si="26"/>
        <v>91</v>
      </c>
      <c r="S47" s="393">
        <f t="shared" si="27"/>
        <v>86</v>
      </c>
      <c r="T47" s="393">
        <f t="shared" si="28"/>
        <v>79</v>
      </c>
      <c r="U47" s="393">
        <f t="shared" si="29"/>
        <v>84</v>
      </c>
      <c r="V47" s="393">
        <f t="shared" si="30"/>
        <v>77</v>
      </c>
      <c r="W47" s="393">
        <f t="shared" si="31"/>
        <v>90</v>
      </c>
      <c r="X47" s="393">
        <f t="shared" si="32"/>
        <v>82</v>
      </c>
    </row>
    <row r="48" spans="1:24" ht="27.95" customHeight="1" x14ac:dyDescent="0.25">
      <c r="A48" s="433" t="s">
        <v>2061</v>
      </c>
      <c r="B48" s="433"/>
      <c r="C48" s="433"/>
      <c r="D48" s="433"/>
      <c r="E48" s="433"/>
      <c r="F48" s="433"/>
      <c r="G48" s="433"/>
      <c r="H48" s="433"/>
      <c r="P48" s="392" t="str">
        <f t="shared" si="24"/>
        <v>Vikas Patel</v>
      </c>
      <c r="Q48" s="393">
        <f t="shared" si="25"/>
        <v>272</v>
      </c>
      <c r="R48" s="393">
        <f t="shared" si="26"/>
        <v>40</v>
      </c>
      <c r="S48" s="393">
        <f t="shared" si="27"/>
        <v>33</v>
      </c>
      <c r="T48" s="393">
        <f t="shared" si="28"/>
        <v>45</v>
      </c>
      <c r="U48" s="393">
        <f t="shared" si="29"/>
        <v>38</v>
      </c>
      <c r="V48" s="393">
        <f t="shared" si="30"/>
        <v>41</v>
      </c>
      <c r="W48" s="393">
        <f t="shared" si="31"/>
        <v>36</v>
      </c>
      <c r="X48" s="393">
        <f t="shared" si="32"/>
        <v>39</v>
      </c>
    </row>
    <row r="49" spans="1:24" ht="27.95" customHeight="1" x14ac:dyDescent="0.25">
      <c r="A49" s="433" t="s">
        <v>2062</v>
      </c>
      <c r="B49" s="433"/>
      <c r="C49" s="433"/>
      <c r="D49" s="433"/>
      <c r="E49" s="433"/>
      <c r="F49" s="433"/>
      <c r="G49" s="433"/>
      <c r="H49" s="433"/>
      <c r="P49" s="392" t="str">
        <f t="shared" si="24"/>
        <v>Neha Gupta</v>
      </c>
      <c r="Q49" s="393">
        <f t="shared" si="25"/>
        <v>500</v>
      </c>
      <c r="R49" s="393">
        <f t="shared" si="26"/>
        <v>68</v>
      </c>
      <c r="S49" s="393">
        <f t="shared" si="27"/>
        <v>74</v>
      </c>
      <c r="T49" s="393">
        <f t="shared" si="28"/>
        <v>71</v>
      </c>
      <c r="U49" s="393">
        <f t="shared" si="29"/>
        <v>69</v>
      </c>
      <c r="V49" s="393">
        <f t="shared" si="30"/>
        <v>80</v>
      </c>
      <c r="W49" s="393">
        <f t="shared" si="31"/>
        <v>65</v>
      </c>
      <c r="X49" s="393">
        <f t="shared" si="32"/>
        <v>73</v>
      </c>
    </row>
    <row r="50" spans="1:24" x14ac:dyDescent="0.25">
      <c r="P50" s="392" t="str">
        <f t="shared" si="24"/>
        <v>Arjun Mehta</v>
      </c>
      <c r="Q50" s="393">
        <f t="shared" si="25"/>
        <v>389</v>
      </c>
      <c r="R50" s="393">
        <f t="shared" si="26"/>
        <v>55</v>
      </c>
      <c r="S50" s="393">
        <f t="shared" si="27"/>
        <v>49</v>
      </c>
      <c r="T50" s="393">
        <f t="shared" si="28"/>
        <v>62</v>
      </c>
      <c r="U50" s="393">
        <f t="shared" si="29"/>
        <v>51</v>
      </c>
      <c r="V50" s="393">
        <f t="shared" si="30"/>
        <v>58</v>
      </c>
      <c r="W50" s="393">
        <f t="shared" si="31"/>
        <v>60</v>
      </c>
      <c r="X50" s="393">
        <f t="shared" si="32"/>
        <v>54</v>
      </c>
    </row>
    <row r="51" spans="1:24" x14ac:dyDescent="0.25">
      <c r="A51" s="437" t="s">
        <v>1966</v>
      </c>
      <c r="B51" s="437"/>
      <c r="C51" s="437"/>
      <c r="D51" s="437"/>
      <c r="E51" s="437"/>
      <c r="F51" s="437"/>
      <c r="G51" s="437"/>
      <c r="H51" s="437"/>
      <c r="P51" s="392" t="str">
        <f t="shared" si="24"/>
        <v>Pooja Nair</v>
      </c>
      <c r="Q51" s="393">
        <f t="shared" si="25"/>
        <v>606</v>
      </c>
      <c r="R51" s="393">
        <f t="shared" si="26"/>
        <v>88</v>
      </c>
      <c r="S51" s="393">
        <f t="shared" si="27"/>
        <v>92</v>
      </c>
      <c r="T51" s="393">
        <f t="shared" si="28"/>
        <v>85</v>
      </c>
      <c r="U51" s="393">
        <f t="shared" si="29"/>
        <v>79</v>
      </c>
      <c r="V51" s="393">
        <f t="shared" si="30"/>
        <v>81</v>
      </c>
      <c r="W51" s="393">
        <f t="shared" si="31"/>
        <v>94</v>
      </c>
      <c r="X51" s="393">
        <f t="shared" si="32"/>
        <v>87</v>
      </c>
    </row>
    <row r="52" spans="1:24" ht="27.95" customHeight="1" x14ac:dyDescent="0.25">
      <c r="A52" s="433" t="s">
        <v>2063</v>
      </c>
      <c r="B52" s="433"/>
      <c r="C52" s="433"/>
      <c r="D52" s="433"/>
      <c r="E52" s="433"/>
      <c r="F52" s="433"/>
      <c r="G52" s="433"/>
      <c r="H52" s="433"/>
      <c r="P52" s="392" t="str">
        <f t="shared" si="24"/>
        <v>Karan Singh</v>
      </c>
      <c r="Q52" s="393">
        <f t="shared" si="25"/>
        <v>305</v>
      </c>
      <c r="R52" s="393">
        <f t="shared" si="26"/>
        <v>31</v>
      </c>
      <c r="S52" s="393">
        <f t="shared" si="27"/>
        <v>44</v>
      </c>
      <c r="T52" s="393">
        <f t="shared" si="28"/>
        <v>52</v>
      </c>
      <c r="U52" s="393">
        <f t="shared" si="29"/>
        <v>29</v>
      </c>
      <c r="V52" s="393">
        <f t="shared" si="30"/>
        <v>48</v>
      </c>
      <c r="W52" s="393">
        <f t="shared" si="31"/>
        <v>61</v>
      </c>
      <c r="X52" s="393">
        <f t="shared" si="32"/>
        <v>40</v>
      </c>
    </row>
    <row r="53" spans="1:24" ht="27.95" customHeight="1" x14ac:dyDescent="0.25">
      <c r="A53" s="433"/>
      <c r="B53" s="433"/>
      <c r="C53" s="433"/>
      <c r="D53" s="433"/>
      <c r="E53" s="433"/>
      <c r="F53" s="433"/>
      <c r="G53" s="433"/>
      <c r="H53" s="433"/>
      <c r="P53" s="392" t="str">
        <f t="shared" si="24"/>
        <v>Sneha Joshi</v>
      </c>
      <c r="Q53" s="393">
        <f t="shared" si="25"/>
        <v>503</v>
      </c>
      <c r="R53" s="393">
        <f t="shared" si="26"/>
        <v>76</v>
      </c>
      <c r="S53" s="393">
        <f t="shared" si="27"/>
        <v>69</v>
      </c>
      <c r="T53" s="393">
        <f t="shared" si="28"/>
        <v>73</v>
      </c>
      <c r="U53" s="393">
        <f t="shared" si="29"/>
        <v>70</v>
      </c>
      <c r="V53" s="393">
        <f t="shared" si="30"/>
        <v>66</v>
      </c>
      <c r="W53" s="393">
        <f t="shared" si="31"/>
        <v>78</v>
      </c>
      <c r="X53" s="393">
        <f t="shared" si="32"/>
        <v>71</v>
      </c>
    </row>
    <row r="54" spans="1:24" x14ac:dyDescent="0.25">
      <c r="P54" s="392" t="str">
        <f t="shared" si="24"/>
        <v>Aditya Rao</v>
      </c>
      <c r="Q54" s="393">
        <f t="shared" si="25"/>
        <v>547</v>
      </c>
      <c r="R54" s="393">
        <f t="shared" si="26"/>
        <v>83</v>
      </c>
      <c r="S54" s="393">
        <f t="shared" si="27"/>
        <v>77</v>
      </c>
      <c r="T54" s="393">
        <f t="shared" si="28"/>
        <v>80</v>
      </c>
      <c r="U54" s="393">
        <f t="shared" si="29"/>
        <v>75</v>
      </c>
      <c r="V54" s="393">
        <f t="shared" si="30"/>
        <v>82</v>
      </c>
      <c r="W54" s="393">
        <f t="shared" si="31"/>
        <v>71</v>
      </c>
      <c r="X54" s="393">
        <f t="shared" si="32"/>
        <v>79</v>
      </c>
    </row>
    <row r="55" spans="1:24" x14ac:dyDescent="0.25">
      <c r="P55" s="392" t="str">
        <f t="shared" si="24"/>
        <v>Meera Iyer</v>
      </c>
      <c r="Q55" s="393">
        <f t="shared" si="25"/>
        <v>433</v>
      </c>
      <c r="R55" s="393">
        <f t="shared" si="26"/>
        <v>59</v>
      </c>
      <c r="S55" s="393">
        <f t="shared" si="27"/>
        <v>63</v>
      </c>
      <c r="T55" s="393">
        <f t="shared" si="28"/>
        <v>57</v>
      </c>
      <c r="U55" s="393">
        <f t="shared" si="29"/>
        <v>64</v>
      </c>
      <c r="V55" s="393">
        <f t="shared" si="30"/>
        <v>60</v>
      </c>
      <c r="W55" s="393">
        <f t="shared" si="31"/>
        <v>68</v>
      </c>
      <c r="X55" s="393">
        <f t="shared" si="32"/>
        <v>62</v>
      </c>
    </row>
    <row r="56" spans="1:24" x14ac:dyDescent="0.25">
      <c r="P56" s="392" t="str">
        <f t="shared" si="24"/>
        <v>Harsh Malhotra</v>
      </c>
      <c r="Q56" s="393">
        <f t="shared" si="25"/>
        <v>326</v>
      </c>
      <c r="R56" s="393">
        <f t="shared" si="26"/>
        <v>47</v>
      </c>
      <c r="S56" s="393">
        <f t="shared" si="27"/>
        <v>52</v>
      </c>
      <c r="T56" s="393">
        <f t="shared" si="28"/>
        <v>38</v>
      </c>
      <c r="U56" s="393">
        <f t="shared" si="29"/>
        <v>41</v>
      </c>
      <c r="V56" s="393">
        <f t="shared" si="30"/>
        <v>49</v>
      </c>
      <c r="W56" s="393">
        <f t="shared" si="31"/>
        <v>55</v>
      </c>
      <c r="X56" s="393">
        <f t="shared" si="32"/>
        <v>44</v>
      </c>
    </row>
    <row r="57" spans="1:24" x14ac:dyDescent="0.25">
      <c r="P57" s="392" t="str">
        <f t="shared" si="24"/>
        <v>Ishita Kapoor</v>
      </c>
      <c r="Q57" s="393">
        <f t="shared" si="25"/>
        <v>643</v>
      </c>
      <c r="R57" s="393">
        <f t="shared" si="26"/>
        <v>95</v>
      </c>
      <c r="S57" s="393">
        <f t="shared" si="27"/>
        <v>89</v>
      </c>
      <c r="T57" s="393">
        <f t="shared" si="28"/>
        <v>91</v>
      </c>
      <c r="U57" s="393">
        <f t="shared" si="29"/>
        <v>88</v>
      </c>
      <c r="V57" s="393">
        <f t="shared" si="30"/>
        <v>93</v>
      </c>
      <c r="W57" s="393">
        <f t="shared" si="31"/>
        <v>97</v>
      </c>
      <c r="X57" s="393">
        <f t="shared" si="32"/>
        <v>90</v>
      </c>
    </row>
    <row r="58" spans="1:24" x14ac:dyDescent="0.25">
      <c r="P58" s="392" t="str">
        <f t="shared" si="24"/>
        <v>Nikhil Jain</v>
      </c>
      <c r="Q58" s="393">
        <f t="shared" si="25"/>
        <v>238</v>
      </c>
      <c r="R58" s="393">
        <f t="shared" si="26"/>
        <v>34</v>
      </c>
      <c r="S58" s="393">
        <f t="shared" si="27"/>
        <v>28</v>
      </c>
      <c r="T58" s="393">
        <f t="shared" si="28"/>
        <v>36</v>
      </c>
      <c r="U58" s="393">
        <f t="shared" si="29"/>
        <v>42</v>
      </c>
      <c r="V58" s="393">
        <f t="shared" si="30"/>
        <v>33</v>
      </c>
      <c r="W58" s="393">
        <f t="shared" si="31"/>
        <v>30</v>
      </c>
      <c r="X58" s="393">
        <f t="shared" si="32"/>
        <v>35</v>
      </c>
    </row>
    <row r="59" spans="1:24" x14ac:dyDescent="0.25">
      <c r="P59" s="392" t="str">
        <f t="shared" si="24"/>
        <v>Riya Banerjee</v>
      </c>
      <c r="Q59" s="393">
        <f t="shared" si="25"/>
        <v>490</v>
      </c>
      <c r="R59" s="393">
        <f t="shared" si="26"/>
        <v>70</v>
      </c>
      <c r="S59" s="393">
        <f t="shared" si="27"/>
        <v>66</v>
      </c>
      <c r="T59" s="393">
        <f t="shared" si="28"/>
        <v>72</v>
      </c>
      <c r="U59" s="393">
        <f t="shared" si="29"/>
        <v>68</v>
      </c>
      <c r="V59" s="393">
        <f t="shared" si="30"/>
        <v>74</v>
      </c>
      <c r="W59" s="393">
        <f t="shared" si="31"/>
        <v>69</v>
      </c>
      <c r="X59" s="393">
        <f t="shared" si="32"/>
        <v>71</v>
      </c>
    </row>
    <row r="60" spans="1:24" x14ac:dyDescent="0.25">
      <c r="P60" s="392" t="str">
        <f t="shared" si="24"/>
        <v>Siddharth Das</v>
      </c>
      <c r="Q60" s="393">
        <f t="shared" si="25"/>
        <v>432</v>
      </c>
      <c r="R60" s="393">
        <f t="shared" si="26"/>
        <v>61</v>
      </c>
      <c r="S60" s="393">
        <f t="shared" si="27"/>
        <v>58</v>
      </c>
      <c r="T60" s="393">
        <f t="shared" si="28"/>
        <v>64</v>
      </c>
      <c r="U60" s="393">
        <f t="shared" si="29"/>
        <v>59</v>
      </c>
      <c r="V60" s="393">
        <f t="shared" si="30"/>
        <v>63</v>
      </c>
      <c r="W60" s="393">
        <f t="shared" si="31"/>
        <v>67</v>
      </c>
      <c r="X60" s="393">
        <f t="shared" si="32"/>
        <v>60</v>
      </c>
    </row>
    <row r="61" spans="1:24" x14ac:dyDescent="0.25">
      <c r="P61" s="353" t="s">
        <v>2260</v>
      </c>
      <c r="Q61" s="355">
        <f t="shared" ref="Q61:X61" si="33">SUM(Q35:Q60)</f>
        <v>11834</v>
      </c>
      <c r="R61" s="355">
        <f t="shared" si="33"/>
        <v>1697</v>
      </c>
      <c r="S61" s="355">
        <f t="shared" si="33"/>
        <v>1669</v>
      </c>
      <c r="T61" s="355">
        <f t="shared" si="33"/>
        <v>1670</v>
      </c>
      <c r="U61" s="355">
        <f t="shared" si="33"/>
        <v>1589</v>
      </c>
      <c r="V61" s="355">
        <f t="shared" si="33"/>
        <v>1686</v>
      </c>
      <c r="W61" s="355">
        <f t="shared" si="33"/>
        <v>1814</v>
      </c>
      <c r="X61" s="355">
        <f t="shared" si="33"/>
        <v>1709</v>
      </c>
    </row>
  </sheetData>
  <mergeCells count="15">
    <mergeCell ref="A1:Z1"/>
    <mergeCell ref="A31:H31"/>
    <mergeCell ref="A33:B33"/>
    <mergeCell ref="D33:E33"/>
    <mergeCell ref="G33:H33"/>
    <mergeCell ref="A52:H53"/>
    <mergeCell ref="J33:N33"/>
    <mergeCell ref="P33:X33"/>
    <mergeCell ref="A44:H44"/>
    <mergeCell ref="A51:H51"/>
    <mergeCell ref="A45:H45"/>
    <mergeCell ref="A46:H46"/>
    <mergeCell ref="A47:H47"/>
    <mergeCell ref="A48:H48"/>
    <mergeCell ref="A49:H49"/>
  </mergeCells>
  <conditionalFormatting sqref="D3:J28">
    <cfRule type="cellIs" dxfId="443" priority="34" operator="equal">
      <formula>80</formula>
    </cfRule>
    <cfRule type="cellIs" dxfId="442" priority="35" operator="lessThan">
      <formula>40</formula>
    </cfRule>
    <cfRule type="cellIs" dxfId="441" priority="36" operator="lessThan">
      <formula>80</formula>
    </cfRule>
    <cfRule type="cellIs" dxfId="440" priority="37" operator="greaterThan">
      <formula>80</formula>
    </cfRule>
    <cfRule type="cellIs" dxfId="439" priority="38" operator="lessThan">
      <formula>40</formula>
    </cfRule>
    <cfRule type="cellIs" dxfId="438" priority="39" operator="greaterThan">
      <formula>80</formula>
    </cfRule>
    <cfRule type="cellIs" dxfId="437" priority="40" operator="greaterThan">
      <formula>60</formula>
    </cfRule>
    <cfRule type="cellIs" dxfId="436" priority="41" operator="greaterThan">
      <formula>40</formula>
    </cfRule>
    <cfRule type="cellIs" dxfId="435" priority="44" operator="lessThan">
      <formula>33</formula>
    </cfRule>
  </conditionalFormatting>
  <conditionalFormatting sqref="D3:K28 K29">
    <cfRule type="cellIs" dxfId="434" priority="21" operator="greaterThan">
      <formula>65</formula>
    </cfRule>
  </conditionalFormatting>
  <conditionalFormatting sqref="K3:K29">
    <cfRule type="cellIs" dxfId="433" priority="26" operator="lessThan">
      <formula>400</formula>
    </cfRule>
    <cfRule type="cellIs" dxfId="432" priority="27" operator="lessThan">
      <formula>500</formula>
    </cfRule>
    <cfRule type="cellIs" dxfId="431" priority="28" operator="lessThan">
      <formula>600</formula>
    </cfRule>
  </conditionalFormatting>
  <conditionalFormatting sqref="N3:N29">
    <cfRule type="cellIs" dxfId="430" priority="22" operator="lessThan">
      <formula>45</formula>
    </cfRule>
    <cfRule type="cellIs" dxfId="429" priority="23" operator="lessThan">
      <formula>60</formula>
    </cfRule>
    <cfRule type="cellIs" dxfId="428" priority="25" operator="lessThan">
      <formula>100</formula>
    </cfRule>
  </conditionalFormatting>
  <conditionalFormatting sqref="O3:O28">
    <cfRule type="cellIs" dxfId="427" priority="42" operator="equal">
      <formula>Pass</formula>
    </cfRule>
    <cfRule type="cellIs" dxfId="426" priority="43" operator="equal">
      <formula>Fail</formula>
    </cfRule>
    <cfRule type="cellIs" priority="45" operator="between"/>
    <cfRule type="cellIs" dxfId="425" priority="46" operator="equal">
      <formula>Pass</formula>
    </cfRule>
    <cfRule type="cellIs" dxfId="424" priority="47" operator="equal">
      <formula>Fail</formula>
    </cfRule>
  </conditionalFormatting>
  <conditionalFormatting sqref="O3:Q28 O29">
    <cfRule type="containsText" dxfId="423" priority="32" operator="containsText" text="fail">
      <formula>NOT(ISERROR(SEARCH("fail",O3)))</formula>
    </cfRule>
    <cfRule type="containsText" dxfId="422" priority="33" operator="containsText" text="pass">
      <formula>NOT(ISERROR(SEARCH("pass",O3)))</formula>
    </cfRule>
  </conditionalFormatting>
  <conditionalFormatting sqref="S3:S28">
    <cfRule type="containsText" dxfId="421" priority="29" operator="containsText" text="co">
      <formula>NOT(ISERROR(SEARCH("co",S3)))</formula>
    </cfRule>
    <cfRule type="containsText" dxfId="420" priority="30" operator="containsText" text="co">
      <formula>NOT(ISERROR(SEARCH("co",S3)))</formula>
    </cfRule>
    <cfRule type="containsText" dxfId="419" priority="31" operator="containsText" text="pass">
      <formula>NOT(ISERROR(SEARCH("pass",S3)))</formula>
    </cfRule>
  </conditionalFormatting>
  <pageMargins left="0.7" right="0.7" top="0.75" bottom="0.75" header="0.3" footer="0.3"/>
  <ignoredErrors>
    <ignoredError sqref="U3:U13 K3:K13 L3:M13 W3 W13 W6 W4 K14:M28 O3:O28 W5 W8 W9 W10 W11 W12 X3:Z28 U14:U28 W14:W28" formulaRange="1"/>
    <ignoredError sqref="Q35:Q60"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F1CAB-2289-4CDC-8CD0-5353C6372C93}">
  <sheetPr codeName="Sheet12"/>
  <dimension ref="A1:Q93"/>
  <sheetViews>
    <sheetView zoomScaleNormal="100" workbookViewId="0">
      <selection activeCell="P24" sqref="P24"/>
    </sheetView>
  </sheetViews>
  <sheetFormatPr defaultRowHeight="15" x14ac:dyDescent="0.25"/>
  <cols>
    <col min="1" max="1" width="12.85546875" bestFit="1" customWidth="1"/>
    <col min="2" max="2" width="8.42578125" bestFit="1" customWidth="1"/>
    <col min="3" max="4" width="11.28515625" bestFit="1" customWidth="1"/>
    <col min="11" max="11" width="19.5703125" bestFit="1" customWidth="1"/>
    <col min="12" max="12" width="16.28515625" bestFit="1" customWidth="1"/>
    <col min="13" max="13" width="8" bestFit="1" customWidth="1"/>
    <col min="14" max="14" width="7" bestFit="1" customWidth="1"/>
    <col min="15" max="15" width="6" bestFit="1" customWidth="1"/>
    <col min="16" max="17" width="12.140625" bestFit="1" customWidth="1"/>
    <col min="18" max="18" width="7.140625" bestFit="1" customWidth="1"/>
    <col min="19" max="19" width="6.140625" bestFit="1" customWidth="1"/>
    <col min="20" max="20" width="5.28515625" bestFit="1" customWidth="1"/>
    <col min="21" max="21" width="11.28515625" bestFit="1" customWidth="1"/>
    <col min="22" max="22" width="16.140625" bestFit="1" customWidth="1"/>
    <col min="23" max="23" width="19.5703125" bestFit="1" customWidth="1"/>
    <col min="24" max="24" width="12.85546875" bestFit="1" customWidth="1"/>
    <col min="25" max="25" width="8.7109375" bestFit="1" customWidth="1"/>
    <col min="26" max="26" width="11.28515625" bestFit="1" customWidth="1"/>
    <col min="27" max="28" width="8.7109375" bestFit="1" customWidth="1"/>
    <col min="29" max="29" width="6.140625" bestFit="1" customWidth="1"/>
    <col min="30" max="30" width="12.7109375" bestFit="1" customWidth="1"/>
    <col min="31" max="31" width="5.140625" bestFit="1" customWidth="1"/>
    <col min="32" max="32" width="8.7109375" bestFit="1" customWidth="1"/>
    <col min="33" max="33" width="7.28515625" bestFit="1" customWidth="1"/>
    <col min="34" max="34" width="8.140625" bestFit="1" customWidth="1"/>
    <col min="35" max="36" width="8.7109375" bestFit="1" customWidth="1"/>
    <col min="37" max="37" width="5.140625" bestFit="1" customWidth="1"/>
    <col min="38" max="38" width="8.7109375" bestFit="1" customWidth="1"/>
    <col min="39" max="39" width="11.5703125" bestFit="1" customWidth="1"/>
    <col min="40" max="40" width="8.7109375" bestFit="1" customWidth="1"/>
    <col min="41" max="41" width="14.5703125" bestFit="1" customWidth="1"/>
    <col min="42" max="42" width="9" bestFit="1" customWidth="1"/>
    <col min="43" max="44" width="8.7109375" bestFit="1" customWidth="1"/>
    <col min="45" max="45" width="9.5703125" bestFit="1" customWidth="1"/>
    <col min="46" max="46" width="10.7109375" bestFit="1" customWidth="1"/>
    <col min="47" max="47" width="8.7109375" bestFit="1" customWidth="1"/>
    <col min="48" max="48" width="7.140625" bestFit="1" customWidth="1"/>
    <col min="49" max="49" width="10.140625" bestFit="1" customWidth="1"/>
    <col min="50" max="50" width="10.42578125" bestFit="1" customWidth="1"/>
    <col min="51" max="51" width="7.140625" bestFit="1" customWidth="1"/>
    <col min="52" max="52" width="8.7109375" bestFit="1" customWidth="1"/>
    <col min="53" max="53" width="12.85546875" bestFit="1" customWidth="1"/>
    <col min="54" max="54" width="8.7109375" bestFit="1" customWidth="1"/>
    <col min="55" max="55" width="11.28515625" bestFit="1" customWidth="1"/>
    <col min="56" max="57" width="8.7109375" bestFit="1" customWidth="1"/>
    <col min="58" max="58" width="6.140625" bestFit="1" customWidth="1"/>
    <col min="59" max="59" width="12.7109375" bestFit="1" customWidth="1"/>
    <col min="60" max="60" width="5.140625" bestFit="1" customWidth="1"/>
    <col min="61" max="61" width="8.7109375" bestFit="1" customWidth="1"/>
    <col min="62" max="62" width="7.28515625" bestFit="1" customWidth="1"/>
    <col min="63" max="63" width="8.140625" bestFit="1" customWidth="1"/>
    <col min="64" max="65" width="8.7109375" bestFit="1" customWidth="1"/>
    <col min="66" max="66" width="5.140625" bestFit="1" customWidth="1"/>
    <col min="67" max="67" width="8.7109375" bestFit="1" customWidth="1"/>
    <col min="68" max="68" width="11.5703125" bestFit="1" customWidth="1"/>
    <col min="69" max="69" width="8.7109375" bestFit="1" customWidth="1"/>
    <col min="70" max="70" width="16.140625" bestFit="1" customWidth="1"/>
    <col min="71" max="71" width="19.5703125" bestFit="1" customWidth="1"/>
  </cols>
  <sheetData>
    <row r="1" spans="1:17" x14ac:dyDescent="0.25">
      <c r="A1" s="29" t="s">
        <v>7</v>
      </c>
      <c r="B1" s="29" t="s">
        <v>8</v>
      </c>
      <c r="C1" s="29" t="s">
        <v>9</v>
      </c>
      <c r="D1" s="29" t="s">
        <v>10</v>
      </c>
    </row>
    <row r="2" spans="1:17" x14ac:dyDescent="0.25">
      <c r="A2" s="29" t="s">
        <v>11</v>
      </c>
      <c r="B2" s="1" t="s">
        <v>12</v>
      </c>
      <c r="C2" s="17">
        <v>1</v>
      </c>
      <c r="D2" s="17">
        <f>2*1</f>
        <v>2</v>
      </c>
    </row>
    <row r="3" spans="1:17" x14ac:dyDescent="0.25">
      <c r="A3" s="29" t="s">
        <v>13</v>
      </c>
      <c r="B3" s="1" t="s">
        <v>14</v>
      </c>
      <c r="C3" s="17">
        <v>13</v>
      </c>
      <c r="D3" s="17">
        <f>13*12</f>
        <v>156</v>
      </c>
      <c r="L3" s="30" t="s">
        <v>15</v>
      </c>
    </row>
    <row r="4" spans="1:17" x14ac:dyDescent="0.25">
      <c r="A4" s="29" t="s">
        <v>16</v>
      </c>
      <c r="B4" s="1" t="s">
        <v>12</v>
      </c>
      <c r="C4" s="17">
        <v>10</v>
      </c>
      <c r="D4" s="17">
        <f>10*2</f>
        <v>20</v>
      </c>
      <c r="K4" s="30" t="s">
        <v>17</v>
      </c>
      <c r="L4" t="s">
        <v>18</v>
      </c>
      <c r="M4" t="s">
        <v>14</v>
      </c>
      <c r="N4" t="s">
        <v>12</v>
      </c>
      <c r="O4" t="s">
        <v>19</v>
      </c>
      <c r="P4" t="s">
        <v>20</v>
      </c>
      <c r="Q4" t="s">
        <v>21</v>
      </c>
    </row>
    <row r="5" spans="1:17" x14ac:dyDescent="0.25">
      <c r="A5" s="29" t="s">
        <v>22</v>
      </c>
      <c r="B5" s="1" t="s">
        <v>19</v>
      </c>
      <c r="C5" s="17">
        <v>3</v>
      </c>
      <c r="D5" s="17">
        <f>3*3</f>
        <v>9</v>
      </c>
      <c r="K5" s="31" t="s">
        <v>2</v>
      </c>
      <c r="L5" s="77"/>
      <c r="M5" s="77"/>
      <c r="N5" s="77"/>
      <c r="O5" s="77"/>
      <c r="P5" s="77"/>
      <c r="Q5" s="77"/>
    </row>
    <row r="6" spans="1:17" x14ac:dyDescent="0.25">
      <c r="A6" s="29" t="s">
        <v>23</v>
      </c>
      <c r="B6" s="1" t="s">
        <v>18</v>
      </c>
      <c r="C6" s="17">
        <v>4</v>
      </c>
      <c r="D6" s="17">
        <f>4*1</f>
        <v>4</v>
      </c>
      <c r="K6" s="32" t="s">
        <v>24</v>
      </c>
      <c r="L6" s="77">
        <v>4373</v>
      </c>
      <c r="M6" s="77">
        <v>0</v>
      </c>
      <c r="N6" s="77">
        <v>0</v>
      </c>
      <c r="O6" s="77">
        <v>0</v>
      </c>
      <c r="P6" s="77">
        <v>0</v>
      </c>
      <c r="Q6" s="77">
        <v>4373</v>
      </c>
    </row>
    <row r="7" spans="1:17" x14ac:dyDescent="0.25">
      <c r="A7" s="29" t="s">
        <v>25</v>
      </c>
      <c r="B7" s="1" t="s">
        <v>18</v>
      </c>
      <c r="C7" s="17">
        <v>5</v>
      </c>
      <c r="D7" s="17">
        <f>5*1</f>
        <v>5</v>
      </c>
      <c r="K7" s="32" t="s">
        <v>26</v>
      </c>
      <c r="L7" s="77">
        <v>4373</v>
      </c>
      <c r="M7" s="77">
        <v>0</v>
      </c>
      <c r="N7" s="77">
        <v>0</v>
      </c>
      <c r="O7" s="77">
        <v>0</v>
      </c>
      <c r="P7" s="77">
        <v>0</v>
      </c>
      <c r="Q7" s="77">
        <v>4373</v>
      </c>
    </row>
    <row r="8" spans="1:17" x14ac:dyDescent="0.25">
      <c r="A8" s="29" t="s">
        <v>27</v>
      </c>
      <c r="B8" s="1" t="s">
        <v>18</v>
      </c>
      <c r="C8" s="17">
        <v>3</v>
      </c>
      <c r="D8" s="17">
        <f>3*1</f>
        <v>3</v>
      </c>
      <c r="K8" s="31" t="s">
        <v>28</v>
      </c>
      <c r="L8" s="77"/>
      <c r="M8" s="77"/>
      <c r="N8" s="77"/>
      <c r="O8" s="77"/>
      <c r="P8" s="77"/>
      <c r="Q8" s="77"/>
    </row>
    <row r="9" spans="1:17" x14ac:dyDescent="0.25">
      <c r="A9" s="29" t="s">
        <v>29</v>
      </c>
      <c r="B9" s="1" t="s">
        <v>18</v>
      </c>
      <c r="C9" s="17">
        <v>4</v>
      </c>
      <c r="D9" s="17">
        <f>4*1</f>
        <v>4</v>
      </c>
      <c r="K9" s="32" t="s">
        <v>24</v>
      </c>
      <c r="L9" s="77">
        <v>8007</v>
      </c>
      <c r="M9" s="77">
        <v>0</v>
      </c>
      <c r="N9" s="77">
        <v>0</v>
      </c>
      <c r="O9" s="77">
        <v>0</v>
      </c>
      <c r="P9" s="77">
        <v>0</v>
      </c>
      <c r="Q9" s="77">
        <v>8007</v>
      </c>
    </row>
    <row r="10" spans="1:17" x14ac:dyDescent="0.25">
      <c r="A10" s="29" t="s">
        <v>30</v>
      </c>
      <c r="B10" s="1" t="s">
        <v>18</v>
      </c>
      <c r="C10" s="17">
        <v>3538</v>
      </c>
      <c r="D10" s="17">
        <v>3538</v>
      </c>
      <c r="K10" s="32" t="s">
        <v>26</v>
      </c>
      <c r="L10" s="77">
        <v>8007</v>
      </c>
      <c r="M10" s="77">
        <v>0</v>
      </c>
      <c r="N10" s="77">
        <v>0</v>
      </c>
      <c r="O10" s="77">
        <v>0</v>
      </c>
      <c r="P10" s="77">
        <v>0</v>
      </c>
      <c r="Q10" s="77">
        <v>8007</v>
      </c>
    </row>
    <row r="11" spans="1:17" x14ac:dyDescent="0.25">
      <c r="A11" s="29" t="s">
        <v>31</v>
      </c>
      <c r="B11" s="1" t="s">
        <v>18</v>
      </c>
      <c r="C11" s="17">
        <v>731</v>
      </c>
      <c r="D11" s="17">
        <v>731</v>
      </c>
      <c r="K11" s="31" t="s">
        <v>4</v>
      </c>
      <c r="L11" s="77"/>
      <c r="M11" s="77"/>
      <c r="N11" s="77"/>
      <c r="O11" s="77"/>
      <c r="P11" s="77"/>
      <c r="Q11" s="77"/>
    </row>
    <row r="12" spans="1:17" x14ac:dyDescent="0.25">
      <c r="A12" s="29" t="s">
        <v>32</v>
      </c>
      <c r="B12" s="1" t="s">
        <v>18</v>
      </c>
      <c r="C12" s="17">
        <v>4542</v>
      </c>
      <c r="D12" s="17">
        <v>4542</v>
      </c>
      <c r="F12" s="29" t="s">
        <v>7</v>
      </c>
      <c r="G12" s="29" t="s">
        <v>8</v>
      </c>
      <c r="H12" s="29" t="s">
        <v>9</v>
      </c>
      <c r="I12" s="29" t="s">
        <v>10</v>
      </c>
      <c r="K12" s="32" t="s">
        <v>24</v>
      </c>
      <c r="L12" s="77">
        <v>4161</v>
      </c>
      <c r="M12" s="77">
        <v>0</v>
      </c>
      <c r="N12" s="77">
        <v>0</v>
      </c>
      <c r="O12" s="77">
        <v>0</v>
      </c>
      <c r="P12" s="77">
        <v>0</v>
      </c>
      <c r="Q12" s="77">
        <v>4161</v>
      </c>
    </row>
    <row r="13" spans="1:17" x14ac:dyDescent="0.25">
      <c r="A13" s="29" t="s">
        <v>2</v>
      </c>
      <c r="B13" s="1" t="s">
        <v>18</v>
      </c>
      <c r="C13" s="17">
        <v>4373</v>
      </c>
      <c r="D13" s="17">
        <v>4373</v>
      </c>
      <c r="F13" s="1" t="s">
        <v>16</v>
      </c>
      <c r="G13" s="1" t="str" cm="1">
        <f t="array" ref="G13:I13">VLOOKUP(F13,A1:D30,{2,3,4},0)</f>
        <v>2 pcs</v>
      </c>
      <c r="H13" s="55">
        <v>10</v>
      </c>
      <c r="I13" s="55">
        <v>20</v>
      </c>
      <c r="K13" s="32" t="s">
        <v>26</v>
      </c>
      <c r="L13" s="77">
        <v>4161</v>
      </c>
      <c r="M13" s="77">
        <v>0</v>
      </c>
      <c r="N13" s="77">
        <v>0</v>
      </c>
      <c r="O13" s="77">
        <v>0</v>
      </c>
      <c r="P13" s="77">
        <v>0</v>
      </c>
      <c r="Q13" s="77">
        <v>4161</v>
      </c>
    </row>
    <row r="14" spans="1:17" x14ac:dyDescent="0.25">
      <c r="A14" s="29" t="s">
        <v>1</v>
      </c>
      <c r="B14" s="1" t="s">
        <v>18</v>
      </c>
      <c r="C14" s="17">
        <v>7201</v>
      </c>
      <c r="D14" s="17">
        <v>7201</v>
      </c>
      <c r="K14" s="31" t="s">
        <v>33</v>
      </c>
      <c r="L14" s="77"/>
      <c r="M14" s="77"/>
      <c r="N14" s="77"/>
      <c r="O14" s="77"/>
      <c r="P14" s="77"/>
      <c r="Q14" s="77"/>
    </row>
    <row r="15" spans="1:17" x14ac:dyDescent="0.25">
      <c r="A15" s="29" t="s">
        <v>0</v>
      </c>
      <c r="B15" s="1" t="s">
        <v>18</v>
      </c>
      <c r="C15" s="17">
        <v>2976</v>
      </c>
      <c r="D15" s="17">
        <v>2976</v>
      </c>
      <c r="K15" s="32" t="s">
        <v>24</v>
      </c>
      <c r="L15" s="77">
        <v>6247</v>
      </c>
      <c r="M15" s="77">
        <v>0</v>
      </c>
      <c r="N15" s="77">
        <v>0</v>
      </c>
      <c r="O15" s="77">
        <v>0</v>
      </c>
      <c r="P15" s="77">
        <v>0</v>
      </c>
      <c r="Q15" s="77">
        <v>6247</v>
      </c>
    </row>
    <row r="16" spans="1:17" x14ac:dyDescent="0.25">
      <c r="A16" s="29" t="s">
        <v>3</v>
      </c>
      <c r="B16" s="1" t="s">
        <v>18</v>
      </c>
      <c r="C16" s="17">
        <v>5720</v>
      </c>
      <c r="D16" s="17">
        <v>5720</v>
      </c>
      <c r="K16" s="32" t="s">
        <v>26</v>
      </c>
      <c r="L16" s="77">
        <v>6247</v>
      </c>
      <c r="M16" s="77">
        <v>0</v>
      </c>
      <c r="N16" s="77">
        <v>0</v>
      </c>
      <c r="O16" s="77">
        <v>0</v>
      </c>
      <c r="P16" s="77">
        <v>0</v>
      </c>
      <c r="Q16" s="77">
        <v>6247</v>
      </c>
    </row>
    <row r="17" spans="1:17" x14ac:dyDescent="0.25">
      <c r="A17" s="29" t="s">
        <v>4</v>
      </c>
      <c r="B17" s="1" t="s">
        <v>18</v>
      </c>
      <c r="C17" s="17">
        <v>4161</v>
      </c>
      <c r="D17" s="17">
        <v>4161</v>
      </c>
      <c r="K17" s="31" t="s">
        <v>27</v>
      </c>
      <c r="L17" s="77"/>
      <c r="M17" s="77"/>
      <c r="N17" s="77"/>
      <c r="O17" s="77"/>
      <c r="P17" s="77"/>
      <c r="Q17" s="77"/>
    </row>
    <row r="18" spans="1:17" x14ac:dyDescent="0.25">
      <c r="A18" s="29" t="s">
        <v>5</v>
      </c>
      <c r="B18" s="1" t="s">
        <v>18</v>
      </c>
      <c r="C18" s="17">
        <v>5314</v>
      </c>
      <c r="D18" s="17">
        <v>5314</v>
      </c>
      <c r="K18" s="32" t="s">
        <v>24</v>
      </c>
      <c r="L18" s="77">
        <v>3</v>
      </c>
      <c r="M18" s="77">
        <v>0</v>
      </c>
      <c r="N18" s="77">
        <v>0</v>
      </c>
      <c r="O18" s="77">
        <v>0</v>
      </c>
      <c r="P18" s="77">
        <v>0</v>
      </c>
      <c r="Q18" s="77">
        <v>3</v>
      </c>
    </row>
    <row r="19" spans="1:17" x14ac:dyDescent="0.25">
      <c r="A19" s="29" t="s">
        <v>34</v>
      </c>
      <c r="B19" s="1" t="s">
        <v>18</v>
      </c>
      <c r="C19" s="17">
        <v>7488</v>
      </c>
      <c r="D19" s="17">
        <v>7488</v>
      </c>
      <c r="K19" s="32" t="s">
        <v>26</v>
      </c>
      <c r="L19" s="77">
        <v>3</v>
      </c>
      <c r="M19" s="77">
        <v>0</v>
      </c>
      <c r="N19" s="77">
        <v>0</v>
      </c>
      <c r="O19" s="77">
        <v>0</v>
      </c>
      <c r="P19" s="77">
        <v>0</v>
      </c>
      <c r="Q19" s="77">
        <v>3</v>
      </c>
    </row>
    <row r="20" spans="1:17" x14ac:dyDescent="0.25">
      <c r="A20" s="29" t="s">
        <v>35</v>
      </c>
      <c r="B20" s="1" t="s">
        <v>18</v>
      </c>
      <c r="C20" s="17">
        <v>1260</v>
      </c>
      <c r="D20" s="17">
        <v>1260</v>
      </c>
      <c r="K20" s="31" t="s">
        <v>36</v>
      </c>
      <c r="L20" s="77"/>
      <c r="M20" s="77"/>
      <c r="N20" s="77"/>
      <c r="O20" s="77"/>
      <c r="P20" s="77"/>
      <c r="Q20" s="77"/>
    </row>
    <row r="21" spans="1:17" x14ac:dyDescent="0.25">
      <c r="A21" s="29" t="s">
        <v>28</v>
      </c>
      <c r="B21" s="1" t="s">
        <v>18</v>
      </c>
      <c r="C21" s="17">
        <v>8007</v>
      </c>
      <c r="D21" s="17">
        <v>8007</v>
      </c>
      <c r="K21" s="32" t="s">
        <v>24</v>
      </c>
      <c r="L21" s="77">
        <v>1083</v>
      </c>
      <c r="M21" s="77">
        <v>0</v>
      </c>
      <c r="N21" s="77">
        <v>0</v>
      </c>
      <c r="O21" s="77">
        <v>0</v>
      </c>
      <c r="P21" s="77">
        <v>0</v>
      </c>
      <c r="Q21" s="77">
        <v>1083</v>
      </c>
    </row>
    <row r="22" spans="1:17" x14ac:dyDescent="0.25">
      <c r="A22" s="29" t="s">
        <v>37</v>
      </c>
      <c r="B22" s="1" t="s">
        <v>18</v>
      </c>
      <c r="C22" s="17">
        <v>5916</v>
      </c>
      <c r="D22" s="17">
        <v>5916</v>
      </c>
      <c r="K22" s="32" t="s">
        <v>26</v>
      </c>
      <c r="L22" s="77">
        <v>1083</v>
      </c>
      <c r="M22" s="77">
        <v>0</v>
      </c>
      <c r="N22" s="77">
        <v>0</v>
      </c>
      <c r="O22" s="77">
        <v>0</v>
      </c>
      <c r="P22" s="77">
        <v>0</v>
      </c>
      <c r="Q22" s="77">
        <v>1083</v>
      </c>
    </row>
    <row r="23" spans="1:17" x14ac:dyDescent="0.25">
      <c r="A23" s="29" t="s">
        <v>38</v>
      </c>
      <c r="B23" s="1" t="s">
        <v>18</v>
      </c>
      <c r="C23" s="17">
        <v>8015</v>
      </c>
      <c r="D23" s="17">
        <v>8015</v>
      </c>
      <c r="K23" s="31" t="s">
        <v>32</v>
      </c>
      <c r="L23" s="77"/>
      <c r="M23" s="77"/>
      <c r="N23" s="77"/>
      <c r="O23" s="77"/>
      <c r="P23" s="77"/>
      <c r="Q23" s="77"/>
    </row>
    <row r="24" spans="1:17" x14ac:dyDescent="0.25">
      <c r="A24" s="29" t="s">
        <v>39</v>
      </c>
      <c r="B24" s="1" t="s">
        <v>18</v>
      </c>
      <c r="C24" s="17">
        <v>9928</v>
      </c>
      <c r="D24" s="17">
        <v>9928</v>
      </c>
      <c r="K24" s="32" t="s">
        <v>24</v>
      </c>
      <c r="L24" s="77">
        <v>4542</v>
      </c>
      <c r="M24" s="77">
        <v>0</v>
      </c>
      <c r="N24" s="77">
        <v>0</v>
      </c>
      <c r="O24" s="77">
        <v>0</v>
      </c>
      <c r="P24" s="77">
        <v>0</v>
      </c>
      <c r="Q24" s="77">
        <v>4542</v>
      </c>
    </row>
    <row r="25" spans="1:17" x14ac:dyDescent="0.25">
      <c r="A25" s="29" t="s">
        <v>40</v>
      </c>
      <c r="B25" s="1" t="s">
        <v>18</v>
      </c>
      <c r="C25" s="17">
        <v>4646</v>
      </c>
      <c r="D25" s="17">
        <v>4646</v>
      </c>
      <c r="K25" s="32" t="s">
        <v>26</v>
      </c>
      <c r="L25" s="77">
        <v>4542</v>
      </c>
      <c r="M25" s="77">
        <v>0</v>
      </c>
      <c r="N25" s="77">
        <v>0</v>
      </c>
      <c r="O25" s="77">
        <v>0</v>
      </c>
      <c r="P25" s="77">
        <v>0</v>
      </c>
      <c r="Q25" s="77">
        <v>4542</v>
      </c>
    </row>
    <row r="26" spans="1:17" x14ac:dyDescent="0.25">
      <c r="A26" s="29" t="s">
        <v>33</v>
      </c>
      <c r="B26" s="1" t="s">
        <v>18</v>
      </c>
      <c r="C26" s="17">
        <v>6247</v>
      </c>
      <c r="D26" s="17">
        <v>6247</v>
      </c>
      <c r="K26" s="31" t="s">
        <v>31</v>
      </c>
      <c r="L26" s="77"/>
      <c r="M26" s="77"/>
      <c r="N26" s="77"/>
      <c r="O26" s="77"/>
      <c r="P26" s="77"/>
      <c r="Q26" s="77"/>
    </row>
    <row r="27" spans="1:17" x14ac:dyDescent="0.25">
      <c r="A27" s="29" t="s">
        <v>41</v>
      </c>
      <c r="B27" s="1" t="s">
        <v>18</v>
      </c>
      <c r="C27" s="17">
        <v>6689</v>
      </c>
      <c r="D27" s="17">
        <v>6689</v>
      </c>
      <c r="K27" s="32" t="s">
        <v>24</v>
      </c>
      <c r="L27" s="77">
        <v>731</v>
      </c>
      <c r="M27" s="77">
        <v>0</v>
      </c>
      <c r="N27" s="77">
        <v>0</v>
      </c>
      <c r="O27" s="77">
        <v>0</v>
      </c>
      <c r="P27" s="77">
        <v>0</v>
      </c>
      <c r="Q27" s="77">
        <v>731</v>
      </c>
    </row>
    <row r="28" spans="1:17" x14ac:dyDescent="0.25">
      <c r="A28" s="29" t="s">
        <v>36</v>
      </c>
      <c r="B28" s="1" t="s">
        <v>18</v>
      </c>
      <c r="C28" s="17">
        <v>1083</v>
      </c>
      <c r="D28" s="17">
        <v>1083</v>
      </c>
      <c r="K28" s="32" t="s">
        <v>26</v>
      </c>
      <c r="L28" s="77">
        <v>731</v>
      </c>
      <c r="M28" s="77">
        <v>0</v>
      </c>
      <c r="N28" s="77">
        <v>0</v>
      </c>
      <c r="O28" s="77">
        <v>0</v>
      </c>
      <c r="P28" s="77">
        <v>0</v>
      </c>
      <c r="Q28" s="77">
        <v>731</v>
      </c>
    </row>
    <row r="29" spans="1:17" x14ac:dyDescent="0.25">
      <c r="A29" s="29" t="s">
        <v>42</v>
      </c>
      <c r="B29" s="1" t="s">
        <v>18</v>
      </c>
      <c r="C29" s="17">
        <v>4076</v>
      </c>
      <c r="D29" s="17">
        <v>4076</v>
      </c>
      <c r="K29" s="31" t="s">
        <v>37</v>
      </c>
      <c r="L29" s="77"/>
      <c r="M29" s="77"/>
      <c r="N29" s="77"/>
      <c r="O29" s="77"/>
      <c r="P29" s="77"/>
      <c r="Q29" s="77"/>
    </row>
    <row r="30" spans="1:17" x14ac:dyDescent="0.25">
      <c r="A30" s="29" t="s">
        <v>43</v>
      </c>
      <c r="B30" s="1"/>
      <c r="C30" s="17">
        <f>SUM(C2:C29)</f>
        <v>101954</v>
      </c>
      <c r="D30" s="17">
        <f>SUM(D2:D29)</f>
        <v>102114</v>
      </c>
      <c r="K30" s="32" t="s">
        <v>24</v>
      </c>
      <c r="L30" s="77">
        <v>5916</v>
      </c>
      <c r="M30" s="77">
        <v>0</v>
      </c>
      <c r="N30" s="77">
        <v>0</v>
      </c>
      <c r="O30" s="77">
        <v>0</v>
      </c>
      <c r="P30" s="77">
        <v>0</v>
      </c>
      <c r="Q30" s="77">
        <v>5916</v>
      </c>
    </row>
    <row r="31" spans="1:17" x14ac:dyDescent="0.25">
      <c r="K31" s="32" t="s">
        <v>26</v>
      </c>
      <c r="L31" s="77">
        <v>5916</v>
      </c>
      <c r="M31" s="77">
        <v>0</v>
      </c>
      <c r="N31" s="77">
        <v>0</v>
      </c>
      <c r="O31" s="77">
        <v>0</v>
      </c>
      <c r="P31" s="77">
        <v>0</v>
      </c>
      <c r="Q31" s="77">
        <v>5916</v>
      </c>
    </row>
    <row r="32" spans="1:17" x14ac:dyDescent="0.25">
      <c r="K32" s="31" t="s">
        <v>3</v>
      </c>
      <c r="L32" s="77"/>
      <c r="M32" s="77"/>
      <c r="N32" s="77"/>
      <c r="O32" s="77"/>
      <c r="P32" s="77"/>
      <c r="Q32" s="77"/>
    </row>
    <row r="33" spans="11:17" x14ac:dyDescent="0.25">
      <c r="K33" s="32" t="s">
        <v>24</v>
      </c>
      <c r="L33" s="77">
        <v>5720</v>
      </c>
      <c r="M33" s="77">
        <v>0</v>
      </c>
      <c r="N33" s="77">
        <v>0</v>
      </c>
      <c r="O33" s="77">
        <v>0</v>
      </c>
      <c r="P33" s="77">
        <v>0</v>
      </c>
      <c r="Q33" s="77">
        <v>5720</v>
      </c>
    </row>
    <row r="34" spans="11:17" x14ac:dyDescent="0.25">
      <c r="K34" s="32" t="s">
        <v>26</v>
      </c>
      <c r="L34" s="77">
        <v>5720</v>
      </c>
      <c r="M34" s="77">
        <v>0</v>
      </c>
      <c r="N34" s="77">
        <v>0</v>
      </c>
      <c r="O34" s="77">
        <v>0</v>
      </c>
      <c r="P34" s="77">
        <v>0</v>
      </c>
      <c r="Q34" s="77">
        <v>5720</v>
      </c>
    </row>
    <row r="35" spans="11:17" x14ac:dyDescent="0.25">
      <c r="K35" s="31" t="s">
        <v>13</v>
      </c>
      <c r="L35" s="77"/>
      <c r="M35" s="77"/>
      <c r="N35" s="77"/>
      <c r="O35" s="77"/>
      <c r="P35" s="77"/>
      <c r="Q35" s="77"/>
    </row>
    <row r="36" spans="11:17" x14ac:dyDescent="0.25">
      <c r="K36" s="32" t="s">
        <v>24</v>
      </c>
      <c r="L36" s="77">
        <v>0</v>
      </c>
      <c r="M36" s="77">
        <v>13</v>
      </c>
      <c r="N36" s="77">
        <v>0</v>
      </c>
      <c r="O36" s="77">
        <v>0</v>
      </c>
      <c r="P36" s="77">
        <v>0</v>
      </c>
      <c r="Q36" s="77">
        <v>13</v>
      </c>
    </row>
    <row r="37" spans="11:17" x14ac:dyDescent="0.25">
      <c r="K37" s="32" t="s">
        <v>26</v>
      </c>
      <c r="L37" s="77">
        <v>0</v>
      </c>
      <c r="M37" s="77">
        <v>156</v>
      </c>
      <c r="N37" s="77">
        <v>0</v>
      </c>
      <c r="O37" s="77">
        <v>0</v>
      </c>
      <c r="P37" s="77">
        <v>0</v>
      </c>
      <c r="Q37" s="77">
        <v>156</v>
      </c>
    </row>
    <row r="38" spans="11:17" x14ac:dyDescent="0.25">
      <c r="K38" s="31" t="s">
        <v>0</v>
      </c>
      <c r="L38" s="77"/>
      <c r="M38" s="77"/>
      <c r="N38" s="77"/>
      <c r="O38" s="77"/>
      <c r="P38" s="77"/>
      <c r="Q38" s="77"/>
    </row>
    <row r="39" spans="11:17" x14ac:dyDescent="0.25">
      <c r="K39" s="32" t="s">
        <v>24</v>
      </c>
      <c r="L39" s="77">
        <v>2976</v>
      </c>
      <c r="M39" s="77">
        <v>0</v>
      </c>
      <c r="N39" s="77">
        <v>0</v>
      </c>
      <c r="O39" s="77">
        <v>0</v>
      </c>
      <c r="P39" s="77">
        <v>0</v>
      </c>
      <c r="Q39" s="77">
        <v>2976</v>
      </c>
    </row>
    <row r="40" spans="11:17" x14ac:dyDescent="0.25">
      <c r="K40" s="32" t="s">
        <v>26</v>
      </c>
      <c r="L40" s="77">
        <v>2976</v>
      </c>
      <c r="M40" s="77">
        <v>0</v>
      </c>
      <c r="N40" s="77">
        <v>0</v>
      </c>
      <c r="O40" s="77">
        <v>0</v>
      </c>
      <c r="P40" s="77">
        <v>0</v>
      </c>
      <c r="Q40" s="77">
        <v>2976</v>
      </c>
    </row>
    <row r="41" spans="11:17" x14ac:dyDescent="0.25">
      <c r="K41" s="31" t="s">
        <v>34</v>
      </c>
      <c r="L41" s="77"/>
      <c r="M41" s="77"/>
      <c r="N41" s="77"/>
      <c r="O41" s="77"/>
      <c r="P41" s="77"/>
      <c r="Q41" s="77"/>
    </row>
    <row r="42" spans="11:17" x14ac:dyDescent="0.25">
      <c r="K42" s="32" t="s">
        <v>24</v>
      </c>
      <c r="L42" s="77">
        <v>7488</v>
      </c>
      <c r="M42" s="77">
        <v>0</v>
      </c>
      <c r="N42" s="77">
        <v>0</v>
      </c>
      <c r="O42" s="77">
        <v>0</v>
      </c>
      <c r="P42" s="77">
        <v>0</v>
      </c>
      <c r="Q42" s="77">
        <v>7488</v>
      </c>
    </row>
    <row r="43" spans="11:17" x14ac:dyDescent="0.25">
      <c r="K43" s="32" t="s">
        <v>26</v>
      </c>
      <c r="L43" s="77">
        <v>7488</v>
      </c>
      <c r="M43" s="77">
        <v>0</v>
      </c>
      <c r="N43" s="77">
        <v>0</v>
      </c>
      <c r="O43" s="77">
        <v>0</v>
      </c>
      <c r="P43" s="77">
        <v>0</v>
      </c>
      <c r="Q43" s="77">
        <v>7488</v>
      </c>
    </row>
    <row r="44" spans="11:17" x14ac:dyDescent="0.25">
      <c r="K44" s="31" t="s">
        <v>38</v>
      </c>
      <c r="L44" s="77"/>
      <c r="M44" s="77"/>
      <c r="N44" s="77"/>
      <c r="O44" s="77"/>
      <c r="P44" s="77"/>
      <c r="Q44" s="77"/>
    </row>
    <row r="45" spans="11:17" x14ac:dyDescent="0.25">
      <c r="K45" s="32" t="s">
        <v>24</v>
      </c>
      <c r="L45" s="77">
        <v>8015</v>
      </c>
      <c r="M45" s="77">
        <v>0</v>
      </c>
      <c r="N45" s="77">
        <v>0</v>
      </c>
      <c r="O45" s="77">
        <v>0</v>
      </c>
      <c r="P45" s="77">
        <v>0</v>
      </c>
      <c r="Q45" s="77">
        <v>8015</v>
      </c>
    </row>
    <row r="46" spans="11:17" x14ac:dyDescent="0.25">
      <c r="K46" s="32" t="s">
        <v>26</v>
      </c>
      <c r="L46" s="77">
        <v>8015</v>
      </c>
      <c r="M46" s="77">
        <v>0</v>
      </c>
      <c r="N46" s="77">
        <v>0</v>
      </c>
      <c r="O46" s="77">
        <v>0</v>
      </c>
      <c r="P46" s="77">
        <v>0</v>
      </c>
      <c r="Q46" s="77">
        <v>8015</v>
      </c>
    </row>
    <row r="47" spans="11:17" x14ac:dyDescent="0.25">
      <c r="K47" s="31" t="s">
        <v>43</v>
      </c>
      <c r="L47" s="77"/>
      <c r="M47" s="77"/>
      <c r="N47" s="77"/>
      <c r="O47" s="77"/>
      <c r="P47" s="77"/>
      <c r="Q47" s="77"/>
    </row>
    <row r="48" spans="11:17" x14ac:dyDescent="0.25">
      <c r="K48" s="32" t="s">
        <v>24</v>
      </c>
      <c r="L48" s="77">
        <v>0</v>
      </c>
      <c r="M48" s="77">
        <v>0</v>
      </c>
      <c r="N48" s="77">
        <v>0</v>
      </c>
      <c r="O48" s="77">
        <v>0</v>
      </c>
      <c r="P48" s="77">
        <v>101954</v>
      </c>
      <c r="Q48" s="77">
        <v>101954</v>
      </c>
    </row>
    <row r="49" spans="11:17" x14ac:dyDescent="0.25">
      <c r="K49" s="32" t="s">
        <v>26</v>
      </c>
      <c r="L49" s="77">
        <v>0</v>
      </c>
      <c r="M49" s="77">
        <v>0</v>
      </c>
      <c r="N49" s="77">
        <v>0</v>
      </c>
      <c r="O49" s="77">
        <v>0</v>
      </c>
      <c r="P49" s="77">
        <v>102114</v>
      </c>
      <c r="Q49" s="77">
        <v>102114</v>
      </c>
    </row>
    <row r="50" spans="11:17" x14ac:dyDescent="0.25">
      <c r="K50" s="31" t="s">
        <v>5</v>
      </c>
      <c r="L50" s="77"/>
      <c r="M50" s="77"/>
      <c r="N50" s="77"/>
      <c r="O50" s="77"/>
      <c r="P50" s="77"/>
      <c r="Q50" s="77"/>
    </row>
    <row r="51" spans="11:17" x14ac:dyDescent="0.25">
      <c r="K51" s="32" t="s">
        <v>24</v>
      </c>
      <c r="L51" s="77">
        <v>5314</v>
      </c>
      <c r="M51" s="77">
        <v>0</v>
      </c>
      <c r="N51" s="77">
        <v>0</v>
      </c>
      <c r="O51" s="77">
        <v>0</v>
      </c>
      <c r="P51" s="77">
        <v>0</v>
      </c>
      <c r="Q51" s="77">
        <v>5314</v>
      </c>
    </row>
    <row r="52" spans="11:17" x14ac:dyDescent="0.25">
      <c r="K52" s="32" t="s">
        <v>26</v>
      </c>
      <c r="L52" s="77">
        <v>5314</v>
      </c>
      <c r="M52" s="77">
        <v>0</v>
      </c>
      <c r="N52" s="77">
        <v>0</v>
      </c>
      <c r="O52" s="77">
        <v>0</v>
      </c>
      <c r="P52" s="77">
        <v>0</v>
      </c>
      <c r="Q52" s="77">
        <v>5314</v>
      </c>
    </row>
    <row r="53" spans="11:17" x14ac:dyDescent="0.25">
      <c r="K53" s="31" t="s">
        <v>1</v>
      </c>
      <c r="L53" s="77"/>
      <c r="M53" s="77"/>
      <c r="N53" s="77"/>
      <c r="O53" s="77"/>
      <c r="P53" s="77"/>
      <c r="Q53" s="77"/>
    </row>
    <row r="54" spans="11:17" x14ac:dyDescent="0.25">
      <c r="K54" s="32" t="s">
        <v>24</v>
      </c>
      <c r="L54" s="77">
        <v>7201</v>
      </c>
      <c r="M54" s="77">
        <v>0</v>
      </c>
      <c r="N54" s="77">
        <v>0</v>
      </c>
      <c r="O54" s="77">
        <v>0</v>
      </c>
      <c r="P54" s="77">
        <v>0</v>
      </c>
      <c r="Q54" s="77">
        <v>7201</v>
      </c>
    </row>
    <row r="55" spans="11:17" x14ac:dyDescent="0.25">
      <c r="K55" s="32" t="s">
        <v>26</v>
      </c>
      <c r="L55" s="77">
        <v>7201</v>
      </c>
      <c r="M55" s="77">
        <v>0</v>
      </c>
      <c r="N55" s="77">
        <v>0</v>
      </c>
      <c r="O55" s="77">
        <v>0</v>
      </c>
      <c r="P55" s="77">
        <v>0</v>
      </c>
      <c r="Q55" s="77">
        <v>7201</v>
      </c>
    </row>
    <row r="56" spans="11:17" x14ac:dyDescent="0.25">
      <c r="K56" s="31" t="s">
        <v>16</v>
      </c>
      <c r="L56" s="77"/>
      <c r="M56" s="77"/>
      <c r="N56" s="77"/>
      <c r="O56" s="77"/>
      <c r="P56" s="77"/>
      <c r="Q56" s="77"/>
    </row>
    <row r="57" spans="11:17" x14ac:dyDescent="0.25">
      <c r="K57" s="32" t="s">
        <v>24</v>
      </c>
      <c r="L57" s="77">
        <v>0</v>
      </c>
      <c r="M57" s="77">
        <v>0</v>
      </c>
      <c r="N57" s="77">
        <v>10</v>
      </c>
      <c r="O57" s="77">
        <v>0</v>
      </c>
      <c r="P57" s="77">
        <v>0</v>
      </c>
      <c r="Q57" s="77">
        <v>10</v>
      </c>
    </row>
    <row r="58" spans="11:17" x14ac:dyDescent="0.25">
      <c r="K58" s="32" t="s">
        <v>26</v>
      </c>
      <c r="L58" s="77">
        <v>0</v>
      </c>
      <c r="M58" s="77">
        <v>0</v>
      </c>
      <c r="N58" s="77">
        <v>20</v>
      </c>
      <c r="O58" s="77">
        <v>0</v>
      </c>
      <c r="P58" s="77">
        <v>0</v>
      </c>
      <c r="Q58" s="77">
        <v>20</v>
      </c>
    </row>
    <row r="59" spans="11:17" x14ac:dyDescent="0.25">
      <c r="K59" s="31" t="s">
        <v>41</v>
      </c>
      <c r="L59" s="77"/>
      <c r="M59" s="77"/>
      <c r="N59" s="77"/>
      <c r="O59" s="77"/>
      <c r="P59" s="77"/>
      <c r="Q59" s="77"/>
    </row>
    <row r="60" spans="11:17" x14ac:dyDescent="0.25">
      <c r="K60" s="32" t="s">
        <v>24</v>
      </c>
      <c r="L60" s="77">
        <v>6689</v>
      </c>
      <c r="M60" s="77">
        <v>0</v>
      </c>
      <c r="N60" s="77">
        <v>0</v>
      </c>
      <c r="O60" s="77">
        <v>0</v>
      </c>
      <c r="P60" s="77">
        <v>0</v>
      </c>
      <c r="Q60" s="77">
        <v>6689</v>
      </c>
    </row>
    <row r="61" spans="11:17" x14ac:dyDescent="0.25">
      <c r="K61" s="32" t="s">
        <v>26</v>
      </c>
      <c r="L61" s="77">
        <v>6689</v>
      </c>
      <c r="M61" s="77">
        <v>0</v>
      </c>
      <c r="N61" s="77">
        <v>0</v>
      </c>
      <c r="O61" s="77">
        <v>0</v>
      </c>
      <c r="P61" s="77">
        <v>0</v>
      </c>
      <c r="Q61" s="77">
        <v>6689</v>
      </c>
    </row>
    <row r="62" spans="11:17" x14ac:dyDescent="0.25">
      <c r="K62" s="31" t="s">
        <v>11</v>
      </c>
      <c r="L62" s="77"/>
      <c r="M62" s="77"/>
      <c r="N62" s="77"/>
      <c r="O62" s="77"/>
      <c r="P62" s="77"/>
      <c r="Q62" s="77"/>
    </row>
    <row r="63" spans="11:17" x14ac:dyDescent="0.25">
      <c r="K63" s="32" t="s">
        <v>24</v>
      </c>
      <c r="L63" s="77">
        <v>0</v>
      </c>
      <c r="M63" s="77">
        <v>0</v>
      </c>
      <c r="N63" s="77">
        <v>1</v>
      </c>
      <c r="O63" s="77">
        <v>0</v>
      </c>
      <c r="P63" s="77">
        <v>0</v>
      </c>
      <c r="Q63" s="77">
        <v>1</v>
      </c>
    </row>
    <row r="64" spans="11:17" x14ac:dyDescent="0.25">
      <c r="K64" s="32" t="s">
        <v>26</v>
      </c>
      <c r="L64" s="77">
        <v>0</v>
      </c>
      <c r="M64" s="77">
        <v>0</v>
      </c>
      <c r="N64" s="77">
        <v>2</v>
      </c>
      <c r="O64" s="77">
        <v>0</v>
      </c>
      <c r="P64" s="77">
        <v>0</v>
      </c>
      <c r="Q64" s="77">
        <v>2</v>
      </c>
    </row>
    <row r="65" spans="11:17" x14ac:dyDescent="0.25">
      <c r="K65" s="31" t="s">
        <v>35</v>
      </c>
      <c r="L65" s="77"/>
      <c r="M65" s="77"/>
      <c r="N65" s="77"/>
      <c r="O65" s="77"/>
      <c r="P65" s="77"/>
      <c r="Q65" s="77"/>
    </row>
    <row r="66" spans="11:17" x14ac:dyDescent="0.25">
      <c r="K66" s="32" t="s">
        <v>24</v>
      </c>
      <c r="L66" s="77">
        <v>1260</v>
      </c>
      <c r="M66" s="77">
        <v>0</v>
      </c>
      <c r="N66" s="77">
        <v>0</v>
      </c>
      <c r="O66" s="77">
        <v>0</v>
      </c>
      <c r="P66" s="77">
        <v>0</v>
      </c>
      <c r="Q66" s="77">
        <v>1260</v>
      </c>
    </row>
    <row r="67" spans="11:17" x14ac:dyDescent="0.25">
      <c r="K67" s="32" t="s">
        <v>26</v>
      </c>
      <c r="L67" s="77">
        <v>1260</v>
      </c>
      <c r="M67" s="77">
        <v>0</v>
      </c>
      <c r="N67" s="77">
        <v>0</v>
      </c>
      <c r="O67" s="77">
        <v>0</v>
      </c>
      <c r="P67" s="77">
        <v>0</v>
      </c>
      <c r="Q67" s="77">
        <v>1260</v>
      </c>
    </row>
    <row r="68" spans="11:17" x14ac:dyDescent="0.25">
      <c r="K68" s="31" t="s">
        <v>29</v>
      </c>
      <c r="L68" s="77"/>
      <c r="M68" s="77"/>
      <c r="N68" s="77"/>
      <c r="O68" s="77"/>
      <c r="P68" s="77"/>
      <c r="Q68" s="77"/>
    </row>
    <row r="69" spans="11:17" x14ac:dyDescent="0.25">
      <c r="K69" s="32" t="s">
        <v>24</v>
      </c>
      <c r="L69" s="77">
        <v>4</v>
      </c>
      <c r="M69" s="77">
        <v>0</v>
      </c>
      <c r="N69" s="77">
        <v>0</v>
      </c>
      <c r="O69" s="77">
        <v>0</v>
      </c>
      <c r="P69" s="77">
        <v>0</v>
      </c>
      <c r="Q69" s="77">
        <v>4</v>
      </c>
    </row>
    <row r="70" spans="11:17" x14ac:dyDescent="0.25">
      <c r="K70" s="32" t="s">
        <v>26</v>
      </c>
      <c r="L70" s="77">
        <v>4</v>
      </c>
      <c r="M70" s="77">
        <v>0</v>
      </c>
      <c r="N70" s="77">
        <v>0</v>
      </c>
      <c r="O70" s="77">
        <v>0</v>
      </c>
      <c r="P70" s="77">
        <v>0</v>
      </c>
      <c r="Q70" s="77">
        <v>4</v>
      </c>
    </row>
    <row r="71" spans="11:17" x14ac:dyDescent="0.25">
      <c r="K71" s="31" t="s">
        <v>25</v>
      </c>
      <c r="L71" s="77"/>
      <c r="M71" s="77"/>
      <c r="N71" s="77"/>
      <c r="O71" s="77"/>
      <c r="P71" s="77"/>
      <c r="Q71" s="77"/>
    </row>
    <row r="72" spans="11:17" x14ac:dyDescent="0.25">
      <c r="K72" s="32" t="s">
        <v>24</v>
      </c>
      <c r="L72" s="77">
        <v>5</v>
      </c>
      <c r="M72" s="77">
        <v>0</v>
      </c>
      <c r="N72" s="77">
        <v>0</v>
      </c>
      <c r="O72" s="77">
        <v>0</v>
      </c>
      <c r="P72" s="77">
        <v>0</v>
      </c>
      <c r="Q72" s="77">
        <v>5</v>
      </c>
    </row>
    <row r="73" spans="11:17" x14ac:dyDescent="0.25">
      <c r="K73" s="32" t="s">
        <v>26</v>
      </c>
      <c r="L73" s="77">
        <v>5</v>
      </c>
      <c r="M73" s="77">
        <v>0</v>
      </c>
      <c r="N73" s="77">
        <v>0</v>
      </c>
      <c r="O73" s="77">
        <v>0</v>
      </c>
      <c r="P73" s="77">
        <v>0</v>
      </c>
      <c r="Q73" s="77">
        <v>5</v>
      </c>
    </row>
    <row r="74" spans="11:17" x14ac:dyDescent="0.25">
      <c r="K74" s="31" t="s">
        <v>42</v>
      </c>
      <c r="L74" s="77"/>
      <c r="M74" s="77"/>
      <c r="N74" s="77"/>
      <c r="O74" s="77"/>
      <c r="P74" s="77"/>
      <c r="Q74" s="77"/>
    </row>
    <row r="75" spans="11:17" x14ac:dyDescent="0.25">
      <c r="K75" s="32" t="s">
        <v>24</v>
      </c>
      <c r="L75" s="77">
        <v>4076</v>
      </c>
      <c r="M75" s="77">
        <v>0</v>
      </c>
      <c r="N75" s="77">
        <v>0</v>
      </c>
      <c r="O75" s="77">
        <v>0</v>
      </c>
      <c r="P75" s="77">
        <v>0</v>
      </c>
      <c r="Q75" s="77">
        <v>4076</v>
      </c>
    </row>
    <row r="76" spans="11:17" x14ac:dyDescent="0.25">
      <c r="K76" s="32" t="s">
        <v>26</v>
      </c>
      <c r="L76" s="77">
        <v>4076</v>
      </c>
      <c r="M76" s="77">
        <v>0</v>
      </c>
      <c r="N76" s="77">
        <v>0</v>
      </c>
      <c r="O76" s="77">
        <v>0</v>
      </c>
      <c r="P76" s="77">
        <v>0</v>
      </c>
      <c r="Q76" s="77">
        <v>4076</v>
      </c>
    </row>
    <row r="77" spans="11:17" x14ac:dyDescent="0.25">
      <c r="K77" s="31" t="s">
        <v>39</v>
      </c>
      <c r="L77" s="77"/>
      <c r="M77" s="77"/>
      <c r="N77" s="77"/>
      <c r="O77" s="77"/>
      <c r="P77" s="77"/>
      <c r="Q77" s="77"/>
    </row>
    <row r="78" spans="11:17" x14ac:dyDescent="0.25">
      <c r="K78" s="32" t="s">
        <v>24</v>
      </c>
      <c r="L78" s="77">
        <v>9928</v>
      </c>
      <c r="M78" s="77">
        <v>0</v>
      </c>
      <c r="N78" s="77">
        <v>0</v>
      </c>
      <c r="O78" s="77">
        <v>0</v>
      </c>
      <c r="P78" s="77">
        <v>0</v>
      </c>
      <c r="Q78" s="77">
        <v>9928</v>
      </c>
    </row>
    <row r="79" spans="11:17" x14ac:dyDescent="0.25">
      <c r="K79" s="32" t="s">
        <v>26</v>
      </c>
      <c r="L79" s="77">
        <v>9928</v>
      </c>
      <c r="M79" s="77">
        <v>0</v>
      </c>
      <c r="N79" s="77">
        <v>0</v>
      </c>
      <c r="O79" s="77">
        <v>0</v>
      </c>
      <c r="P79" s="77">
        <v>0</v>
      </c>
      <c r="Q79" s="77">
        <v>9928</v>
      </c>
    </row>
    <row r="80" spans="11:17" x14ac:dyDescent="0.25">
      <c r="K80" s="31" t="s">
        <v>23</v>
      </c>
      <c r="L80" s="77"/>
      <c r="M80" s="77"/>
      <c r="N80" s="77"/>
      <c r="O80" s="77"/>
      <c r="P80" s="77"/>
      <c r="Q80" s="77"/>
    </row>
    <row r="81" spans="11:17" x14ac:dyDescent="0.25">
      <c r="K81" s="32" t="s">
        <v>24</v>
      </c>
      <c r="L81" s="77">
        <v>4</v>
      </c>
      <c r="M81" s="77">
        <v>0</v>
      </c>
      <c r="N81" s="77">
        <v>0</v>
      </c>
      <c r="O81" s="77">
        <v>0</v>
      </c>
      <c r="P81" s="77">
        <v>0</v>
      </c>
      <c r="Q81" s="77">
        <v>4</v>
      </c>
    </row>
    <row r="82" spans="11:17" x14ac:dyDescent="0.25">
      <c r="K82" s="32" t="s">
        <v>26</v>
      </c>
      <c r="L82" s="77">
        <v>4</v>
      </c>
      <c r="M82" s="77">
        <v>0</v>
      </c>
      <c r="N82" s="77">
        <v>0</v>
      </c>
      <c r="O82" s="77">
        <v>0</v>
      </c>
      <c r="P82" s="77">
        <v>0</v>
      </c>
      <c r="Q82" s="77">
        <v>4</v>
      </c>
    </row>
    <row r="83" spans="11:17" x14ac:dyDescent="0.25">
      <c r="K83" s="31" t="s">
        <v>30</v>
      </c>
      <c r="L83" s="77"/>
      <c r="M83" s="77"/>
      <c r="N83" s="77"/>
      <c r="O83" s="77"/>
      <c r="P83" s="77"/>
      <c r="Q83" s="77"/>
    </row>
    <row r="84" spans="11:17" x14ac:dyDescent="0.25">
      <c r="K84" s="32" t="s">
        <v>24</v>
      </c>
      <c r="L84" s="77">
        <v>3538</v>
      </c>
      <c r="M84" s="77">
        <v>0</v>
      </c>
      <c r="N84" s="77">
        <v>0</v>
      </c>
      <c r="O84" s="77">
        <v>0</v>
      </c>
      <c r="P84" s="77">
        <v>0</v>
      </c>
      <c r="Q84" s="77">
        <v>3538</v>
      </c>
    </row>
    <row r="85" spans="11:17" x14ac:dyDescent="0.25">
      <c r="K85" s="32" t="s">
        <v>26</v>
      </c>
      <c r="L85" s="77">
        <v>3538</v>
      </c>
      <c r="M85" s="77">
        <v>0</v>
      </c>
      <c r="N85" s="77">
        <v>0</v>
      </c>
      <c r="O85" s="77">
        <v>0</v>
      </c>
      <c r="P85" s="77">
        <v>0</v>
      </c>
      <c r="Q85" s="77">
        <v>3538</v>
      </c>
    </row>
    <row r="86" spans="11:17" x14ac:dyDescent="0.25">
      <c r="K86" s="31" t="s">
        <v>22</v>
      </c>
      <c r="L86" s="77"/>
      <c r="M86" s="77"/>
      <c r="N86" s="77"/>
      <c r="O86" s="77"/>
      <c r="P86" s="77"/>
      <c r="Q86" s="77"/>
    </row>
    <row r="87" spans="11:17" x14ac:dyDescent="0.25">
      <c r="K87" s="32" t="s">
        <v>24</v>
      </c>
      <c r="L87" s="77">
        <v>0</v>
      </c>
      <c r="M87" s="77">
        <v>0</v>
      </c>
      <c r="N87" s="77">
        <v>0</v>
      </c>
      <c r="O87" s="77">
        <v>3</v>
      </c>
      <c r="P87" s="77">
        <v>0</v>
      </c>
      <c r="Q87" s="77">
        <v>3</v>
      </c>
    </row>
    <row r="88" spans="11:17" x14ac:dyDescent="0.25">
      <c r="K88" s="32" t="s">
        <v>26</v>
      </c>
      <c r="L88" s="77">
        <v>0</v>
      </c>
      <c r="M88" s="77">
        <v>0</v>
      </c>
      <c r="N88" s="77">
        <v>0</v>
      </c>
      <c r="O88" s="77">
        <v>9</v>
      </c>
      <c r="P88" s="77">
        <v>0</v>
      </c>
      <c r="Q88" s="77">
        <v>9</v>
      </c>
    </row>
    <row r="89" spans="11:17" x14ac:dyDescent="0.25">
      <c r="K89" s="31" t="s">
        <v>40</v>
      </c>
      <c r="L89" s="77"/>
      <c r="M89" s="77"/>
      <c r="N89" s="77"/>
      <c r="O89" s="77"/>
      <c r="P89" s="77"/>
      <c r="Q89" s="77"/>
    </row>
    <row r="90" spans="11:17" x14ac:dyDescent="0.25">
      <c r="K90" s="32" t="s">
        <v>24</v>
      </c>
      <c r="L90" s="77">
        <v>4646</v>
      </c>
      <c r="M90" s="77">
        <v>0</v>
      </c>
      <c r="N90" s="77">
        <v>0</v>
      </c>
      <c r="O90" s="77">
        <v>0</v>
      </c>
      <c r="P90" s="77">
        <v>0</v>
      </c>
      <c r="Q90" s="77">
        <v>4646</v>
      </c>
    </row>
    <row r="91" spans="11:17" x14ac:dyDescent="0.25">
      <c r="K91" s="32" t="s">
        <v>26</v>
      </c>
      <c r="L91" s="77">
        <v>4646</v>
      </c>
      <c r="M91" s="77">
        <v>0</v>
      </c>
      <c r="N91" s="77">
        <v>0</v>
      </c>
      <c r="O91" s="77">
        <v>0</v>
      </c>
      <c r="P91" s="77">
        <v>0</v>
      </c>
      <c r="Q91" s="77">
        <v>4646</v>
      </c>
    </row>
    <row r="92" spans="11:17" x14ac:dyDescent="0.25">
      <c r="K92" s="31" t="s">
        <v>44</v>
      </c>
      <c r="L92" s="77">
        <v>101927</v>
      </c>
      <c r="M92" s="77">
        <v>13</v>
      </c>
      <c r="N92" s="77">
        <v>11</v>
      </c>
      <c r="O92" s="77">
        <v>3</v>
      </c>
      <c r="P92" s="77">
        <v>101954</v>
      </c>
      <c r="Q92" s="77">
        <v>203908</v>
      </c>
    </row>
    <row r="93" spans="11:17" x14ac:dyDescent="0.25">
      <c r="K93" s="31" t="s">
        <v>45</v>
      </c>
      <c r="L93" s="77">
        <v>101927</v>
      </c>
      <c r="M93" s="77">
        <v>156</v>
      </c>
      <c r="N93" s="77">
        <v>22</v>
      </c>
      <c r="O93" s="77">
        <v>9</v>
      </c>
      <c r="P93" s="77">
        <v>102114</v>
      </c>
      <c r="Q93" s="77">
        <v>204228</v>
      </c>
    </row>
  </sheetData>
  <dataValidations count="1">
    <dataValidation type="list" allowBlank="1" showInputMessage="1" showErrorMessage="1" sqref="F13" xr:uid="{70E26529-448A-4CE5-A652-A848294A4D5E}">
      <formula1>$A$2:$A$30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CFBF9-C571-4088-BE45-E289DA501B13}">
  <sheetPr codeName="Sheet4"/>
  <dimension ref="A1:I50"/>
  <sheetViews>
    <sheetView workbookViewId="0">
      <selection activeCell="M6" sqref="M6"/>
    </sheetView>
  </sheetViews>
  <sheetFormatPr defaultRowHeight="15" x14ac:dyDescent="0.25"/>
  <cols>
    <col min="1" max="1" width="29.7109375" bestFit="1" customWidth="1"/>
    <col min="2" max="2" width="16.140625" bestFit="1" customWidth="1"/>
    <col min="3" max="3" width="2" bestFit="1" customWidth="1"/>
    <col min="4" max="4" width="2.85546875" bestFit="1" customWidth="1"/>
    <col min="5" max="5" width="10.140625" bestFit="1" customWidth="1"/>
    <col min="6" max="6" width="28.5703125" bestFit="1" customWidth="1"/>
    <col min="9" max="9" width="12.5703125" bestFit="1" customWidth="1"/>
    <col min="10" max="11" width="6.5703125" bestFit="1" customWidth="1"/>
  </cols>
  <sheetData>
    <row r="1" spans="1:9" x14ac:dyDescent="0.25">
      <c r="A1" s="2" t="s">
        <v>63</v>
      </c>
      <c r="B1" s="1" t="s">
        <v>57</v>
      </c>
      <c r="C1" s="1">
        <v>1</v>
      </c>
      <c r="D1" s="1" t="s">
        <v>362</v>
      </c>
      <c r="E1" s="1" t="s">
        <v>363</v>
      </c>
      <c r="F1" s="1" t="str">
        <f>CONCATENATE(B1,C1,D1,E1)</f>
        <v>tushar1@gmail.com</v>
      </c>
    </row>
    <row r="2" spans="1:9" x14ac:dyDescent="0.25">
      <c r="A2" s="2" t="s">
        <v>70</v>
      </c>
      <c r="B2" s="1" t="s">
        <v>66</v>
      </c>
      <c r="C2" s="1">
        <v>1</v>
      </c>
      <c r="D2" s="1" t="s">
        <v>362</v>
      </c>
      <c r="E2" s="1" t="s">
        <v>363</v>
      </c>
      <c r="F2" s="1" t="str">
        <f t="shared" ref="F2:F50" si="0">CONCATENATE(B2,C2,D2,E2)</f>
        <v>sahil1@gmail.com</v>
      </c>
    </row>
    <row r="3" spans="1:9" x14ac:dyDescent="0.25">
      <c r="A3" s="2" t="s">
        <v>76</v>
      </c>
      <c r="B3" s="1" t="s">
        <v>73</v>
      </c>
      <c r="C3" s="1">
        <v>1</v>
      </c>
      <c r="D3" s="1" t="s">
        <v>362</v>
      </c>
      <c r="E3" s="1" t="s">
        <v>363</v>
      </c>
      <c r="F3" s="1" t="str">
        <f t="shared" si="0"/>
        <v>prakash1@gmail.com</v>
      </c>
    </row>
    <row r="4" spans="1:9" x14ac:dyDescent="0.25">
      <c r="A4" s="2" t="s">
        <v>82</v>
      </c>
      <c r="B4" s="1" t="s">
        <v>79</v>
      </c>
      <c r="C4" s="1">
        <v>1</v>
      </c>
      <c r="D4" s="1" t="s">
        <v>362</v>
      </c>
      <c r="E4" s="1" t="s">
        <v>363</v>
      </c>
      <c r="F4" s="1" t="str">
        <f t="shared" si="0"/>
        <v>chirag1@gmail.com</v>
      </c>
    </row>
    <row r="5" spans="1:9" x14ac:dyDescent="0.25">
      <c r="A5" s="2" t="s">
        <v>89</v>
      </c>
      <c r="B5" s="1" t="s">
        <v>364</v>
      </c>
      <c r="C5" s="1">
        <v>1</v>
      </c>
      <c r="D5" s="1" t="s">
        <v>362</v>
      </c>
      <c r="E5" s="1" t="s">
        <v>363</v>
      </c>
      <c r="F5" s="1" t="str">
        <f t="shared" si="0"/>
        <v>aarav1@gmail.com</v>
      </c>
    </row>
    <row r="6" spans="1:9" x14ac:dyDescent="0.25">
      <c r="A6" s="2" t="s">
        <v>95</v>
      </c>
      <c r="B6" s="1" t="s">
        <v>365</v>
      </c>
      <c r="C6" s="1">
        <v>1</v>
      </c>
      <c r="D6" s="1" t="s">
        <v>362</v>
      </c>
      <c r="E6" s="1" t="s">
        <v>363</v>
      </c>
      <c r="F6" s="1" t="str">
        <f t="shared" si="0"/>
        <v>vivaan1@gmail.com</v>
      </c>
    </row>
    <row r="7" spans="1:9" x14ac:dyDescent="0.25">
      <c r="A7" s="2" t="s">
        <v>101</v>
      </c>
      <c r="B7" s="1" t="s">
        <v>366</v>
      </c>
      <c r="C7" s="1">
        <v>1</v>
      </c>
      <c r="D7" s="1" t="s">
        <v>362</v>
      </c>
      <c r="E7" s="1" t="s">
        <v>363</v>
      </c>
      <c r="F7" s="1" t="str">
        <f t="shared" si="0"/>
        <v>aditya1@gmail.com</v>
      </c>
    </row>
    <row r="8" spans="1:9" x14ac:dyDescent="0.25">
      <c r="A8" s="2" t="s">
        <v>108</v>
      </c>
      <c r="B8" s="1" t="s">
        <v>258</v>
      </c>
      <c r="C8" s="1">
        <v>1</v>
      </c>
      <c r="D8" s="1" t="s">
        <v>362</v>
      </c>
      <c r="E8" s="1" t="s">
        <v>363</v>
      </c>
      <c r="F8" s="1" t="str">
        <f t="shared" si="0"/>
        <v>arjun1@gmail.com</v>
      </c>
      <c r="I8" s="57" t="s">
        <v>367</v>
      </c>
    </row>
    <row r="9" spans="1:9" x14ac:dyDescent="0.25">
      <c r="A9" s="2" t="s">
        <v>114</v>
      </c>
      <c r="B9" s="1" t="s">
        <v>368</v>
      </c>
      <c r="C9" s="1">
        <v>1</v>
      </c>
      <c r="D9" s="1" t="s">
        <v>362</v>
      </c>
      <c r="E9" s="1" t="s">
        <v>363</v>
      </c>
      <c r="F9" s="1" t="str">
        <f t="shared" si="0"/>
        <v>krishna1@gmail.com</v>
      </c>
    </row>
    <row r="10" spans="1:9" x14ac:dyDescent="0.25">
      <c r="A10" s="2" t="s">
        <v>121</v>
      </c>
      <c r="B10" s="1" t="s">
        <v>369</v>
      </c>
      <c r="C10" s="1">
        <v>1</v>
      </c>
      <c r="D10" s="1" t="s">
        <v>362</v>
      </c>
      <c r="E10" s="1" t="s">
        <v>363</v>
      </c>
      <c r="F10" s="1" t="str">
        <f t="shared" si="0"/>
        <v>rohan1@gmail.com</v>
      </c>
    </row>
    <row r="11" spans="1:9" x14ac:dyDescent="0.25">
      <c r="A11" s="2" t="s">
        <v>126</v>
      </c>
      <c r="B11" s="1" t="s">
        <v>370</v>
      </c>
      <c r="C11" s="1">
        <v>7</v>
      </c>
      <c r="D11" s="1" t="s">
        <v>362</v>
      </c>
      <c r="E11" s="1" t="s">
        <v>363</v>
      </c>
      <c r="F11" s="1" t="str">
        <f t="shared" si="0"/>
        <v>hemantmahawar7@gmail.com</v>
      </c>
    </row>
    <row r="12" spans="1:9" x14ac:dyDescent="0.25">
      <c r="A12" s="2" t="s">
        <v>132</v>
      </c>
      <c r="B12" s="1" t="s">
        <v>371</v>
      </c>
      <c r="C12" s="1">
        <v>3</v>
      </c>
      <c r="D12" s="1" t="s">
        <v>362</v>
      </c>
      <c r="E12" s="1" t="s">
        <v>363</v>
      </c>
      <c r="F12" s="1" t="str">
        <f t="shared" si="0"/>
        <v>anuj3@gmail.com</v>
      </c>
    </row>
    <row r="13" spans="1:9" x14ac:dyDescent="0.25">
      <c r="A13" s="2" t="s">
        <v>139</v>
      </c>
      <c r="B13" s="1" t="s">
        <v>233</v>
      </c>
      <c r="C13" s="1">
        <v>1</v>
      </c>
      <c r="D13" s="1" t="s">
        <v>362</v>
      </c>
      <c r="E13" s="1" t="s">
        <v>363</v>
      </c>
      <c r="F13" s="1" t="str">
        <f t="shared" si="0"/>
        <v>karan1@gmail.com</v>
      </c>
    </row>
    <row r="14" spans="1:9" x14ac:dyDescent="0.25">
      <c r="A14" s="2" t="s">
        <v>145</v>
      </c>
      <c r="B14" s="1" t="s">
        <v>372</v>
      </c>
      <c r="C14" s="1">
        <v>1</v>
      </c>
      <c r="D14" s="1" t="s">
        <v>362</v>
      </c>
      <c r="E14" s="1" t="s">
        <v>363</v>
      </c>
      <c r="F14" s="1" t="str">
        <f t="shared" si="0"/>
        <v>varun1@gmail.com</v>
      </c>
    </row>
    <row r="15" spans="1:9" x14ac:dyDescent="0.25">
      <c r="A15" s="2" t="s">
        <v>150</v>
      </c>
      <c r="B15" s="1" t="s">
        <v>373</v>
      </c>
      <c r="C15" s="1">
        <v>1</v>
      </c>
      <c r="D15" s="1" t="s">
        <v>362</v>
      </c>
      <c r="E15" s="1" t="s">
        <v>363</v>
      </c>
      <c r="F15" s="1" t="str">
        <f t="shared" si="0"/>
        <v>vikram1@gmail.com</v>
      </c>
    </row>
    <row r="16" spans="1:9" x14ac:dyDescent="0.25">
      <c r="A16" s="2" t="s">
        <v>156</v>
      </c>
      <c r="B16" s="1" t="s">
        <v>374</v>
      </c>
      <c r="C16" s="1">
        <v>1</v>
      </c>
      <c r="D16" s="1" t="s">
        <v>362</v>
      </c>
      <c r="E16" s="1" t="s">
        <v>363</v>
      </c>
      <c r="F16" s="1" t="str">
        <f t="shared" si="0"/>
        <v>ankit1@gmail.com</v>
      </c>
    </row>
    <row r="17" spans="1:6" x14ac:dyDescent="0.25">
      <c r="A17" s="2" t="s">
        <v>163</v>
      </c>
      <c r="B17" s="1" t="s">
        <v>354</v>
      </c>
      <c r="C17" s="1">
        <v>1</v>
      </c>
      <c r="D17" s="1" t="s">
        <v>362</v>
      </c>
      <c r="E17" s="1" t="s">
        <v>363</v>
      </c>
      <c r="F17" s="1" t="str">
        <f t="shared" si="0"/>
        <v>akash1@gmail.com</v>
      </c>
    </row>
    <row r="18" spans="1:6" x14ac:dyDescent="0.25">
      <c r="A18" s="2" t="s">
        <v>169</v>
      </c>
      <c r="B18" s="1" t="s">
        <v>131</v>
      </c>
      <c r="C18" s="1">
        <v>1</v>
      </c>
      <c r="D18" s="1" t="s">
        <v>362</v>
      </c>
      <c r="E18" s="1" t="s">
        <v>363</v>
      </c>
      <c r="F18" s="1" t="str">
        <f t="shared" si="0"/>
        <v>deepak1@gmail.com</v>
      </c>
    </row>
    <row r="19" spans="1:6" x14ac:dyDescent="0.25">
      <c r="A19" s="2" t="s">
        <v>175</v>
      </c>
      <c r="B19" s="1" t="s">
        <v>193</v>
      </c>
      <c r="C19" s="1">
        <v>1</v>
      </c>
      <c r="D19" s="1" t="s">
        <v>362</v>
      </c>
      <c r="E19" s="1" t="s">
        <v>363</v>
      </c>
      <c r="F19" s="1" t="str">
        <f t="shared" si="0"/>
        <v>rakesh1@gmail.com</v>
      </c>
    </row>
    <row r="20" spans="1:6" x14ac:dyDescent="0.25">
      <c r="A20" s="2" t="s">
        <v>181</v>
      </c>
      <c r="B20" s="1" t="s">
        <v>162</v>
      </c>
      <c r="C20" s="1">
        <v>1</v>
      </c>
      <c r="D20" s="1" t="s">
        <v>362</v>
      </c>
      <c r="E20" s="1" t="s">
        <v>363</v>
      </c>
      <c r="F20" s="1" t="str">
        <f t="shared" si="0"/>
        <v>suresh1@gmail.com</v>
      </c>
    </row>
    <row r="21" spans="1:6" x14ac:dyDescent="0.25">
      <c r="A21" s="2" t="s">
        <v>187</v>
      </c>
      <c r="B21" s="1" t="s">
        <v>186</v>
      </c>
      <c r="C21" s="1">
        <v>1</v>
      </c>
      <c r="D21" s="1" t="s">
        <v>362</v>
      </c>
      <c r="E21" s="1" t="s">
        <v>363</v>
      </c>
      <c r="F21" s="1" t="str">
        <f t="shared" si="0"/>
        <v>mahesh1@gmail.com</v>
      </c>
    </row>
    <row r="22" spans="1:6" x14ac:dyDescent="0.25">
      <c r="A22" s="2" t="s">
        <v>194</v>
      </c>
      <c r="B22" s="1" t="s">
        <v>375</v>
      </c>
      <c r="C22" s="1">
        <v>1</v>
      </c>
      <c r="D22" s="1" t="s">
        <v>362</v>
      </c>
      <c r="E22" s="1" t="s">
        <v>363</v>
      </c>
      <c r="F22" s="1" t="str">
        <f t="shared" si="0"/>
        <v>rajesh1@gmail.com</v>
      </c>
    </row>
    <row r="23" spans="1:6" x14ac:dyDescent="0.25">
      <c r="A23" s="2" t="s">
        <v>199</v>
      </c>
      <c r="B23" s="1" t="s">
        <v>180</v>
      </c>
      <c r="C23" s="1">
        <v>1</v>
      </c>
      <c r="D23" s="1" t="s">
        <v>362</v>
      </c>
      <c r="E23" s="1" t="s">
        <v>363</v>
      </c>
      <c r="F23" s="1" t="str">
        <f t="shared" si="0"/>
        <v>mukesh1@gmail.com</v>
      </c>
    </row>
    <row r="24" spans="1:6" x14ac:dyDescent="0.25">
      <c r="A24" s="2" t="s">
        <v>205</v>
      </c>
      <c r="B24" s="1" t="s">
        <v>376</v>
      </c>
      <c r="C24" s="1">
        <v>1</v>
      </c>
      <c r="D24" s="1" t="s">
        <v>362</v>
      </c>
      <c r="E24" s="1" t="s">
        <v>363</v>
      </c>
      <c r="F24" s="1" t="str">
        <f t="shared" si="0"/>
        <v>nitin1@gmail.com</v>
      </c>
    </row>
    <row r="25" spans="1:6" x14ac:dyDescent="0.25">
      <c r="A25" s="2" t="s">
        <v>211</v>
      </c>
      <c r="B25" s="1" t="s">
        <v>377</v>
      </c>
      <c r="C25" s="1">
        <v>1</v>
      </c>
      <c r="D25" s="1" t="s">
        <v>362</v>
      </c>
      <c r="E25" s="1" t="s">
        <v>363</v>
      </c>
      <c r="F25" s="1" t="str">
        <f t="shared" si="0"/>
        <v>sumit1@gmail.com</v>
      </c>
    </row>
    <row r="26" spans="1:6" x14ac:dyDescent="0.25">
      <c r="A26" s="2" t="s">
        <v>216</v>
      </c>
      <c r="B26" s="1" t="s">
        <v>378</v>
      </c>
      <c r="C26" s="1">
        <v>1</v>
      </c>
      <c r="D26" s="1" t="s">
        <v>362</v>
      </c>
      <c r="E26" s="1" t="s">
        <v>363</v>
      </c>
      <c r="F26" s="1" t="str">
        <f t="shared" si="0"/>
        <v>ravi1@gmail.com</v>
      </c>
    </row>
    <row r="27" spans="1:6" x14ac:dyDescent="0.25">
      <c r="A27" s="2" t="s">
        <v>222</v>
      </c>
      <c r="B27" s="1" t="s">
        <v>379</v>
      </c>
      <c r="C27" s="1">
        <v>1</v>
      </c>
      <c r="D27" s="1" t="s">
        <v>362</v>
      </c>
      <c r="E27" s="1" t="s">
        <v>363</v>
      </c>
      <c r="F27" s="1" t="str">
        <f t="shared" si="0"/>
        <v>ajay1@gmail.com</v>
      </c>
    </row>
    <row r="28" spans="1:6" x14ac:dyDescent="0.25">
      <c r="A28" s="2" t="s">
        <v>228</v>
      </c>
      <c r="B28" s="1" t="s">
        <v>380</v>
      </c>
      <c r="C28" s="1">
        <v>1</v>
      </c>
      <c r="D28" s="1" t="s">
        <v>362</v>
      </c>
      <c r="E28" s="1" t="s">
        <v>363</v>
      </c>
      <c r="F28" s="1" t="str">
        <f t="shared" si="0"/>
        <v>vijay1@gmail.com</v>
      </c>
    </row>
    <row r="29" spans="1:6" x14ac:dyDescent="0.25">
      <c r="A29" s="2" t="s">
        <v>234</v>
      </c>
      <c r="B29" s="1" t="s">
        <v>381</v>
      </c>
      <c r="C29" s="1">
        <v>1</v>
      </c>
      <c r="D29" s="1" t="s">
        <v>362</v>
      </c>
      <c r="E29" s="1" t="s">
        <v>363</v>
      </c>
      <c r="F29" s="1" t="str">
        <f t="shared" si="0"/>
        <v>sanjay1@gmail.com</v>
      </c>
    </row>
    <row r="30" spans="1:6" x14ac:dyDescent="0.25">
      <c r="A30" s="2" t="s">
        <v>240</v>
      </c>
      <c r="B30" s="1" t="s">
        <v>382</v>
      </c>
      <c r="C30" s="1">
        <v>1</v>
      </c>
      <c r="D30" s="1" t="s">
        <v>362</v>
      </c>
      <c r="E30" s="1" t="s">
        <v>363</v>
      </c>
      <c r="F30" s="1" t="str">
        <f t="shared" si="0"/>
        <v>manoj1@gmail.com</v>
      </c>
    </row>
    <row r="31" spans="1:6" x14ac:dyDescent="0.25">
      <c r="A31" s="2" t="s">
        <v>246</v>
      </c>
      <c r="B31" s="1" t="s">
        <v>383</v>
      </c>
      <c r="C31" s="1">
        <v>1</v>
      </c>
      <c r="D31" s="1" t="s">
        <v>362</v>
      </c>
      <c r="E31" s="1" t="s">
        <v>363</v>
      </c>
      <c r="F31" s="1" t="str">
        <f t="shared" si="0"/>
        <v>pankaj1@gmail.com</v>
      </c>
    </row>
    <row r="32" spans="1:6" x14ac:dyDescent="0.25">
      <c r="A32" s="2" t="s">
        <v>253</v>
      </c>
      <c r="B32" s="1" t="s">
        <v>384</v>
      </c>
      <c r="C32" s="1">
        <v>1</v>
      </c>
      <c r="D32" s="1" t="s">
        <v>362</v>
      </c>
      <c r="E32" s="1" t="s">
        <v>363</v>
      </c>
      <c r="F32" s="1" t="str">
        <f t="shared" si="0"/>
        <v>pradeep1@gmail.com</v>
      </c>
    </row>
    <row r="33" spans="1:6" x14ac:dyDescent="0.25">
      <c r="A33" s="2" t="s">
        <v>259</v>
      </c>
      <c r="B33" s="1" t="s">
        <v>385</v>
      </c>
      <c r="C33" s="1">
        <v>1</v>
      </c>
      <c r="D33" s="1" t="s">
        <v>362</v>
      </c>
      <c r="E33" s="1" t="s">
        <v>363</v>
      </c>
      <c r="F33" s="1" t="str">
        <f t="shared" si="0"/>
        <v>ashok1@gmail.com</v>
      </c>
    </row>
    <row r="34" spans="1:6" x14ac:dyDescent="0.25">
      <c r="A34" s="2" t="s">
        <v>266</v>
      </c>
      <c r="B34" s="1" t="s">
        <v>386</v>
      </c>
      <c r="C34" s="1">
        <v>1</v>
      </c>
      <c r="D34" s="1" t="s">
        <v>362</v>
      </c>
      <c r="E34" s="1" t="s">
        <v>363</v>
      </c>
      <c r="F34" s="1" t="str">
        <f t="shared" si="0"/>
        <v>sunil1@gmail.com</v>
      </c>
    </row>
    <row r="35" spans="1:6" x14ac:dyDescent="0.25">
      <c r="A35" s="2" t="s">
        <v>272</v>
      </c>
      <c r="B35" s="1" t="s">
        <v>387</v>
      </c>
      <c r="C35" s="1">
        <v>1</v>
      </c>
      <c r="D35" s="1" t="s">
        <v>362</v>
      </c>
      <c r="E35" s="1" t="s">
        <v>363</v>
      </c>
      <c r="F35" s="1" t="str">
        <f t="shared" si="0"/>
        <v>anil1@gmail.com</v>
      </c>
    </row>
    <row r="36" spans="1:6" x14ac:dyDescent="0.25">
      <c r="A36" s="2" t="s">
        <v>278</v>
      </c>
      <c r="B36" s="1" t="s">
        <v>388</v>
      </c>
      <c r="C36" s="1">
        <v>1</v>
      </c>
      <c r="D36" s="1" t="s">
        <v>362</v>
      </c>
      <c r="E36" s="1" t="s">
        <v>363</v>
      </c>
      <c r="F36" s="1" t="str">
        <f t="shared" si="0"/>
        <v>sachin1@gmail.com</v>
      </c>
    </row>
    <row r="37" spans="1:6" x14ac:dyDescent="0.25">
      <c r="A37" s="2" t="s">
        <v>285</v>
      </c>
      <c r="B37" s="1" t="s">
        <v>138</v>
      </c>
      <c r="C37" s="1">
        <v>1</v>
      </c>
      <c r="D37" s="1" t="s">
        <v>362</v>
      </c>
      <c r="E37" s="1" t="s">
        <v>363</v>
      </c>
      <c r="F37" s="1" t="str">
        <f t="shared" si="0"/>
        <v>rohit1@gmail.com</v>
      </c>
    </row>
    <row r="38" spans="1:6" x14ac:dyDescent="0.25">
      <c r="A38" s="2" t="s">
        <v>291</v>
      </c>
      <c r="B38" s="1" t="s">
        <v>389</v>
      </c>
      <c r="C38" s="1">
        <v>1</v>
      </c>
      <c r="D38" s="1" t="s">
        <v>362</v>
      </c>
      <c r="E38" s="1" t="s">
        <v>363</v>
      </c>
      <c r="F38" s="1" t="str">
        <f t="shared" si="0"/>
        <v>abhishek1@gmail.com</v>
      </c>
    </row>
    <row r="39" spans="1:6" x14ac:dyDescent="0.25">
      <c r="A39" s="2" t="s">
        <v>297</v>
      </c>
      <c r="B39" s="1" t="s">
        <v>313</v>
      </c>
      <c r="C39" s="1">
        <v>1</v>
      </c>
      <c r="D39" s="1" t="s">
        <v>362</v>
      </c>
      <c r="E39" s="1" t="s">
        <v>363</v>
      </c>
      <c r="F39" s="1" t="str">
        <f t="shared" si="0"/>
        <v>harsh1@gmail.com</v>
      </c>
    </row>
    <row r="40" spans="1:6" x14ac:dyDescent="0.25">
      <c r="A40" s="2" t="s">
        <v>303</v>
      </c>
      <c r="B40" s="1" t="s">
        <v>390</v>
      </c>
      <c r="C40" s="1">
        <v>1</v>
      </c>
      <c r="D40" s="1" t="s">
        <v>362</v>
      </c>
      <c r="E40" s="1" t="s">
        <v>363</v>
      </c>
      <c r="F40" s="1" t="str">
        <f t="shared" si="0"/>
        <v>naveen1@gmail.com</v>
      </c>
    </row>
    <row r="41" spans="1:6" x14ac:dyDescent="0.25">
      <c r="A41" s="2" t="s">
        <v>308</v>
      </c>
      <c r="B41" s="1" t="s">
        <v>391</v>
      </c>
      <c r="C41" s="1">
        <v>1</v>
      </c>
      <c r="D41" s="1" t="s">
        <v>362</v>
      </c>
      <c r="E41" s="1" t="s">
        <v>363</v>
      </c>
      <c r="F41" s="1" t="str">
        <f t="shared" si="0"/>
        <v>gaurav1@gmail.com</v>
      </c>
    </row>
    <row r="42" spans="1:6" x14ac:dyDescent="0.25">
      <c r="A42" s="2" t="s">
        <v>314</v>
      </c>
      <c r="B42" s="1" t="s">
        <v>392</v>
      </c>
      <c r="C42" s="1">
        <v>1</v>
      </c>
      <c r="D42" s="1" t="s">
        <v>362</v>
      </c>
      <c r="E42" s="1" t="s">
        <v>363</v>
      </c>
      <c r="F42" s="1" t="str">
        <f t="shared" si="0"/>
        <v>tarun1@gmail.com</v>
      </c>
    </row>
    <row r="43" spans="1:6" x14ac:dyDescent="0.25">
      <c r="A43" s="2" t="s">
        <v>320</v>
      </c>
      <c r="B43" s="1" t="s">
        <v>393</v>
      </c>
      <c r="C43" s="1">
        <v>1</v>
      </c>
      <c r="D43" s="1" t="s">
        <v>362</v>
      </c>
      <c r="E43" s="1" t="s">
        <v>363</v>
      </c>
      <c r="F43" s="1" t="str">
        <f t="shared" si="0"/>
        <v>yash1@gmail.com</v>
      </c>
    </row>
    <row r="44" spans="1:6" x14ac:dyDescent="0.25">
      <c r="A44" s="2" t="s">
        <v>326</v>
      </c>
      <c r="B44" s="1" t="s">
        <v>394</v>
      </c>
      <c r="C44" s="1">
        <v>1</v>
      </c>
      <c r="D44" s="1" t="s">
        <v>362</v>
      </c>
      <c r="E44" s="1" t="s">
        <v>363</v>
      </c>
      <c r="F44" s="1" t="str">
        <f t="shared" si="0"/>
        <v>shubham1@gmail.com</v>
      </c>
    </row>
    <row r="45" spans="1:6" x14ac:dyDescent="0.25">
      <c r="A45" s="2" t="s">
        <v>331</v>
      </c>
      <c r="B45" s="1" t="s">
        <v>57</v>
      </c>
      <c r="C45" s="1">
        <v>2</v>
      </c>
      <c r="D45" s="1" t="s">
        <v>362</v>
      </c>
      <c r="E45" s="1" t="s">
        <v>363</v>
      </c>
      <c r="F45" s="1" t="str">
        <f t="shared" si="0"/>
        <v>tushar2@gmail.com</v>
      </c>
    </row>
    <row r="46" spans="1:6" x14ac:dyDescent="0.25">
      <c r="A46" s="2" t="s">
        <v>337</v>
      </c>
      <c r="B46" s="1" t="s">
        <v>395</v>
      </c>
      <c r="C46" s="1">
        <v>1</v>
      </c>
      <c r="D46" s="1" t="s">
        <v>362</v>
      </c>
      <c r="E46" s="1" t="s">
        <v>363</v>
      </c>
      <c r="F46" s="1" t="str">
        <f t="shared" si="0"/>
        <v>nikhil1@gmail.com</v>
      </c>
    </row>
    <row r="47" spans="1:6" x14ac:dyDescent="0.25">
      <c r="A47" s="2" t="s">
        <v>343</v>
      </c>
      <c r="B47" s="1" t="s">
        <v>396</v>
      </c>
      <c r="C47" s="1">
        <v>1</v>
      </c>
      <c r="D47" s="1" t="s">
        <v>362</v>
      </c>
      <c r="E47" s="1" t="s">
        <v>363</v>
      </c>
      <c r="F47" s="1" t="str">
        <f t="shared" si="0"/>
        <v>aayush1@gmail.com</v>
      </c>
    </row>
    <row r="48" spans="1:6" x14ac:dyDescent="0.25">
      <c r="A48" s="2" t="s">
        <v>349</v>
      </c>
      <c r="B48" s="1" t="s">
        <v>397</v>
      </c>
      <c r="C48" s="1">
        <v>1</v>
      </c>
      <c r="D48" s="1" t="s">
        <v>362</v>
      </c>
      <c r="E48" s="1" t="s">
        <v>363</v>
      </c>
      <c r="F48" s="1" t="str">
        <f t="shared" si="0"/>
        <v>mohit1@gmail.com</v>
      </c>
    </row>
    <row r="49" spans="1:6" x14ac:dyDescent="0.25">
      <c r="A49" s="2" t="s">
        <v>355</v>
      </c>
      <c r="B49" s="1" t="s">
        <v>398</v>
      </c>
      <c r="C49" s="1">
        <v>1</v>
      </c>
      <c r="D49" s="1" t="s">
        <v>362</v>
      </c>
      <c r="E49" s="1" t="s">
        <v>363</v>
      </c>
      <c r="F49" s="1" t="str">
        <f t="shared" si="0"/>
        <v>hemant1@gmail.com</v>
      </c>
    </row>
    <row r="50" spans="1:6" x14ac:dyDescent="0.25">
      <c r="A50" s="2" t="s">
        <v>361</v>
      </c>
      <c r="B50" s="1" t="s">
        <v>265</v>
      </c>
      <c r="C50" s="1">
        <v>1</v>
      </c>
      <c r="D50" s="1" t="s">
        <v>362</v>
      </c>
      <c r="E50" s="1" t="s">
        <v>363</v>
      </c>
      <c r="F50" s="1" t="str">
        <f t="shared" si="0"/>
        <v>dinesh1@gmail.com</v>
      </c>
    </row>
  </sheetData>
  <hyperlinks>
    <hyperlink ref="A1" r:id="rId1" xr:uid="{66AD0CEE-14F8-44D2-AE76-ABED910C24DE}"/>
    <hyperlink ref="A2" r:id="rId2" xr:uid="{A32E469D-5428-4E43-8D32-2838990EF725}"/>
    <hyperlink ref="A3" r:id="rId3" xr:uid="{D998A74C-0349-4821-9C87-F83A584C644B}"/>
    <hyperlink ref="A4" r:id="rId4" xr:uid="{7DF34BCF-7F63-4722-AEF5-A0841EBFB79A}"/>
    <hyperlink ref="A5" r:id="rId5" xr:uid="{CF302750-091F-4784-A6BD-D19DEEE8310C}"/>
    <hyperlink ref="A6" r:id="rId6" xr:uid="{06063120-5329-43E7-95DF-E6CE17480DD4}"/>
    <hyperlink ref="A7" r:id="rId7" xr:uid="{5B8E8630-BDD4-47D9-830A-4B65432166BD}"/>
    <hyperlink ref="A11" r:id="rId8" xr:uid="{D0791072-8E2A-47CC-A922-5FFAD973F06E}"/>
    <hyperlink ref="A12" r:id="rId9" xr:uid="{EF0203A1-0493-4E29-9A7F-B2F540BB3FB8}"/>
    <hyperlink ref="A8" r:id="rId10" xr:uid="{CFF3AEF7-4D93-42FD-A03E-B1BC55874BE5}"/>
    <hyperlink ref="A9" r:id="rId11" xr:uid="{44E06F64-58B7-4A39-AE5E-99311D87E62B}"/>
    <hyperlink ref="A10" r:id="rId12" xr:uid="{22337B7E-30C9-4A97-88BB-155EE0E7E686}"/>
    <hyperlink ref="A13" r:id="rId13" xr:uid="{ECEF1AC8-9122-4F44-9536-6940C1A88F31}"/>
    <hyperlink ref="A14" r:id="rId14" xr:uid="{0F14E3EE-47C6-4A10-9255-BC4EBB29ABFD}"/>
    <hyperlink ref="A15" r:id="rId15" xr:uid="{2648692C-F584-45AD-804E-30FEAB0F85D3}"/>
    <hyperlink ref="A16" r:id="rId16" xr:uid="{ACCC0499-710A-4A2F-96DA-522EBDBB7372}"/>
    <hyperlink ref="A17" r:id="rId17" xr:uid="{1A05365E-A3CC-4B39-912B-52C196CA5722}"/>
    <hyperlink ref="A18" r:id="rId18" xr:uid="{A282ADF8-A603-4398-AC25-F9F87082DAB9}"/>
    <hyperlink ref="A19" r:id="rId19" xr:uid="{93B2D020-508F-4FEA-900D-F6CD29F9FF7D}"/>
    <hyperlink ref="A20" r:id="rId20" xr:uid="{1BFAF57D-7A5F-48B6-B508-974AE970EB78}"/>
    <hyperlink ref="A21" r:id="rId21" xr:uid="{EB85722A-18E4-4DD4-BABC-D46D3345C02F}"/>
    <hyperlink ref="A22" r:id="rId22" xr:uid="{FDC075BD-CA5D-4542-AC51-83DCEFC74ABC}"/>
    <hyperlink ref="A23" r:id="rId23" xr:uid="{9A5A576A-D1EA-4E39-85A0-433F1D4C83BB}"/>
    <hyperlink ref="A24" r:id="rId24" xr:uid="{7809D4BA-BE17-459A-879A-31CCE10FE979}"/>
    <hyperlink ref="A25" r:id="rId25" xr:uid="{7C6B2C08-F79A-4D1E-B00E-A3921A4010A2}"/>
    <hyperlink ref="A26" r:id="rId26" xr:uid="{D0F22368-1DA7-44BE-905A-DECBDF82989B}"/>
    <hyperlink ref="A27" r:id="rId27" xr:uid="{21878F69-3460-4D8B-BDDB-D5FD502456D5}"/>
    <hyperlink ref="A28" r:id="rId28" xr:uid="{63647B70-3A37-40F9-AE07-A18F696F38A7}"/>
    <hyperlink ref="A29" r:id="rId29" xr:uid="{8A59CEE1-1A02-4E47-BE4C-A91B22B98098}"/>
    <hyperlink ref="A30" r:id="rId30" xr:uid="{1226C555-D675-4073-BA4C-EF87A5324997}"/>
    <hyperlink ref="A31" r:id="rId31" xr:uid="{ADF7E822-81A4-4807-9DA9-C6AF738EED49}"/>
    <hyperlink ref="A32" r:id="rId32" xr:uid="{4CA37518-0C2B-459F-A591-4B87F489B108}"/>
    <hyperlink ref="A33" r:id="rId33" xr:uid="{027A5F4A-C838-4CFF-A354-A078C757D6B5}"/>
    <hyperlink ref="A34" r:id="rId34" xr:uid="{B0D8453B-ED21-44F7-A323-274125988C47}"/>
    <hyperlink ref="A35" r:id="rId35" xr:uid="{6BCEF5BF-2911-4502-9E95-68CFDB290351}"/>
    <hyperlink ref="A36" r:id="rId36" xr:uid="{F4CFE322-3DD2-488C-82E9-4EDCBA843B10}"/>
    <hyperlink ref="A37" r:id="rId37" xr:uid="{C448F84C-6168-4067-8C23-71A76419AD45}"/>
    <hyperlink ref="A38" r:id="rId38" xr:uid="{B027664D-27F6-4B3C-81B0-7518E1293714}"/>
    <hyperlink ref="A39" r:id="rId39" xr:uid="{70566D74-6967-4714-9B9A-ABD5D74ED6FD}"/>
    <hyperlink ref="A40" r:id="rId40" xr:uid="{1892F5B8-6722-4624-B351-81BAA034FDD6}"/>
    <hyperlink ref="A41" r:id="rId41" xr:uid="{012B65EA-432B-4A3D-83A5-C4C79279C903}"/>
    <hyperlink ref="A42" r:id="rId42" xr:uid="{C8252EE8-4D4B-42D2-9DD2-A7536DDC670C}"/>
    <hyperlink ref="A43" r:id="rId43" xr:uid="{8C58A970-43BE-4BA9-A8DE-18D1351F9A0F}"/>
    <hyperlink ref="A44" r:id="rId44" xr:uid="{F5B47CAC-A327-4F64-AD0C-CE2101D8997F}"/>
    <hyperlink ref="A45" r:id="rId45" xr:uid="{235B9C5A-F1C4-416B-ACE2-7C5EBA6AA6A8}"/>
    <hyperlink ref="A46" r:id="rId46" xr:uid="{C7AB0CE3-8452-46AC-BA6F-9D87418AAD84}"/>
    <hyperlink ref="A47" r:id="rId47" xr:uid="{EF3F9084-00D3-4052-85E3-7AE3D45EDEEA}"/>
    <hyperlink ref="A48" r:id="rId48" xr:uid="{B17B09A9-D7D0-43EA-82B1-8B013A597CC8}"/>
    <hyperlink ref="A49" r:id="rId49" xr:uid="{58044FB5-60E3-4FFE-AA08-B744160243C7}"/>
    <hyperlink ref="A50" r:id="rId50" xr:uid="{C7D5A650-0DDA-4AD9-9A2B-53C03EE719DC}"/>
    <hyperlink ref="I8" r:id="rId51" xr:uid="{8047ABE0-54BB-459E-A6DB-F6481361611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F9BD6-38B3-400A-B2B4-096FF6D19663}">
  <sheetPr codeName="Sheet5"/>
  <dimension ref="C5:R22"/>
  <sheetViews>
    <sheetView workbookViewId="0">
      <selection activeCell="E11" sqref="E11"/>
    </sheetView>
  </sheetViews>
  <sheetFormatPr defaultRowHeight="15" x14ac:dyDescent="0.25"/>
  <cols>
    <col min="1" max="1" width="12.140625" bestFit="1" customWidth="1"/>
    <col min="3" max="3" width="19.140625" bestFit="1" customWidth="1"/>
    <col min="4" max="4" width="7" bestFit="1" customWidth="1"/>
    <col min="5" max="5" width="10.7109375" bestFit="1" customWidth="1"/>
    <col min="6" max="7" width="9.7109375" bestFit="1" customWidth="1"/>
    <col min="9" max="9" width="17.42578125" bestFit="1" customWidth="1"/>
    <col min="10" max="10" width="8" bestFit="1" customWidth="1"/>
    <col min="11" max="11" width="10.7109375" bestFit="1" customWidth="1"/>
    <col min="13" max="13" width="17.42578125" bestFit="1" customWidth="1"/>
    <col min="14" max="14" width="8" bestFit="1" customWidth="1"/>
    <col min="15" max="15" width="10.7109375" bestFit="1" customWidth="1"/>
    <col min="16" max="16" width="8" bestFit="1" customWidth="1"/>
    <col min="17" max="17" width="9.7109375" bestFit="1" customWidth="1"/>
  </cols>
  <sheetData>
    <row r="5" spans="3:18" x14ac:dyDescent="0.25">
      <c r="C5" s="13" t="s">
        <v>7</v>
      </c>
      <c r="D5" s="13" t="s">
        <v>399</v>
      </c>
      <c r="I5" s="13" t="s">
        <v>400</v>
      </c>
      <c r="J5" s="13" t="s">
        <v>137</v>
      </c>
      <c r="M5" s="13" t="s">
        <v>7</v>
      </c>
      <c r="N5" s="13" t="s">
        <v>401</v>
      </c>
    </row>
    <row r="6" spans="3:18" x14ac:dyDescent="0.25">
      <c r="C6" s="1" t="s">
        <v>402</v>
      </c>
      <c r="D6" s="1">
        <v>150000</v>
      </c>
      <c r="E6" s="11"/>
      <c r="I6" s="1" t="s">
        <v>402</v>
      </c>
      <c r="J6" s="1">
        <v>1200000</v>
      </c>
      <c r="M6" s="1" t="s">
        <v>402</v>
      </c>
      <c r="N6" s="1">
        <v>2500000</v>
      </c>
    </row>
    <row r="7" spans="3:18" x14ac:dyDescent="0.25">
      <c r="C7" s="1" t="s">
        <v>403</v>
      </c>
      <c r="D7" s="10">
        <v>0.1</v>
      </c>
      <c r="I7" s="1" t="s">
        <v>404</v>
      </c>
      <c r="J7" s="10">
        <v>0.15</v>
      </c>
      <c r="M7" s="1" t="s">
        <v>404</v>
      </c>
      <c r="N7" s="10">
        <v>0.2</v>
      </c>
    </row>
    <row r="8" spans="3:18" x14ac:dyDescent="0.25">
      <c r="C8" s="1" t="s">
        <v>405</v>
      </c>
      <c r="D8" s="1">
        <v>5</v>
      </c>
      <c r="I8" s="1" t="s">
        <v>406</v>
      </c>
      <c r="J8" s="1">
        <v>10</v>
      </c>
      <c r="M8" s="1" t="s">
        <v>407</v>
      </c>
      <c r="N8" s="1">
        <v>15</v>
      </c>
    </row>
    <row r="11" spans="3:18" x14ac:dyDescent="0.25">
      <c r="C11" t="s">
        <v>408</v>
      </c>
      <c r="D11" t="s">
        <v>409</v>
      </c>
      <c r="E11" s="12">
        <f>PMT(D7/12,D8*12,D6)</f>
        <v>-3187.0567066902418</v>
      </c>
      <c r="F11" s="11">
        <f>PMT(D7/12,60,-150000)</f>
        <v>3187.0567066902418</v>
      </c>
      <c r="G11" s="11">
        <f>PMT(D7/12,60,-D6)</f>
        <v>3187.0567066902418</v>
      </c>
      <c r="I11" t="s">
        <v>408</v>
      </c>
      <c r="J11" t="s">
        <v>409</v>
      </c>
      <c r="K11" s="11">
        <f>PMT(J7/12,120,-1200000)</f>
        <v>19360.194848917869</v>
      </c>
      <c r="M11" t="s">
        <v>408</v>
      </c>
      <c r="N11" t="s">
        <v>409</v>
      </c>
      <c r="O11" s="11">
        <f>PMT(N7/12,180,-2500000)</f>
        <v>43907.41257676627</v>
      </c>
      <c r="Q11" s="11"/>
      <c r="R11" s="11"/>
    </row>
    <row r="12" spans="3:18" x14ac:dyDescent="0.25">
      <c r="C12" t="s">
        <v>410</v>
      </c>
      <c r="D12" t="s">
        <v>411</v>
      </c>
      <c r="F12" s="11">
        <f>IPMT(D7/12,1,60,-150000)</f>
        <v>1250</v>
      </c>
      <c r="I12" t="s">
        <v>412</v>
      </c>
      <c r="J12" t="s">
        <v>411</v>
      </c>
      <c r="K12" s="11">
        <f>IPMT(J7/12,1,120,-1200000)</f>
        <v>14999.999999999998</v>
      </c>
      <c r="M12" t="s">
        <v>412</v>
      </c>
      <c r="N12" t="s">
        <v>411</v>
      </c>
      <c r="O12" s="11">
        <f>IPMT(N7/12,1,180,-2500000)</f>
        <v>41666.666666666664</v>
      </c>
    </row>
    <row r="13" spans="3:18" x14ac:dyDescent="0.25">
      <c r="C13" t="s">
        <v>413</v>
      </c>
      <c r="D13" t="s">
        <v>414</v>
      </c>
      <c r="F13" s="11">
        <f>PPMT(D7/12,1,60,-150000)</f>
        <v>1937.0567066902415</v>
      </c>
      <c r="I13" t="s">
        <v>415</v>
      </c>
      <c r="J13" t="s">
        <v>414</v>
      </c>
      <c r="K13" s="11">
        <f>PPMT(J7/12,1,120,-1200000)</f>
        <v>4360.1948489178685</v>
      </c>
      <c r="M13" t="s">
        <v>415</v>
      </c>
      <c r="N13" t="s">
        <v>414</v>
      </c>
      <c r="O13" s="11">
        <f>PPMT(N7/12,1,180,-2500000)</f>
        <v>2240.7459100996052</v>
      </c>
    </row>
    <row r="17" spans="3:18" x14ac:dyDescent="0.25">
      <c r="R17">
        <v>15000</v>
      </c>
    </row>
    <row r="18" spans="3:18" x14ac:dyDescent="0.25">
      <c r="C18" s="11">
        <f>F12+F13</f>
        <v>3187.0567066902413</v>
      </c>
      <c r="I18" s="11">
        <f>K12+K13</f>
        <v>19360.194848917869</v>
      </c>
      <c r="M18" s="11">
        <f>SUM(O12:O13)</f>
        <v>43907.41257676627</v>
      </c>
    </row>
    <row r="22" spans="3:18" x14ac:dyDescent="0.25">
      <c r="M22" s="11">
        <f>DB(D6,R17,D8,1)</f>
        <v>55350</v>
      </c>
    </row>
  </sheetData>
  <scenarios current="0" show="0">
    <scenario name="high sales growth" locked="1" count="1" user="Tushar kumar" comment="Created by Tushar kumar on 05-09-2026">
      <inputCells r="D6" val="150000"/>
    </scenario>
  </scenario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1E466-08B1-4541-9220-7149A49452A0}">
  <sheetPr codeName="Sheet3"/>
  <dimension ref="A1:K19"/>
  <sheetViews>
    <sheetView workbookViewId="0">
      <selection activeCell="M9" sqref="M9"/>
    </sheetView>
  </sheetViews>
  <sheetFormatPr defaultRowHeight="15" x14ac:dyDescent="0.25"/>
  <cols>
    <col min="1" max="1" width="9" bestFit="1" customWidth="1"/>
    <col min="2" max="2" width="9.28515625" bestFit="1" customWidth="1"/>
    <col min="3" max="3" width="9.7109375" bestFit="1" customWidth="1"/>
    <col min="4" max="4" width="12.5703125" bestFit="1" customWidth="1"/>
    <col min="5" max="5" width="12.42578125" bestFit="1" customWidth="1"/>
    <col min="6" max="6" width="25.85546875" bestFit="1" customWidth="1"/>
    <col min="7" max="7" width="11.5703125" bestFit="1" customWidth="1"/>
    <col min="8" max="8" width="11" bestFit="1" customWidth="1"/>
    <col min="9" max="9" width="7.85546875" bestFit="1" customWidth="1"/>
    <col min="10" max="10" width="9" bestFit="1" customWidth="1"/>
    <col min="11" max="11" width="4.5703125" bestFit="1" customWidth="1"/>
    <col min="15" max="15" width="11.7109375" bestFit="1" customWidth="1"/>
  </cols>
  <sheetData>
    <row r="1" spans="1:11" x14ac:dyDescent="0.25">
      <c r="A1" t="s">
        <v>416</v>
      </c>
      <c r="B1" t="s">
        <v>417</v>
      </c>
      <c r="C1" t="s">
        <v>418</v>
      </c>
      <c r="D1" t="s">
        <v>419</v>
      </c>
      <c r="E1" t="s">
        <v>420</v>
      </c>
      <c r="F1" t="s">
        <v>421</v>
      </c>
      <c r="G1" t="s">
        <v>422</v>
      </c>
      <c r="H1" t="s">
        <v>423</v>
      </c>
      <c r="I1" t="s">
        <v>424</v>
      </c>
      <c r="J1" t="s">
        <v>425</v>
      </c>
      <c r="K1" t="s">
        <v>426</v>
      </c>
    </row>
    <row r="2" spans="1:11" x14ac:dyDescent="0.25">
      <c r="B2">
        <v>1000</v>
      </c>
      <c r="C2" s="4">
        <v>100</v>
      </c>
      <c r="D2" s="5">
        <v>100</v>
      </c>
      <c r="E2" s="6">
        <v>46065</v>
      </c>
      <c r="F2" s="7">
        <v>46065</v>
      </c>
      <c r="G2" s="8">
        <v>10</v>
      </c>
      <c r="H2" s="9">
        <v>45</v>
      </c>
      <c r="I2" s="23"/>
      <c r="J2" s="24"/>
      <c r="K2" s="25"/>
    </row>
    <row r="6" spans="1:11" x14ac:dyDescent="0.25">
      <c r="A6" s="443" t="s">
        <v>427</v>
      </c>
      <c r="B6" s="444"/>
      <c r="C6" s="444"/>
      <c r="D6" s="444"/>
      <c r="E6" s="444"/>
      <c r="F6" s="444"/>
      <c r="G6" s="444"/>
      <c r="H6" s="445"/>
    </row>
    <row r="7" spans="1:11" x14ac:dyDescent="0.25">
      <c r="A7" s="446"/>
      <c r="B7" s="447"/>
      <c r="C7" s="447"/>
      <c r="D7" s="447"/>
      <c r="E7" s="447"/>
      <c r="F7" s="447"/>
      <c r="G7" s="447"/>
      <c r="H7" s="448"/>
    </row>
    <row r="8" spans="1:11" ht="15.75" thickBot="1" x14ac:dyDescent="0.3">
      <c r="A8" s="35" t="s">
        <v>428</v>
      </c>
      <c r="B8" s="35" t="s">
        <v>429</v>
      </c>
      <c r="C8" s="35" t="s">
        <v>10</v>
      </c>
      <c r="D8" s="35" t="s">
        <v>430</v>
      </c>
      <c r="E8" s="35" t="s">
        <v>431</v>
      </c>
      <c r="F8" s="36" t="s">
        <v>432</v>
      </c>
      <c r="G8" s="36" t="s">
        <v>433</v>
      </c>
      <c r="H8" s="36" t="s">
        <v>434</v>
      </c>
    </row>
    <row r="9" spans="1:11" x14ac:dyDescent="0.25">
      <c r="A9" s="37">
        <v>1</v>
      </c>
      <c r="B9" s="38" t="s">
        <v>80</v>
      </c>
      <c r="C9" s="38">
        <v>5782</v>
      </c>
      <c r="D9" s="38">
        <f>C9*18%</f>
        <v>1040.76</v>
      </c>
      <c r="E9" s="38">
        <v>4741.24</v>
      </c>
      <c r="F9" s="39">
        <f>E9*5%</f>
        <v>237.06200000000001</v>
      </c>
      <c r="G9" s="39">
        <f>E9*18%</f>
        <v>853.42319999999995</v>
      </c>
      <c r="H9" s="39">
        <f>E9*36%</f>
        <v>1706.8463999999999</v>
      </c>
    </row>
    <row r="10" spans="1:11" x14ac:dyDescent="0.25">
      <c r="A10" s="36">
        <v>2</v>
      </c>
      <c r="B10" s="39" t="s">
        <v>61</v>
      </c>
      <c r="C10" s="39">
        <v>5752</v>
      </c>
      <c r="D10" s="38">
        <f t="shared" ref="D10:D18" si="0">C10*18%</f>
        <v>1035.3599999999999</v>
      </c>
      <c r="E10" s="39">
        <v>4716.6400000000003</v>
      </c>
      <c r="F10" s="39">
        <f t="shared" ref="F10:F18" si="1">E10*5%</f>
        <v>235.83200000000002</v>
      </c>
      <c r="G10" s="39">
        <f t="shared" ref="G10:G18" si="2">E10*18%</f>
        <v>848.99520000000007</v>
      </c>
      <c r="H10" s="39">
        <f t="shared" ref="H10:H18" si="3">E10*36%</f>
        <v>1697.9904000000001</v>
      </c>
    </row>
    <row r="11" spans="1:11" x14ac:dyDescent="0.25">
      <c r="A11" s="36">
        <v>3</v>
      </c>
      <c r="B11" s="39" t="s">
        <v>179</v>
      </c>
      <c r="C11" s="39">
        <v>7676</v>
      </c>
      <c r="D11" s="38">
        <f t="shared" si="0"/>
        <v>1381.6799999999998</v>
      </c>
      <c r="E11" s="39">
        <v>6294.32</v>
      </c>
      <c r="F11" s="39">
        <f t="shared" si="1"/>
        <v>314.71600000000001</v>
      </c>
      <c r="G11" s="39">
        <f t="shared" si="2"/>
        <v>1132.9775999999999</v>
      </c>
      <c r="H11" s="39">
        <f t="shared" si="3"/>
        <v>2265.9551999999999</v>
      </c>
    </row>
    <row r="12" spans="1:11" x14ac:dyDescent="0.25">
      <c r="A12" s="36">
        <v>4</v>
      </c>
      <c r="B12" s="39" t="s">
        <v>353</v>
      </c>
      <c r="C12" s="39">
        <v>2985</v>
      </c>
      <c r="D12" s="38">
        <f t="shared" si="0"/>
        <v>537.29999999999995</v>
      </c>
      <c r="E12" s="39">
        <v>2447.6999999999998</v>
      </c>
      <c r="F12" s="39">
        <f t="shared" si="1"/>
        <v>122.38499999999999</v>
      </c>
      <c r="G12" s="39">
        <f t="shared" si="2"/>
        <v>440.58599999999996</v>
      </c>
      <c r="H12" s="39">
        <f t="shared" si="3"/>
        <v>881.17199999999991</v>
      </c>
    </row>
    <row r="13" spans="1:11" x14ac:dyDescent="0.25">
      <c r="A13" s="36">
        <v>5</v>
      </c>
      <c r="B13" s="39" t="s">
        <v>435</v>
      </c>
      <c r="C13" s="39">
        <v>7025</v>
      </c>
      <c r="D13" s="38">
        <f t="shared" si="0"/>
        <v>1264.5</v>
      </c>
      <c r="E13" s="39">
        <v>5760.5</v>
      </c>
      <c r="F13" s="39">
        <f t="shared" si="1"/>
        <v>288.02500000000003</v>
      </c>
      <c r="G13" s="39">
        <f t="shared" si="2"/>
        <v>1036.8899999999999</v>
      </c>
      <c r="H13" s="39">
        <f t="shared" si="3"/>
        <v>2073.7799999999997</v>
      </c>
    </row>
    <row r="14" spans="1:11" x14ac:dyDescent="0.25">
      <c r="A14" s="36">
        <v>6</v>
      </c>
      <c r="B14" s="39" t="s">
        <v>244</v>
      </c>
      <c r="C14" s="39">
        <v>9755</v>
      </c>
      <c r="D14" s="38">
        <f t="shared" si="0"/>
        <v>1755.8999999999999</v>
      </c>
      <c r="E14" s="39">
        <v>7999.1</v>
      </c>
      <c r="F14" s="39">
        <f t="shared" si="1"/>
        <v>399.95500000000004</v>
      </c>
      <c r="G14" s="39">
        <f t="shared" si="2"/>
        <v>1439.838</v>
      </c>
      <c r="H14" s="39">
        <f t="shared" si="3"/>
        <v>2879.6759999999999</v>
      </c>
    </row>
    <row r="15" spans="1:11" x14ac:dyDescent="0.25">
      <c r="A15" s="36">
        <v>7</v>
      </c>
      <c r="B15" s="39" t="s">
        <v>307</v>
      </c>
      <c r="C15" s="39">
        <v>2117</v>
      </c>
      <c r="D15" s="38">
        <f t="shared" si="0"/>
        <v>381.06</v>
      </c>
      <c r="E15" s="39">
        <v>1735.94</v>
      </c>
      <c r="F15" s="39">
        <f t="shared" si="1"/>
        <v>86.797000000000011</v>
      </c>
      <c r="G15" s="39">
        <f t="shared" si="2"/>
        <v>312.4692</v>
      </c>
      <c r="H15" s="39">
        <f t="shared" si="3"/>
        <v>624.9384</v>
      </c>
    </row>
    <row r="16" spans="1:11" x14ac:dyDescent="0.25">
      <c r="A16" s="36">
        <v>8</v>
      </c>
      <c r="B16" s="39" t="s">
        <v>154</v>
      </c>
      <c r="C16" s="39">
        <v>7950</v>
      </c>
      <c r="D16" s="38">
        <f t="shared" si="0"/>
        <v>1431</v>
      </c>
      <c r="E16" s="39">
        <v>6519</v>
      </c>
      <c r="F16" s="39">
        <f t="shared" si="1"/>
        <v>325.95000000000005</v>
      </c>
      <c r="G16" s="39">
        <f t="shared" si="2"/>
        <v>1173.4199999999998</v>
      </c>
      <c r="H16" s="39">
        <f t="shared" si="3"/>
        <v>2346.8399999999997</v>
      </c>
    </row>
    <row r="17" spans="1:8" x14ac:dyDescent="0.25">
      <c r="A17" s="36">
        <v>9</v>
      </c>
      <c r="B17" s="39" t="s">
        <v>436</v>
      </c>
      <c r="C17" s="39">
        <v>9532</v>
      </c>
      <c r="D17" s="38">
        <f t="shared" si="0"/>
        <v>1715.76</v>
      </c>
      <c r="E17" s="39">
        <v>7816.24</v>
      </c>
      <c r="F17" s="39">
        <f t="shared" si="1"/>
        <v>390.81200000000001</v>
      </c>
      <c r="G17" s="39">
        <f t="shared" si="2"/>
        <v>1406.9232</v>
      </c>
      <c r="H17" s="39">
        <f t="shared" si="3"/>
        <v>2813.8463999999999</v>
      </c>
    </row>
    <row r="18" spans="1:8" x14ac:dyDescent="0.25">
      <c r="A18" s="36">
        <v>10</v>
      </c>
      <c r="B18" s="39" t="s">
        <v>232</v>
      </c>
      <c r="C18" s="39">
        <v>4208</v>
      </c>
      <c r="D18" s="38">
        <f t="shared" si="0"/>
        <v>757.43999999999994</v>
      </c>
      <c r="E18" s="39">
        <v>3450.56</v>
      </c>
      <c r="F18" s="39">
        <f t="shared" si="1"/>
        <v>172.52800000000002</v>
      </c>
      <c r="G18" s="39">
        <f t="shared" si="2"/>
        <v>621.10079999999994</v>
      </c>
      <c r="H18" s="39">
        <f t="shared" si="3"/>
        <v>1242.2015999999999</v>
      </c>
    </row>
    <row r="19" spans="1:8" x14ac:dyDescent="0.25">
      <c r="A19" s="449" t="s">
        <v>43</v>
      </c>
      <c r="B19" s="450"/>
      <c r="C19" s="40">
        <v>4208</v>
      </c>
      <c r="D19" s="41">
        <f>SUM(D9:D18)</f>
        <v>11300.76</v>
      </c>
      <c r="E19" s="40">
        <f>SUM(E9:E18)</f>
        <v>51481.24</v>
      </c>
      <c r="F19" s="40">
        <f>SUM(F9:F18)</f>
        <v>2574.0619999999999</v>
      </c>
      <c r="G19" s="40">
        <f>SUM(G9:G18)</f>
        <v>9266.6231999999982</v>
      </c>
      <c r="H19" s="40">
        <f>SUM(H9:H18)</f>
        <v>18533.246399999996</v>
      </c>
    </row>
  </sheetData>
  <mergeCells count="2">
    <mergeCell ref="A6:H7"/>
    <mergeCell ref="A19:B1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01D4D-3DB0-4A25-B8E1-3B0C3984E0D3}">
  <sheetPr codeName="Sheet6"/>
  <dimension ref="A1:O48"/>
  <sheetViews>
    <sheetView workbookViewId="0">
      <selection activeCell="F12" sqref="F12"/>
    </sheetView>
  </sheetViews>
  <sheetFormatPr defaultRowHeight="15" x14ac:dyDescent="0.25"/>
  <cols>
    <col min="1" max="1" width="5.42578125" bestFit="1" customWidth="1"/>
    <col min="2" max="2" width="8.140625" bestFit="1" customWidth="1"/>
    <col min="3" max="3" width="10.42578125" bestFit="1" customWidth="1"/>
    <col min="4" max="4" width="64.42578125" customWidth="1"/>
    <col min="5" max="5" width="5.7109375" bestFit="1" customWidth="1"/>
    <col min="6" max="6" width="13.42578125" bestFit="1" customWidth="1"/>
    <col min="7" max="7" width="12.42578125" bestFit="1" customWidth="1"/>
    <col min="8" max="8" width="15" bestFit="1" customWidth="1"/>
    <col min="9" max="9" width="17.5703125" bestFit="1" customWidth="1"/>
    <col min="10" max="10" width="12.85546875" bestFit="1" customWidth="1"/>
    <col min="11" max="14" width="12.28515625" bestFit="1" customWidth="1"/>
    <col min="15" max="15" width="13.42578125" bestFit="1" customWidth="1"/>
  </cols>
  <sheetData>
    <row r="1" spans="1:13" x14ac:dyDescent="0.25">
      <c r="A1" s="451" t="s">
        <v>437</v>
      </c>
      <c r="B1" s="451"/>
      <c r="C1" s="451"/>
      <c r="D1" s="451"/>
      <c r="E1" s="451"/>
      <c r="F1" s="451"/>
      <c r="G1" s="451"/>
      <c r="H1" s="452"/>
      <c r="I1" s="15" t="s">
        <v>7</v>
      </c>
      <c r="J1" s="15" t="s">
        <v>399</v>
      </c>
      <c r="K1" s="16" t="s">
        <v>438</v>
      </c>
      <c r="L1" s="16" t="s">
        <v>401</v>
      </c>
    </row>
    <row r="2" spans="1:13" x14ac:dyDescent="0.25">
      <c r="A2" s="1" t="s">
        <v>439</v>
      </c>
      <c r="B2" s="1" t="s">
        <v>440</v>
      </c>
      <c r="C2" s="1" t="s">
        <v>441</v>
      </c>
      <c r="I2" s="1" t="s">
        <v>402</v>
      </c>
      <c r="J2" s="17">
        <v>150000</v>
      </c>
      <c r="K2" s="17">
        <v>1200000</v>
      </c>
      <c r="L2" s="17">
        <v>2500000</v>
      </c>
    </row>
    <row r="3" spans="1:13" x14ac:dyDescent="0.25">
      <c r="A3" s="1">
        <v>1</v>
      </c>
      <c r="B3" s="1" t="s">
        <v>66</v>
      </c>
      <c r="C3" s="14">
        <v>46197</v>
      </c>
      <c r="I3" s="1" t="s">
        <v>442</v>
      </c>
      <c r="J3" s="10">
        <v>1.2</v>
      </c>
      <c r="K3" s="10">
        <v>0.15</v>
      </c>
      <c r="L3" s="10">
        <v>0.2</v>
      </c>
    </row>
    <row r="4" spans="1:13" x14ac:dyDescent="0.25">
      <c r="A4" s="1">
        <v>2</v>
      </c>
      <c r="B4" s="1" t="s">
        <v>73</v>
      </c>
      <c r="C4" s="14">
        <v>46227</v>
      </c>
      <c r="I4" s="1" t="s">
        <v>443</v>
      </c>
      <c r="J4" s="1">
        <v>5</v>
      </c>
      <c r="K4" s="1">
        <v>10</v>
      </c>
      <c r="L4" s="1">
        <v>15</v>
      </c>
    </row>
    <row r="5" spans="1:13" x14ac:dyDescent="0.25">
      <c r="A5" s="1">
        <v>3</v>
      </c>
      <c r="B5" s="1" t="s">
        <v>79</v>
      </c>
      <c r="C5" s="14">
        <v>46258</v>
      </c>
    </row>
    <row r="6" spans="1:13" x14ac:dyDescent="0.25">
      <c r="A6" s="1">
        <v>4</v>
      </c>
      <c r="B6" s="1" t="s">
        <v>85</v>
      </c>
      <c r="C6" s="14">
        <v>46289</v>
      </c>
      <c r="I6" s="34" t="s">
        <v>408</v>
      </c>
      <c r="J6" s="34" t="s">
        <v>409</v>
      </c>
      <c r="K6" s="34">
        <f>PMT(J3/12,60,-150000)</f>
        <v>15049.426383825612</v>
      </c>
      <c r="L6" s="34">
        <f>PMT(K3/12,120,-1200000)</f>
        <v>19360.194848917869</v>
      </c>
      <c r="M6" s="34">
        <f>PMT(L3/12,180,-2500000)</f>
        <v>43907.41257676627</v>
      </c>
    </row>
    <row r="7" spans="1:13" x14ac:dyDescent="0.25">
      <c r="A7" s="1">
        <v>5</v>
      </c>
      <c r="B7" s="1" t="s">
        <v>92</v>
      </c>
      <c r="C7" s="14">
        <v>46319</v>
      </c>
      <c r="I7" s="34" t="s">
        <v>412</v>
      </c>
      <c r="J7" s="34" t="s">
        <v>411</v>
      </c>
      <c r="K7" s="34">
        <f>IPMT(J3/12,1,60,-150000)</f>
        <v>14999.999999999998</v>
      </c>
      <c r="L7" s="34">
        <f>IPMT(K3/12,1,120,-1200000)</f>
        <v>14999.999999999998</v>
      </c>
      <c r="M7" s="34">
        <f>IPMT(L3/12,1,180,-2500000)</f>
        <v>41666.666666666664</v>
      </c>
    </row>
    <row r="8" spans="1:13" x14ac:dyDescent="0.25">
      <c r="A8" s="1">
        <v>6</v>
      </c>
      <c r="B8" s="1" t="s">
        <v>98</v>
      </c>
      <c r="C8" s="14">
        <v>46350</v>
      </c>
      <c r="I8" s="34" t="s">
        <v>415</v>
      </c>
      <c r="J8" s="34" t="s">
        <v>414</v>
      </c>
      <c r="K8" s="34">
        <f>PPMT(J3/12,1,60,-150000)</f>
        <v>49.426383825611481</v>
      </c>
      <c r="L8" s="34">
        <f>PPMT(K3/12,1,120,-1200000)</f>
        <v>4360.1948489178685</v>
      </c>
      <c r="M8" s="34">
        <f>PPMT(L3/12,1,180,-2500000)</f>
        <v>2240.7459100996052</v>
      </c>
    </row>
    <row r="9" spans="1:13" x14ac:dyDescent="0.25">
      <c r="A9" s="1">
        <v>7</v>
      </c>
      <c r="B9" s="1" t="s">
        <v>104</v>
      </c>
      <c r="C9" s="14">
        <v>46380</v>
      </c>
      <c r="I9" s="34"/>
      <c r="J9" s="34" t="s">
        <v>444</v>
      </c>
      <c r="K9" s="34">
        <f>SUM(K7:K8)</f>
        <v>15049.42638382561</v>
      </c>
      <c r="L9" s="34">
        <f>SUM(L7:L8)</f>
        <v>19360.194848917869</v>
      </c>
      <c r="M9" s="34">
        <f>SUM(M7:M8)</f>
        <v>43907.41257676627</v>
      </c>
    </row>
    <row r="10" spans="1:13" x14ac:dyDescent="0.25">
      <c r="A10" s="1">
        <v>8</v>
      </c>
      <c r="B10" s="1" t="s">
        <v>111</v>
      </c>
      <c r="C10" s="14">
        <v>46411</v>
      </c>
      <c r="I10" s="34"/>
      <c r="J10" s="34" t="s">
        <v>431</v>
      </c>
      <c r="K10" s="34">
        <f>K9*60</f>
        <v>902965.58302953665</v>
      </c>
      <c r="L10" s="34">
        <f>L9*120</f>
        <v>2323223.381870144</v>
      </c>
      <c r="M10" s="34">
        <f>M9*180</f>
        <v>7903334.2638179287</v>
      </c>
    </row>
    <row r="11" spans="1:13" x14ac:dyDescent="0.25">
      <c r="A11" s="1">
        <v>9</v>
      </c>
      <c r="B11" s="1" t="s">
        <v>117</v>
      </c>
      <c r="C11" s="14">
        <v>46442</v>
      </c>
      <c r="I11" s="34"/>
      <c r="J11" s="34" t="s">
        <v>445</v>
      </c>
      <c r="K11" s="34">
        <f>K10-J2</f>
        <v>752965.58302953665</v>
      </c>
      <c r="L11" s="34">
        <f>L10-K2</f>
        <v>1123223.381870144</v>
      </c>
      <c r="M11" s="34">
        <f>M10-L2</f>
        <v>5403334.2638179287</v>
      </c>
    </row>
    <row r="12" spans="1:13" x14ac:dyDescent="0.25">
      <c r="A12" s="1">
        <v>10</v>
      </c>
      <c r="B12" s="1" t="s">
        <v>124</v>
      </c>
      <c r="C12" s="14">
        <v>46470</v>
      </c>
    </row>
    <row r="18" spans="4:15" x14ac:dyDescent="0.25">
      <c r="D18" s="43" t="s">
        <v>446</v>
      </c>
    </row>
    <row r="20" spans="4:15" x14ac:dyDescent="0.25">
      <c r="D20" t="s">
        <v>447</v>
      </c>
    </row>
    <row r="21" spans="4:15" x14ac:dyDescent="0.25">
      <c r="D21" t="s">
        <v>448</v>
      </c>
    </row>
    <row r="22" spans="4:15" x14ac:dyDescent="0.25">
      <c r="D22" s="42" t="s">
        <v>449</v>
      </c>
    </row>
    <row r="23" spans="4:15" x14ac:dyDescent="0.25">
      <c r="D23" t="s">
        <v>450</v>
      </c>
    </row>
    <row r="25" spans="4:15" x14ac:dyDescent="0.25">
      <c r="D25" s="43" t="s">
        <v>451</v>
      </c>
    </row>
    <row r="26" spans="4:15" ht="30" x14ac:dyDescent="0.25">
      <c r="E26" s="44" t="s">
        <v>452</v>
      </c>
      <c r="F26" s="45" t="s">
        <v>453</v>
      </c>
      <c r="G26" s="46" t="s">
        <v>454</v>
      </c>
      <c r="H26" s="45" t="s">
        <v>455</v>
      </c>
      <c r="I26" s="47" t="s">
        <v>456</v>
      </c>
      <c r="J26" s="45" t="s">
        <v>457</v>
      </c>
      <c r="K26" s="45" t="s">
        <v>458</v>
      </c>
      <c r="L26" s="45" t="s">
        <v>459</v>
      </c>
      <c r="M26" s="45" t="s">
        <v>415</v>
      </c>
      <c r="N26" s="45" t="s">
        <v>460</v>
      </c>
      <c r="O26" s="49"/>
    </row>
    <row r="27" spans="4:15" x14ac:dyDescent="0.25">
      <c r="E27" s="20">
        <v>1</v>
      </c>
      <c r="F27" s="14" t="s">
        <v>461</v>
      </c>
      <c r="G27" s="1">
        <v>100000</v>
      </c>
      <c r="H27" s="20" t="s">
        <v>462</v>
      </c>
      <c r="I27" s="48">
        <f>IPMT(J3/12,1,12,-100000)</f>
        <v>10000</v>
      </c>
      <c r="J27" s="1"/>
      <c r="K27" s="1"/>
      <c r="L27" s="48">
        <f>IPMT(J3,1,12,-G27)</f>
        <v>120000</v>
      </c>
      <c r="M27" s="48">
        <f>SUM(G28:G45)</f>
        <v>29942.286317680428</v>
      </c>
      <c r="N27" s="48">
        <f>M27+L27</f>
        <v>149942.28631768044</v>
      </c>
      <c r="O27" s="11"/>
    </row>
    <row r="28" spans="4:15" x14ac:dyDescent="0.25">
      <c r="E28" s="20">
        <v>2</v>
      </c>
      <c r="F28" s="14">
        <v>46112</v>
      </c>
      <c r="G28" s="48">
        <f>PPMT(J3/12,1,12,-100000)</f>
        <v>4676.3315100287318</v>
      </c>
      <c r="H28" s="20" t="s">
        <v>462</v>
      </c>
      <c r="I28" s="48">
        <f>PMT(J3/12,12,-100000)</f>
        <v>14676.331510028731</v>
      </c>
      <c r="J28" s="48">
        <f>G27-I28</f>
        <v>85323.668489971271</v>
      </c>
      <c r="K28" s="1"/>
      <c r="L28" s="1"/>
      <c r="M28" s="1"/>
      <c r="N28" s="1"/>
    </row>
    <row r="29" spans="4:15" x14ac:dyDescent="0.25">
      <c r="E29" s="20">
        <v>3</v>
      </c>
      <c r="F29" s="14" t="s">
        <v>463</v>
      </c>
      <c r="G29" s="48">
        <f>PPMT(J3/12,1,12,-94717)</f>
        <v>4429.2809163539132</v>
      </c>
      <c r="H29" s="20" t="s">
        <v>462</v>
      </c>
      <c r="I29" s="48">
        <f>PMT(J3/12,12,-97621)</f>
        <v>14327.181583405149</v>
      </c>
      <c r="J29" s="48">
        <f t="shared" ref="J29:J38" si="0">J28-I29</f>
        <v>70996.486906566119</v>
      </c>
      <c r="K29" s="1"/>
      <c r="L29" s="1"/>
      <c r="M29" s="1"/>
      <c r="N29" s="1"/>
    </row>
    <row r="30" spans="4:15" x14ac:dyDescent="0.25">
      <c r="E30" s="20">
        <v>4</v>
      </c>
      <c r="F30" s="14">
        <v>46173</v>
      </c>
      <c r="G30" s="48">
        <f>PPMT(J3/12,1,12,-J29)</f>
        <v>3320.0310882251742</v>
      </c>
      <c r="H30" s="20" t="s">
        <v>462</v>
      </c>
      <c r="I30" s="48">
        <f>PMT(J3/12,12,-J29)</f>
        <v>10419.679778881786</v>
      </c>
      <c r="J30" s="48">
        <f t="shared" si="0"/>
        <v>60576.807127684333</v>
      </c>
      <c r="K30" s="1"/>
      <c r="L30" s="1"/>
      <c r="M30" s="1"/>
      <c r="N30" s="1"/>
    </row>
    <row r="31" spans="4:15" x14ac:dyDescent="0.25">
      <c r="E31" s="20">
        <v>5</v>
      </c>
      <c r="F31" s="14" t="s">
        <v>464</v>
      </c>
      <c r="G31" s="48">
        <f>PPMT(J3/12,1,12,-J30)</f>
        <v>2832.7723194812334</v>
      </c>
      <c r="H31" s="20" t="s">
        <v>462</v>
      </c>
      <c r="I31" s="48">
        <f>PMT(J3/12,12,-J30)</f>
        <v>8890.4530322496666</v>
      </c>
      <c r="J31" s="48">
        <f t="shared" si="0"/>
        <v>51686.354095434668</v>
      </c>
      <c r="K31" s="1"/>
      <c r="L31" s="1"/>
      <c r="M31" s="1"/>
      <c r="N31" s="1"/>
    </row>
    <row r="32" spans="4:15" x14ac:dyDescent="0.25">
      <c r="E32" s="20">
        <v>6</v>
      </c>
      <c r="F32" s="14">
        <v>46234</v>
      </c>
      <c r="G32" s="48">
        <f>PPMT(J3/12,1,12,-J31)</f>
        <v>2417.0252629498373</v>
      </c>
      <c r="H32" s="20" t="s">
        <v>462</v>
      </c>
      <c r="I32" s="48">
        <f>PMT(J3/12,12,-J31)</f>
        <v>7585.6606724933044</v>
      </c>
      <c r="J32" s="48">
        <f t="shared" si="0"/>
        <v>44100.69342294136</v>
      </c>
      <c r="K32" s="1"/>
      <c r="L32" s="1"/>
      <c r="M32" s="1"/>
      <c r="N32" s="1"/>
    </row>
    <row r="33" spans="5:14" x14ac:dyDescent="0.25">
      <c r="E33" s="20">
        <v>7</v>
      </c>
      <c r="F33" s="14">
        <v>46265</v>
      </c>
      <c r="G33" s="48">
        <f>PPMT(J3/12,1,12,-J32)</f>
        <v>2062.2946226781751</v>
      </c>
      <c r="H33" s="20" t="s">
        <v>462</v>
      </c>
      <c r="I33" s="48">
        <f>PMT(J3/12,12,-J32)</f>
        <v>6472.3639649723109</v>
      </c>
      <c r="J33" s="48">
        <f t="shared" si="0"/>
        <v>37628.329457969048</v>
      </c>
      <c r="K33" s="1"/>
      <c r="L33" s="1"/>
      <c r="M33" s="1"/>
      <c r="N33" s="1"/>
    </row>
    <row r="34" spans="5:14" x14ac:dyDescent="0.25">
      <c r="E34" s="20">
        <v>8</v>
      </c>
      <c r="F34" s="14" t="s">
        <v>465</v>
      </c>
      <c r="G34" s="48">
        <f>PPMT(J3/12,1,12,-J33)</f>
        <v>1759.6254271404302</v>
      </c>
      <c r="H34" s="20" t="s">
        <v>462</v>
      </c>
      <c r="I34" s="48">
        <f>PMT(J3/12,12,-J33)</f>
        <v>5522.4583729373353</v>
      </c>
      <c r="J34" s="48">
        <f t="shared" si="0"/>
        <v>32105.871085031715</v>
      </c>
      <c r="K34" s="1"/>
      <c r="L34" s="1"/>
      <c r="M34" s="1"/>
      <c r="N34" s="1"/>
    </row>
    <row r="35" spans="5:14" x14ac:dyDescent="0.25">
      <c r="E35" s="20">
        <v>9</v>
      </c>
      <c r="F35" s="14">
        <v>46326</v>
      </c>
      <c r="G35" s="48">
        <f>PPMT(J3/12,1,12,-J34)</f>
        <v>1501.3769661185415</v>
      </c>
      <c r="H35" s="20" t="s">
        <v>462</v>
      </c>
      <c r="I35" s="48">
        <f>PMT(J3/12,12,-J34)</f>
        <v>4711.9640746217128</v>
      </c>
      <c r="J35" s="48">
        <f t="shared" si="0"/>
        <v>27393.907010410003</v>
      </c>
      <c r="K35" s="1"/>
      <c r="L35" s="1"/>
      <c r="M35" s="1"/>
      <c r="N35" s="1"/>
    </row>
    <row r="36" spans="5:14" x14ac:dyDescent="0.25">
      <c r="E36" s="20">
        <v>10</v>
      </c>
      <c r="F36" s="14" t="s">
        <v>466</v>
      </c>
      <c r="G36" s="48">
        <f>PPMT(J3/12,1,12,-J35)</f>
        <v>1281.0299053557728</v>
      </c>
      <c r="H36" s="20" t="s">
        <v>462</v>
      </c>
      <c r="I36" s="48">
        <f>PMT(J3/12,12,-J35)</f>
        <v>4020.4206063967731</v>
      </c>
      <c r="J36" s="48">
        <f t="shared" si="0"/>
        <v>23373.486404013231</v>
      </c>
      <c r="K36" s="1"/>
      <c r="L36" s="1"/>
      <c r="M36" s="1"/>
      <c r="N36" s="1"/>
    </row>
    <row r="37" spans="5:14" x14ac:dyDescent="0.25">
      <c r="E37" s="20">
        <v>11</v>
      </c>
      <c r="F37" s="14">
        <v>46387</v>
      </c>
      <c r="G37" s="48">
        <f>PPMT(J3/12,1,12,-J36)</f>
        <v>1093.0217097031523</v>
      </c>
      <c r="H37" s="20" t="s">
        <v>462</v>
      </c>
      <c r="I37" s="48">
        <f>PMT(J3/12,12,-J36)</f>
        <v>3430.3703501044756</v>
      </c>
      <c r="J37" s="48">
        <f t="shared" si="0"/>
        <v>19943.116053908754</v>
      </c>
      <c r="K37" s="1"/>
      <c r="L37" s="1"/>
      <c r="M37" s="1"/>
      <c r="N37" s="1"/>
    </row>
    <row r="38" spans="5:14" x14ac:dyDescent="0.25">
      <c r="E38" s="20">
        <v>12</v>
      </c>
      <c r="F38" s="14">
        <v>46418</v>
      </c>
      <c r="G38" s="48">
        <f>PPMT(J3/12,1,12,-J37)</f>
        <v>932.60622011053363</v>
      </c>
      <c r="H38" s="20" t="s">
        <v>462</v>
      </c>
      <c r="I38" s="48">
        <f>PMT(J3/12,12,-J37)</f>
        <v>2926.917825501409</v>
      </c>
      <c r="J38" s="48">
        <f t="shared" si="0"/>
        <v>17016.198228407346</v>
      </c>
      <c r="K38" s="1"/>
      <c r="L38" s="1"/>
      <c r="M38" s="1"/>
      <c r="N38" s="1"/>
    </row>
    <row r="39" spans="5:14" x14ac:dyDescent="0.25">
      <c r="E39" s="20">
        <v>13</v>
      </c>
      <c r="F39" s="14" t="s">
        <v>467</v>
      </c>
      <c r="G39" s="48">
        <f>PPMT(J3/12,1,12,-J38)</f>
        <v>795.73383956396344</v>
      </c>
      <c r="H39" s="20" t="s">
        <v>462</v>
      </c>
      <c r="I39" s="48">
        <f>PMT(J3/12,12,-J38)</f>
        <v>2497.3536624046978</v>
      </c>
      <c r="J39" s="48">
        <f t="shared" ref="J39:J45" si="1">J38-I39</f>
        <v>14518.844566002648</v>
      </c>
      <c r="K39" s="1"/>
      <c r="L39" s="1"/>
      <c r="M39" s="1"/>
      <c r="N39" s="1"/>
    </row>
    <row r="40" spans="5:14" x14ac:dyDescent="0.25">
      <c r="E40" s="20">
        <v>14</v>
      </c>
      <c r="F40" s="14">
        <v>46477</v>
      </c>
      <c r="G40" s="48">
        <f>PPMT(J3/12,1,12,-J39)</f>
        <v>678.94930333207617</v>
      </c>
      <c r="H40" s="20" t="s">
        <v>462</v>
      </c>
      <c r="I40" s="48">
        <f>PMT(J3/12,12,-J39)</f>
        <v>2130.8337599323409</v>
      </c>
      <c r="J40" s="48">
        <f t="shared" si="1"/>
        <v>12388.010806070308</v>
      </c>
      <c r="K40" s="1"/>
      <c r="L40" s="1"/>
      <c r="M40" s="1"/>
      <c r="N40" s="1"/>
    </row>
    <row r="41" spans="5:14" x14ac:dyDescent="0.25">
      <c r="E41" s="20">
        <v>15</v>
      </c>
      <c r="F41" s="14" t="s">
        <v>468</v>
      </c>
      <c r="G41" s="48">
        <f>PPMT(J3/12,1,12,-J40)</f>
        <v>579.30445279003015</v>
      </c>
      <c r="H41" s="20" t="s">
        <v>462</v>
      </c>
      <c r="I41" s="48">
        <f>PMT(J3/12,12,-J40)</f>
        <v>1818.1055333970608</v>
      </c>
      <c r="J41" s="48">
        <f t="shared" si="1"/>
        <v>10569.905272673248</v>
      </c>
      <c r="K41" s="1"/>
      <c r="L41" s="1"/>
      <c r="M41" s="1"/>
      <c r="N41" s="1"/>
    </row>
    <row r="42" spans="5:14" x14ac:dyDescent="0.25">
      <c r="E42" s="20">
        <v>16</v>
      </c>
      <c r="F42" s="14">
        <v>46538</v>
      </c>
      <c r="G42" s="48">
        <f>PPMT(J3/12,1,12,-J41)</f>
        <v>494.28381084620747</v>
      </c>
      <c r="H42" s="20" t="s">
        <v>462</v>
      </c>
      <c r="I42" s="48">
        <f>PMT(J3/12,12,-J41)</f>
        <v>1551.2743381135322</v>
      </c>
      <c r="J42" s="48">
        <f t="shared" si="1"/>
        <v>9018.6309345597165</v>
      </c>
      <c r="K42" s="1"/>
      <c r="L42" s="1"/>
      <c r="M42" s="1"/>
      <c r="N42" s="1"/>
    </row>
    <row r="43" spans="5:14" x14ac:dyDescent="0.25">
      <c r="E43" s="20">
        <v>17</v>
      </c>
      <c r="F43" s="14" t="s">
        <v>469</v>
      </c>
      <c r="G43" s="48">
        <f>PPMT(J3/12,1,12,-J42)</f>
        <v>421.74108016601474</v>
      </c>
      <c r="H43" s="20" t="s">
        <v>462</v>
      </c>
      <c r="I43" s="48">
        <f>PMT(J3/12,12,-J42)</f>
        <v>1323.6041736219863</v>
      </c>
      <c r="J43" s="48">
        <f t="shared" si="1"/>
        <v>7695.0267609377297</v>
      </c>
      <c r="K43" s="1"/>
      <c r="L43" s="1"/>
      <c r="M43" s="1"/>
      <c r="N43" s="1"/>
    </row>
    <row r="44" spans="5:14" x14ac:dyDescent="0.25">
      <c r="E44" s="20">
        <v>18</v>
      </c>
      <c r="F44" s="14">
        <v>46599</v>
      </c>
      <c r="G44" s="48">
        <f>PPMT(J3/12,1,12,-J43)</f>
        <v>359.84496112687435</v>
      </c>
      <c r="H44" s="20" t="s">
        <v>462</v>
      </c>
      <c r="I44" s="48">
        <f>PMT(J3/12,12,-J43)</f>
        <v>1129.3476372206474</v>
      </c>
      <c r="J44" s="48">
        <f t="shared" si="1"/>
        <v>6565.6791237170819</v>
      </c>
      <c r="K44" s="1"/>
      <c r="L44" s="1"/>
      <c r="M44" s="1"/>
      <c r="N44" s="1"/>
    </row>
    <row r="45" spans="5:14" x14ac:dyDescent="0.25">
      <c r="E45" s="20">
        <v>19</v>
      </c>
      <c r="F45" s="14">
        <v>46630</v>
      </c>
      <c r="G45" s="48">
        <f>PPMT(J3/12,1,12,-J44)</f>
        <v>307.03292170976027</v>
      </c>
      <c r="H45" s="20" t="s">
        <v>462</v>
      </c>
      <c r="I45" s="48">
        <f>PMT(J3/12,12,-J44)</f>
        <v>963.60083408146852</v>
      </c>
      <c r="J45" s="48">
        <f t="shared" si="1"/>
        <v>5602.0782896356131</v>
      </c>
      <c r="K45" s="1"/>
      <c r="L45" s="1"/>
      <c r="M45" s="1"/>
      <c r="N45" s="1"/>
    </row>
    <row r="46" spans="5:14" x14ac:dyDescent="0.25">
      <c r="E46" s="20">
        <v>20</v>
      </c>
      <c r="F46" s="14" t="s">
        <v>470</v>
      </c>
      <c r="G46" s="1"/>
      <c r="H46" s="20" t="s">
        <v>462</v>
      </c>
      <c r="I46" s="1"/>
      <c r="J46" s="1"/>
      <c r="K46" s="1"/>
      <c r="L46" s="1"/>
      <c r="M46" s="1"/>
      <c r="N46" s="1"/>
    </row>
    <row r="47" spans="5:14" x14ac:dyDescent="0.25">
      <c r="E47" s="20">
        <v>21</v>
      </c>
      <c r="F47" s="1"/>
      <c r="G47" s="1"/>
      <c r="H47" s="1"/>
      <c r="I47" s="1"/>
      <c r="J47" s="1"/>
      <c r="K47" s="1"/>
      <c r="L47" s="1"/>
      <c r="M47" s="1"/>
      <c r="N47" s="1"/>
    </row>
    <row r="48" spans="5:14" x14ac:dyDescent="0.25">
      <c r="E48" s="20">
        <v>22</v>
      </c>
      <c r="F48" s="1"/>
      <c r="G48" s="1"/>
      <c r="H48" s="1"/>
      <c r="I48" s="1"/>
      <c r="J48" s="1"/>
      <c r="K48" s="1"/>
      <c r="L48" s="1"/>
      <c r="M48" s="1"/>
      <c r="N48" s="1"/>
    </row>
  </sheetData>
  <mergeCells count="1">
    <mergeCell ref="A1: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53FF8-FFBE-4777-97A8-E046C8860ED0}">
  <sheetPr codeName="Sheet7"/>
  <dimension ref="A1:R28"/>
  <sheetViews>
    <sheetView workbookViewId="0">
      <selection activeCell="X22" sqref="X22"/>
    </sheetView>
  </sheetViews>
  <sheetFormatPr defaultRowHeight="15" x14ac:dyDescent="0.25"/>
  <cols>
    <col min="1" max="1" width="23.85546875" customWidth="1"/>
    <col min="2" max="2" width="28.5703125" customWidth="1"/>
    <col min="3" max="3" width="53.28515625" customWidth="1"/>
    <col min="4" max="4" width="27.5703125" customWidth="1"/>
    <col min="5" max="6" width="19" customWidth="1"/>
    <col min="7" max="7" width="18.5703125" bestFit="1" customWidth="1"/>
    <col min="8" max="9" width="23.85546875" customWidth="1"/>
    <col min="10" max="10" width="18" bestFit="1" customWidth="1"/>
    <col min="11" max="11" width="17.85546875" bestFit="1" customWidth="1"/>
    <col min="12" max="12" width="17.28515625" bestFit="1" customWidth="1"/>
    <col min="13" max="13" width="22.85546875" bestFit="1" customWidth="1"/>
    <col min="14" max="14" width="15.85546875" bestFit="1" customWidth="1"/>
    <col min="15" max="15" width="14.85546875" bestFit="1" customWidth="1"/>
    <col min="17" max="18" width="21.85546875" customWidth="1"/>
  </cols>
  <sheetData>
    <row r="1" spans="1:18" x14ac:dyDescent="0.25">
      <c r="A1" s="453" t="s">
        <v>471</v>
      </c>
      <c r="B1" s="454"/>
      <c r="C1" s="454"/>
      <c r="D1" s="454"/>
      <c r="E1" s="454"/>
      <c r="F1" s="454"/>
      <c r="G1" s="454"/>
      <c r="H1" s="454"/>
      <c r="I1" s="454"/>
      <c r="J1" s="454"/>
      <c r="K1" s="454"/>
      <c r="L1" s="454"/>
      <c r="M1" s="454"/>
      <c r="N1" s="454"/>
      <c r="O1" s="455"/>
    </row>
    <row r="2" spans="1:18" ht="15.75" thickBot="1" x14ac:dyDescent="0.3">
      <c r="A2" s="456"/>
      <c r="B2" s="457"/>
      <c r="C2" s="457"/>
      <c r="D2" s="457"/>
      <c r="E2" s="457"/>
      <c r="F2" s="457"/>
      <c r="G2" s="457"/>
      <c r="H2" s="457"/>
      <c r="I2" s="457"/>
      <c r="J2" s="457"/>
      <c r="K2" s="457"/>
      <c r="L2" s="457"/>
      <c r="M2" s="457"/>
      <c r="N2" s="457"/>
      <c r="O2" s="458"/>
      <c r="Q2" s="194" t="s">
        <v>1094</v>
      </c>
      <c r="R2" s="194"/>
    </row>
    <row r="3" spans="1:18" ht="15.75" thickTop="1" x14ac:dyDescent="0.25">
      <c r="A3" s="26" t="s">
        <v>472</v>
      </c>
      <c r="B3" s="26" t="s">
        <v>473</v>
      </c>
      <c r="C3" s="26" t="s">
        <v>50</v>
      </c>
      <c r="D3" s="26" t="s">
        <v>8</v>
      </c>
      <c r="E3" s="26" t="s">
        <v>10</v>
      </c>
      <c r="F3" s="26" t="s">
        <v>474</v>
      </c>
      <c r="G3" s="26" t="s">
        <v>475</v>
      </c>
      <c r="H3" s="26" t="s">
        <v>476</v>
      </c>
      <c r="I3" s="26" t="s">
        <v>477</v>
      </c>
      <c r="J3" s="26" t="s">
        <v>478</v>
      </c>
      <c r="K3" s="26" t="s">
        <v>479</v>
      </c>
      <c r="L3" s="26" t="s">
        <v>480</v>
      </c>
      <c r="M3" s="26" t="s">
        <v>481</v>
      </c>
      <c r="N3" s="26" t="s">
        <v>482</v>
      </c>
      <c r="O3" s="26" t="s">
        <v>483</v>
      </c>
      <c r="Q3" s="210" t="s">
        <v>1095</v>
      </c>
      <c r="R3" s="210" t="s">
        <v>1096</v>
      </c>
    </row>
    <row r="4" spans="1:18" x14ac:dyDescent="0.25">
      <c r="A4" s="20">
        <v>1</v>
      </c>
      <c r="B4" s="20" t="s">
        <v>484</v>
      </c>
      <c r="C4" s="20" t="s">
        <v>58</v>
      </c>
      <c r="D4" s="20">
        <v>1470</v>
      </c>
      <c r="E4" s="17">
        <v>78595</v>
      </c>
      <c r="F4" s="17" cm="1">
        <f t="array" ref="F4">SUMPRODUCT(D4:D13,E4:E13,--(C4:C13="delhi"))</f>
        <v>115534650</v>
      </c>
      <c r="G4" s="18"/>
      <c r="H4" s="18"/>
      <c r="I4" s="18"/>
      <c r="J4" s="18"/>
      <c r="K4" s="18"/>
      <c r="L4" s="18"/>
      <c r="M4" s="18"/>
      <c r="N4" s="18"/>
      <c r="O4" s="18"/>
      <c r="Q4" s="190" t="str">
        <f>$F$3</f>
        <v>delhi sale</v>
      </c>
      <c r="R4" s="211">
        <f>$F$4</f>
        <v>115534650</v>
      </c>
    </row>
    <row r="5" spans="1:18" x14ac:dyDescent="0.25">
      <c r="A5" s="20">
        <v>2</v>
      </c>
      <c r="B5" s="20" t="s">
        <v>485</v>
      </c>
      <c r="C5" s="20" t="s">
        <v>475</v>
      </c>
      <c r="D5" s="20">
        <v>4040</v>
      </c>
      <c r="E5" s="17">
        <v>54061</v>
      </c>
      <c r="F5" s="17"/>
      <c r="G5" s="19" cm="1">
        <f t="array" ref="G5">SUMPRODUCT(D4:D13,E4:E13,--(C4:C13="rajesthan"))</f>
        <v>218406440</v>
      </c>
      <c r="H5" s="19"/>
      <c r="I5" s="19"/>
      <c r="J5" s="19"/>
      <c r="K5" s="19"/>
      <c r="L5" s="19"/>
      <c r="M5" s="19"/>
      <c r="N5" s="19"/>
      <c r="O5" s="19"/>
      <c r="Q5" s="191" t="str">
        <f>$G$3</f>
        <v>rajesthan</v>
      </c>
      <c r="R5" s="212">
        <f>$G$5</f>
        <v>218406440</v>
      </c>
    </row>
    <row r="6" spans="1:18" x14ac:dyDescent="0.25">
      <c r="A6" s="20">
        <v>3</v>
      </c>
      <c r="B6" s="20" t="s">
        <v>486</v>
      </c>
      <c r="C6" s="20" t="s">
        <v>476</v>
      </c>
      <c r="D6" s="20">
        <v>9221</v>
      </c>
      <c r="E6" s="17">
        <v>81503</v>
      </c>
      <c r="F6" s="17"/>
      <c r="G6" s="19"/>
      <c r="H6" s="19" cm="1">
        <f t="array" ref="H6">SUMPRODUCT(D4:D13,E4:E13,--(C4:C13="haryana"))</f>
        <v>751539163</v>
      </c>
      <c r="I6" s="19"/>
      <c r="J6" s="19"/>
      <c r="K6" s="19"/>
      <c r="L6" s="19"/>
      <c r="M6" s="19"/>
      <c r="N6" s="19"/>
      <c r="O6" s="19"/>
      <c r="Q6" s="191" t="str">
        <f>$H$3</f>
        <v>haryana</v>
      </c>
      <c r="R6" s="212">
        <f>$H$6</f>
        <v>751539163</v>
      </c>
    </row>
    <row r="7" spans="1:18" x14ac:dyDescent="0.25">
      <c r="A7" s="20">
        <v>4</v>
      </c>
      <c r="B7" s="20" t="s">
        <v>487</v>
      </c>
      <c r="C7" s="20" t="s">
        <v>477</v>
      </c>
      <c r="D7" s="20">
        <v>718</v>
      </c>
      <c r="E7" s="17">
        <v>88411</v>
      </c>
      <c r="F7" s="17"/>
      <c r="G7" s="19"/>
      <c r="H7" s="19"/>
      <c r="I7" s="19" cm="1">
        <f t="array" ref="I7">SUMPRODUCT(D4:D13,E4:E13,--(C4:C13="punjab"))</f>
        <v>63479098</v>
      </c>
      <c r="J7" s="19"/>
      <c r="K7" s="19"/>
      <c r="L7" s="19"/>
      <c r="M7" s="19"/>
      <c r="N7" s="19"/>
      <c r="O7" s="19"/>
      <c r="Q7" s="191" t="str">
        <f>$I$3</f>
        <v>punjab</v>
      </c>
      <c r="R7" s="212">
        <f>$I$7</f>
        <v>63479098</v>
      </c>
    </row>
    <row r="8" spans="1:18" x14ac:dyDescent="0.25">
      <c r="A8" s="20">
        <v>5</v>
      </c>
      <c r="B8" s="20" t="s">
        <v>488</v>
      </c>
      <c r="C8" s="20" t="s">
        <v>478</v>
      </c>
      <c r="D8" s="20">
        <v>287</v>
      </c>
      <c r="E8" s="17">
        <v>75851</v>
      </c>
      <c r="F8" s="17"/>
      <c r="G8" s="19"/>
      <c r="H8" s="19"/>
      <c r="I8" s="19"/>
      <c r="J8" s="19" cm="1">
        <f t="array" ref="J8">SUMPRODUCT(D4:D13,E4:E13,--(C4:C13="himachal"))</f>
        <v>21769237</v>
      </c>
      <c r="K8" s="19"/>
      <c r="L8" s="19"/>
      <c r="M8" s="19"/>
      <c r="N8" s="19"/>
      <c r="O8" s="19"/>
      <c r="Q8" s="191" t="str">
        <f>$J$3</f>
        <v>himachal</v>
      </c>
      <c r="R8" s="212">
        <f>$J$8</f>
        <v>21769237</v>
      </c>
    </row>
    <row r="9" spans="1:18" x14ac:dyDescent="0.25">
      <c r="A9" s="20">
        <v>6</v>
      </c>
      <c r="B9" s="20" t="s">
        <v>489</v>
      </c>
      <c r="C9" s="20" t="s">
        <v>479</v>
      </c>
      <c r="D9" s="20">
        <v>1050</v>
      </c>
      <c r="E9" s="17">
        <v>28900</v>
      </c>
      <c r="F9" s="17"/>
      <c r="G9" s="19"/>
      <c r="H9" s="19"/>
      <c r="I9" s="19"/>
      <c r="J9" s="19"/>
      <c r="K9" s="19" cm="1">
        <f t="array" ref="K9">SUMPRODUCT(D4:D13,E4:E13,--(C4:C13="uttra khand"))</f>
        <v>30345000</v>
      </c>
      <c r="L9" s="19"/>
      <c r="M9" s="19"/>
      <c r="N9" s="19"/>
      <c r="O9" s="19"/>
      <c r="Q9" s="191" t="str">
        <f>$K$3</f>
        <v>uttra khand</v>
      </c>
      <c r="R9" s="212">
        <f>$K$9</f>
        <v>30345000</v>
      </c>
    </row>
    <row r="10" spans="1:18" x14ac:dyDescent="0.25">
      <c r="A10" s="20">
        <v>7</v>
      </c>
      <c r="B10" s="20" t="s">
        <v>490</v>
      </c>
      <c r="C10" s="20" t="s">
        <v>480</v>
      </c>
      <c r="D10" s="20">
        <v>424</v>
      </c>
      <c r="E10" s="17">
        <v>75959</v>
      </c>
      <c r="F10" s="17"/>
      <c r="G10" s="19"/>
      <c r="H10" s="19"/>
      <c r="I10" s="19"/>
      <c r="J10" s="19"/>
      <c r="K10" s="19"/>
      <c r="L10" s="19" cm="1">
        <f t="array" ref="L10">SUMPRODUCT(D4:D13,E4:E13,--(C4:C13="maharashtr"))</f>
        <v>32206616</v>
      </c>
      <c r="M10" s="19"/>
      <c r="N10" s="19"/>
      <c r="O10" s="19"/>
      <c r="Q10" s="191" t="str">
        <f>$L$3</f>
        <v>maharashtr</v>
      </c>
      <c r="R10" s="212">
        <f>$L$10</f>
        <v>32206616</v>
      </c>
    </row>
    <row r="11" spans="1:18" x14ac:dyDescent="0.25">
      <c r="A11" s="20">
        <v>8</v>
      </c>
      <c r="B11" s="20" t="s">
        <v>491</v>
      </c>
      <c r="C11" s="20" t="s">
        <v>481</v>
      </c>
      <c r="D11" s="20">
        <v>3773</v>
      </c>
      <c r="E11" s="17">
        <v>40954</v>
      </c>
      <c r="F11" s="17"/>
      <c r="G11" s="19"/>
      <c r="H11" s="19"/>
      <c r="I11" s="19"/>
      <c r="J11" s="19"/>
      <c r="K11" s="19"/>
      <c r="L11" s="19"/>
      <c r="M11" s="19" cm="1">
        <f t="array" ref="M11">SUMPRODUCT(D4:D13,E4:E13,--(C4:C13="tamil nadu"))</f>
        <v>154519442</v>
      </c>
      <c r="N11" s="19"/>
      <c r="O11" s="19"/>
      <c r="Q11" s="191" t="str">
        <f>$M$3</f>
        <v>tamil nadu</v>
      </c>
      <c r="R11" s="212">
        <f>$M$11</f>
        <v>154519442</v>
      </c>
    </row>
    <row r="12" spans="1:18" x14ac:dyDescent="0.25">
      <c r="A12" s="20">
        <v>9</v>
      </c>
      <c r="B12" s="20" t="s">
        <v>492</v>
      </c>
      <c r="C12" s="20" t="s">
        <v>482</v>
      </c>
      <c r="D12" s="20">
        <v>8610</v>
      </c>
      <c r="E12" s="17">
        <v>82481</v>
      </c>
      <c r="F12" s="17"/>
      <c r="G12" s="19"/>
      <c r="H12" s="19"/>
      <c r="I12" s="19"/>
      <c r="J12" s="19"/>
      <c r="K12" s="19"/>
      <c r="L12" s="19"/>
      <c r="M12" s="19"/>
      <c r="N12" s="19" cm="1">
        <f t="array" ref="N12">SUMPRODUCT(D4:D13,E4:E13,--(C4:C13="madhye predesh"))</f>
        <v>710161410</v>
      </c>
      <c r="O12" s="19"/>
      <c r="Q12" s="191" t="str">
        <f>$N$3</f>
        <v>madhye predesh</v>
      </c>
      <c r="R12" s="212">
        <f>$N$12</f>
        <v>710161410</v>
      </c>
    </row>
    <row r="13" spans="1:18" x14ac:dyDescent="0.25">
      <c r="A13" s="20">
        <v>10</v>
      </c>
      <c r="B13" s="20" t="s">
        <v>493</v>
      </c>
      <c r="C13" s="20" t="s">
        <v>483</v>
      </c>
      <c r="D13" s="20">
        <v>1836</v>
      </c>
      <c r="E13" s="17">
        <v>43196</v>
      </c>
      <c r="F13" s="17"/>
      <c r="G13" s="19"/>
      <c r="H13" s="19"/>
      <c r="I13" s="19"/>
      <c r="J13" s="19"/>
      <c r="K13" s="19"/>
      <c r="L13" s="19"/>
      <c r="M13" s="19"/>
      <c r="N13" s="19"/>
      <c r="O13" s="19" cm="1">
        <f t="array" ref="O13">SUMPRODUCT(D4:D13,E4:E13,--(C4:C13="goa"))</f>
        <v>79307856</v>
      </c>
      <c r="Q13" s="192" t="str">
        <f>$O$3</f>
        <v>goa</v>
      </c>
      <c r="R13" s="213">
        <f>$O$13</f>
        <v>79307856</v>
      </c>
    </row>
    <row r="14" spans="1:18" x14ac:dyDescent="0.25">
      <c r="Q14" s="388" t="s">
        <v>1996</v>
      </c>
      <c r="R14" s="389">
        <f>SUM(R4:R13)</f>
        <v>2177268912</v>
      </c>
    </row>
    <row r="16" spans="1:18" ht="32.25" thickBot="1" x14ac:dyDescent="0.3">
      <c r="A16" s="200" t="s">
        <v>1067</v>
      </c>
      <c r="B16" s="200"/>
      <c r="C16" s="200"/>
      <c r="D16" s="200"/>
      <c r="E16" s="200"/>
      <c r="F16" s="200"/>
      <c r="H16" s="194" t="s">
        <v>1086</v>
      </c>
      <c r="I16" s="194"/>
    </row>
    <row r="17" spans="1:9" ht="15.75" thickTop="1" x14ac:dyDescent="0.25">
      <c r="A17" s="201" t="s">
        <v>1016</v>
      </c>
      <c r="B17" s="201" t="s">
        <v>1017</v>
      </c>
      <c r="C17" s="201" t="s">
        <v>1018</v>
      </c>
      <c r="D17" s="201" t="s">
        <v>1019</v>
      </c>
      <c r="E17" s="201" t="s">
        <v>1020</v>
      </c>
      <c r="F17" s="201" t="s">
        <v>1021</v>
      </c>
      <c r="H17" s="193" t="s">
        <v>1059</v>
      </c>
      <c r="I17" s="193" t="s">
        <v>960</v>
      </c>
    </row>
    <row r="18" spans="1:9" ht="38.25" x14ac:dyDescent="0.25">
      <c r="A18" s="202" t="s">
        <v>1022</v>
      </c>
      <c r="B18" s="202" t="s">
        <v>1068</v>
      </c>
      <c r="C18" s="202" t="s">
        <v>1069</v>
      </c>
      <c r="D18" s="202" t="s">
        <v>1070</v>
      </c>
      <c r="E18" s="202" t="s">
        <v>1026</v>
      </c>
      <c r="F18" s="202" t="s">
        <v>1071</v>
      </c>
      <c r="H18" s="190" t="s">
        <v>1087</v>
      </c>
      <c r="I18" s="208">
        <f>SUM($D$4:$D$13)</f>
        <v>31429</v>
      </c>
    </row>
    <row r="19" spans="1:9" ht="38.25" x14ac:dyDescent="0.25">
      <c r="A19" s="203" t="s">
        <v>1028</v>
      </c>
      <c r="B19" s="203" t="s">
        <v>1072</v>
      </c>
      <c r="C19" s="203" t="s">
        <v>1073</v>
      </c>
      <c r="D19" s="203" t="s">
        <v>1031</v>
      </c>
      <c r="E19" s="203" t="s">
        <v>1032</v>
      </c>
      <c r="F19" s="203" t="s">
        <v>1033</v>
      </c>
      <c r="H19" s="191" t="s">
        <v>1088</v>
      </c>
      <c r="I19" s="209">
        <f>SUMPRODUCT($D$4:$D$13,$E$4:$E$13)</f>
        <v>2177268912</v>
      </c>
    </row>
    <row r="20" spans="1:9" ht="38.25" x14ac:dyDescent="0.25">
      <c r="A20" s="203" t="s">
        <v>1034</v>
      </c>
      <c r="B20" s="203" t="s">
        <v>1074</v>
      </c>
      <c r="C20" s="203" t="s">
        <v>1075</v>
      </c>
      <c r="D20" s="203" t="s">
        <v>1076</v>
      </c>
      <c r="E20" s="203" t="s">
        <v>1026</v>
      </c>
      <c r="F20" s="203" t="s">
        <v>1038</v>
      </c>
      <c r="H20" s="191" t="s">
        <v>1089</v>
      </c>
      <c r="I20" s="197">
        <f>AVERAGE($E$4:$E$13)</f>
        <v>64991.1</v>
      </c>
    </row>
    <row r="21" spans="1:9" ht="38.25" x14ac:dyDescent="0.25">
      <c r="A21" s="204" t="s">
        <v>1039</v>
      </c>
      <c r="B21" s="204" t="s">
        <v>1077</v>
      </c>
      <c r="C21" s="204" t="s">
        <v>1078</v>
      </c>
      <c r="D21" s="204" t="s">
        <v>1079</v>
      </c>
      <c r="E21" s="204" t="s">
        <v>1043</v>
      </c>
      <c r="F21" s="204" t="s">
        <v>1044</v>
      </c>
      <c r="H21" s="191" t="s">
        <v>1090</v>
      </c>
      <c r="I21" s="214" t="str">
        <f>INDEX($Q$4:$Q$13,MATCH(MAX($R$4:$R$13),$R$4:$R$13,0))</f>
        <v>haryana</v>
      </c>
    </row>
    <row r="22" spans="1:9" x14ac:dyDescent="0.25">
      <c r="A22" s="205"/>
      <c r="B22" s="205"/>
      <c r="C22" s="205"/>
      <c r="D22" s="205"/>
      <c r="E22" s="205"/>
      <c r="F22" s="205"/>
      <c r="H22" s="191" t="s">
        <v>1091</v>
      </c>
      <c r="I22" s="197">
        <f>MAX($R$4:$R$13)</f>
        <v>751539163</v>
      </c>
    </row>
    <row r="23" spans="1:9" x14ac:dyDescent="0.25">
      <c r="A23" s="205"/>
      <c r="B23" s="205"/>
      <c r="C23" s="205"/>
      <c r="D23" s="205"/>
      <c r="E23" s="205"/>
      <c r="F23" s="205"/>
      <c r="H23" s="191" t="s">
        <v>1092</v>
      </c>
      <c r="I23" s="214" t="str">
        <f>INDEX($B$4:$B$13,MATCH(MAX($D$4:$D$13),$D$4:$D$13,0))</f>
        <v>realme</v>
      </c>
    </row>
    <row r="24" spans="1:9" ht="15.75" thickBot="1" x14ac:dyDescent="0.3">
      <c r="A24" s="206" t="s">
        <v>1045</v>
      </c>
      <c r="B24" s="206"/>
      <c r="C24" s="206"/>
      <c r="D24" s="205"/>
      <c r="E24" s="205"/>
      <c r="F24" s="205"/>
      <c r="H24" s="192" t="s">
        <v>1093</v>
      </c>
      <c r="I24" s="198">
        <f>MAX($D$4:$D$13)</f>
        <v>9221</v>
      </c>
    </row>
    <row r="25" spans="1:9" ht="15.75" thickTop="1" x14ac:dyDescent="0.25">
      <c r="A25" s="201" t="s">
        <v>1046</v>
      </c>
      <c r="B25" s="201" t="s">
        <v>1047</v>
      </c>
      <c r="C25" s="201" t="s">
        <v>1048</v>
      </c>
      <c r="D25" s="205"/>
      <c r="E25" s="205"/>
      <c r="F25" s="205"/>
    </row>
    <row r="26" spans="1:9" ht="63.75" x14ac:dyDescent="0.25">
      <c r="A26" s="202" t="s">
        <v>1049</v>
      </c>
      <c r="B26" s="202" t="s">
        <v>1080</v>
      </c>
      <c r="C26" s="202" t="s">
        <v>1081</v>
      </c>
      <c r="D26" s="205"/>
      <c r="E26" s="205"/>
      <c r="F26" s="205"/>
      <c r="H26" s="205" t="s">
        <v>1097</v>
      </c>
      <c r="I26" s="205"/>
    </row>
    <row r="27" spans="1:9" ht="51" x14ac:dyDescent="0.25">
      <c r="A27" s="203" t="s">
        <v>1052</v>
      </c>
      <c r="B27" s="203" t="s">
        <v>1082</v>
      </c>
      <c r="C27" s="203" t="s">
        <v>1083</v>
      </c>
      <c r="D27" s="205"/>
      <c r="E27" s="205"/>
      <c r="F27" s="205"/>
    </row>
    <row r="28" spans="1:9" ht="51" x14ac:dyDescent="0.25">
      <c r="A28" s="204" t="s">
        <v>1055</v>
      </c>
      <c r="B28" s="204" t="s">
        <v>1084</v>
      </c>
      <c r="C28" s="204" t="s">
        <v>1085</v>
      </c>
      <c r="D28" s="205"/>
      <c r="E28" s="205"/>
      <c r="F28" s="205"/>
    </row>
  </sheetData>
  <mergeCells count="1">
    <mergeCell ref="A1:O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9FC2-1273-4E17-9040-3162D9E0C7C7}">
  <sheetPr codeName="Sheet8"/>
  <dimension ref="A1:P28"/>
  <sheetViews>
    <sheetView topLeftCell="B1" zoomScaleNormal="100" workbookViewId="0">
      <selection activeCell="K19" sqref="K19"/>
    </sheetView>
  </sheetViews>
  <sheetFormatPr defaultRowHeight="15" x14ac:dyDescent="0.25"/>
  <cols>
    <col min="1" max="1" width="20.5703125" bestFit="1" customWidth="1"/>
    <col min="2" max="2" width="28.140625" bestFit="1" customWidth="1"/>
    <col min="3" max="3" width="49.42578125" bestFit="1" customWidth="1"/>
    <col min="4" max="4" width="26.28515625" bestFit="1" customWidth="1"/>
    <col min="5" max="5" width="14.28515625" bestFit="1" customWidth="1"/>
    <col min="6" max="6" width="17.7109375" bestFit="1" customWidth="1"/>
    <col min="7" max="7" width="12.5703125" bestFit="1" customWidth="1"/>
    <col min="8" max="8" width="21.7109375" bestFit="1" customWidth="1"/>
    <col min="9" max="13" width="12.5703125" bestFit="1" customWidth="1"/>
    <col min="16" max="16" width="1.5703125" bestFit="1" customWidth="1"/>
  </cols>
  <sheetData>
    <row r="1" spans="1:16" x14ac:dyDescent="0.25">
      <c r="A1" s="460" t="s">
        <v>494</v>
      </c>
      <c r="B1" s="460"/>
      <c r="C1" s="460"/>
      <c r="D1" s="460"/>
      <c r="E1" s="460"/>
      <c r="F1" s="460"/>
      <c r="G1" s="460"/>
      <c r="H1" s="460"/>
      <c r="I1" s="460"/>
      <c r="J1" s="460"/>
      <c r="K1" s="460"/>
      <c r="L1" s="460"/>
      <c r="M1" s="460"/>
    </row>
    <row r="2" spans="1:16" x14ac:dyDescent="0.25">
      <c r="A2" s="460"/>
      <c r="B2" s="460"/>
      <c r="C2" s="460"/>
      <c r="D2" s="460"/>
      <c r="E2" s="460"/>
      <c r="F2" s="460"/>
      <c r="G2" s="460"/>
      <c r="H2" s="460"/>
      <c r="I2" s="460"/>
      <c r="J2" s="460"/>
      <c r="K2" s="460"/>
      <c r="L2" s="460"/>
      <c r="M2" s="460"/>
    </row>
    <row r="3" spans="1:16" x14ac:dyDescent="0.25">
      <c r="A3" s="82" t="s">
        <v>472</v>
      </c>
      <c r="B3" s="82" t="s">
        <v>495</v>
      </c>
      <c r="C3" s="82" t="s">
        <v>496</v>
      </c>
      <c r="D3" s="459" t="s">
        <v>497</v>
      </c>
      <c r="E3" s="459"/>
      <c r="F3" s="459"/>
      <c r="G3" s="459"/>
      <c r="H3" s="459"/>
      <c r="I3" s="459"/>
      <c r="J3" s="459"/>
      <c r="K3" s="459"/>
      <c r="L3" s="459"/>
      <c r="M3" s="459"/>
    </row>
    <row r="4" spans="1:16" x14ac:dyDescent="0.25">
      <c r="A4" s="54">
        <v>1</v>
      </c>
      <c r="B4" s="20" t="s">
        <v>498</v>
      </c>
      <c r="C4" s="18">
        <v>450124</v>
      </c>
      <c r="D4" s="18">
        <f>SUMIF(B4:B13,"january",C4:C13)</f>
        <v>450124</v>
      </c>
      <c r="E4" s="18"/>
      <c r="F4" s="18"/>
      <c r="G4" s="18"/>
      <c r="H4" s="18"/>
      <c r="I4" s="18"/>
      <c r="J4" s="18"/>
      <c r="K4" s="18"/>
      <c r="L4" s="18"/>
      <c r="M4" s="18"/>
    </row>
    <row r="5" spans="1:16" x14ac:dyDescent="0.25">
      <c r="A5" s="54">
        <v>2</v>
      </c>
      <c r="B5" s="20" t="s">
        <v>499</v>
      </c>
      <c r="C5" s="18">
        <v>927551</v>
      </c>
      <c r="D5" s="18"/>
      <c r="E5" s="18">
        <f>SUMIF(B4:B13,"fab",C4:C13)</f>
        <v>927551</v>
      </c>
      <c r="F5" s="18"/>
      <c r="G5" s="18"/>
      <c r="H5" s="18"/>
      <c r="I5" s="18"/>
      <c r="J5" s="18"/>
      <c r="K5" s="18"/>
      <c r="L5" s="18"/>
      <c r="M5" s="18"/>
    </row>
    <row r="6" spans="1:16" x14ac:dyDescent="0.25">
      <c r="A6" s="54">
        <v>3</v>
      </c>
      <c r="B6" s="20" t="s">
        <v>500</v>
      </c>
      <c r="C6" s="18">
        <v>798032</v>
      </c>
      <c r="D6" s="18"/>
      <c r="E6" s="18"/>
      <c r="F6" s="18">
        <f>SUMIF(B4:B13,"mar",C4:C13)</f>
        <v>798032</v>
      </c>
      <c r="G6" s="18"/>
      <c r="H6" s="18"/>
      <c r="I6" s="18"/>
      <c r="J6" s="18"/>
      <c r="K6" s="18"/>
      <c r="L6" s="18"/>
      <c r="M6" s="18"/>
    </row>
    <row r="7" spans="1:16" x14ac:dyDescent="0.25">
      <c r="A7" s="54">
        <v>4</v>
      </c>
      <c r="B7" s="20" t="s">
        <v>501</v>
      </c>
      <c r="C7" s="18">
        <v>976372</v>
      </c>
      <c r="D7" s="18"/>
      <c r="E7" s="18"/>
      <c r="F7" s="18"/>
      <c r="G7" s="18">
        <f>SUMIF(B4:B13,"apr",C4:C13)</f>
        <v>976372</v>
      </c>
      <c r="H7" s="18"/>
      <c r="I7" s="18"/>
      <c r="J7" s="18"/>
      <c r="K7" s="18"/>
      <c r="L7" s="18"/>
      <c r="M7" s="18"/>
    </row>
    <row r="8" spans="1:16" x14ac:dyDescent="0.25">
      <c r="A8" s="54">
        <v>5</v>
      </c>
      <c r="B8" s="20" t="s">
        <v>502</v>
      </c>
      <c r="C8" s="18">
        <v>770494</v>
      </c>
      <c r="D8" s="18"/>
      <c r="E8" s="18"/>
      <c r="F8" s="18"/>
      <c r="G8" s="18"/>
      <c r="H8" s="18">
        <f>SUMIF(B4:B13,"may",C4:C13)</f>
        <v>770494</v>
      </c>
      <c r="I8" s="18"/>
      <c r="J8" s="18"/>
      <c r="K8" s="18"/>
      <c r="L8" s="18"/>
      <c r="M8" s="18"/>
    </row>
    <row r="9" spans="1:16" x14ac:dyDescent="0.25">
      <c r="A9" s="54">
        <v>6</v>
      </c>
      <c r="B9" s="20" t="s">
        <v>503</v>
      </c>
      <c r="C9" s="18">
        <v>854616</v>
      </c>
      <c r="D9" s="18"/>
      <c r="E9" s="18"/>
      <c r="F9" s="18"/>
      <c r="G9" s="18"/>
      <c r="H9" s="18"/>
      <c r="I9" s="18">
        <f>SUMIF(B4:B13,"june",C4:C13)</f>
        <v>854616</v>
      </c>
      <c r="J9" s="18"/>
      <c r="K9" s="18"/>
      <c r="L9" s="18"/>
      <c r="M9" s="18"/>
    </row>
    <row r="10" spans="1:16" x14ac:dyDescent="0.25">
      <c r="A10" s="54">
        <v>7</v>
      </c>
      <c r="B10" s="20" t="s">
        <v>504</v>
      </c>
      <c r="C10" s="18">
        <v>568585</v>
      </c>
      <c r="D10" s="18"/>
      <c r="E10" s="18"/>
      <c r="F10" s="18"/>
      <c r="G10" s="18"/>
      <c r="H10" s="18"/>
      <c r="I10" s="18"/>
      <c r="J10" s="18">
        <f>SUMIF(B4:B13,"july",C4:C13)</f>
        <v>568585</v>
      </c>
      <c r="K10" s="18"/>
      <c r="L10" s="18"/>
      <c r="M10" s="18"/>
    </row>
    <row r="11" spans="1:16" x14ac:dyDescent="0.25">
      <c r="A11" s="54">
        <v>8</v>
      </c>
      <c r="B11" s="20" t="s">
        <v>505</v>
      </c>
      <c r="C11" s="18">
        <v>647453</v>
      </c>
      <c r="D11" s="18"/>
      <c r="E11" s="18"/>
      <c r="F11" s="18"/>
      <c r="G11" s="18"/>
      <c r="H11" s="18"/>
      <c r="I11" s="18"/>
      <c r="J11" s="18"/>
      <c r="K11" s="18">
        <f>SUMIF(B4:B13,"aug",C4:C13)</f>
        <v>647453</v>
      </c>
      <c r="L11" s="18"/>
      <c r="M11" s="18"/>
    </row>
    <row r="12" spans="1:16" x14ac:dyDescent="0.25">
      <c r="A12" s="54">
        <v>9</v>
      </c>
      <c r="B12" s="20" t="s">
        <v>506</v>
      </c>
      <c r="C12" s="18">
        <v>702939</v>
      </c>
      <c r="D12" s="18"/>
      <c r="E12" s="18"/>
      <c r="F12" s="18"/>
      <c r="G12" s="18"/>
      <c r="H12" s="18"/>
      <c r="I12" s="18"/>
      <c r="J12" s="18"/>
      <c r="K12" s="18"/>
      <c r="L12" s="18">
        <f>SUMIF(B4:B13,"sep",C4:C13)</f>
        <v>702939</v>
      </c>
      <c r="M12" s="18"/>
    </row>
    <row r="13" spans="1:16" x14ac:dyDescent="0.25">
      <c r="A13" s="54">
        <v>10</v>
      </c>
      <c r="B13" s="20" t="s">
        <v>507</v>
      </c>
      <c r="C13" s="18">
        <v>558518</v>
      </c>
      <c r="D13" s="18"/>
      <c r="E13" s="18"/>
      <c r="F13" s="18"/>
      <c r="G13" s="18"/>
      <c r="H13" s="18"/>
      <c r="I13" s="18"/>
      <c r="J13" s="18"/>
      <c r="K13" s="18"/>
      <c r="L13" s="18"/>
      <c r="M13" s="18">
        <f>SUMIF(B4:B13,"oct",C4:C13)</f>
        <v>558518</v>
      </c>
    </row>
    <row r="15" spans="1:16" x14ac:dyDescent="0.25">
      <c r="P15" t="s">
        <v>508</v>
      </c>
    </row>
    <row r="16" spans="1:16" ht="16.5" thickBot="1" x14ac:dyDescent="0.3">
      <c r="A16" s="461" t="s">
        <v>1015</v>
      </c>
      <c r="B16" s="461"/>
      <c r="C16" s="461"/>
      <c r="D16" s="461"/>
      <c r="E16" s="461"/>
      <c r="F16" s="461"/>
      <c r="H16" s="194" t="s">
        <v>1058</v>
      </c>
      <c r="I16" s="194"/>
    </row>
    <row r="17" spans="1:9" ht="15.75" thickTop="1" x14ac:dyDescent="0.25">
      <c r="A17" s="201" t="s">
        <v>1016</v>
      </c>
      <c r="B17" s="201" t="s">
        <v>1017</v>
      </c>
      <c r="C17" s="201" t="s">
        <v>1018</v>
      </c>
      <c r="D17" s="201" t="s">
        <v>1019</v>
      </c>
      <c r="E17" s="201" t="s">
        <v>1020</v>
      </c>
      <c r="F17" s="201" t="s">
        <v>1021</v>
      </c>
      <c r="H17" s="193" t="s">
        <v>1059</v>
      </c>
      <c r="I17" s="193" t="s">
        <v>960</v>
      </c>
    </row>
    <row r="18" spans="1:9" ht="38.25" x14ac:dyDescent="0.25">
      <c r="A18" s="202" t="s">
        <v>1022</v>
      </c>
      <c r="B18" s="202" t="s">
        <v>1023</v>
      </c>
      <c r="C18" s="202" t="s">
        <v>1024</v>
      </c>
      <c r="D18" s="202" t="s">
        <v>1025</v>
      </c>
      <c r="E18" s="202" t="s">
        <v>1026</v>
      </c>
      <c r="F18" s="202" t="s">
        <v>1027</v>
      </c>
      <c r="H18" s="190" t="s">
        <v>1060</v>
      </c>
      <c r="I18" s="196">
        <f>SUM($C$4:$C$13)</f>
        <v>7254684</v>
      </c>
    </row>
    <row r="19" spans="1:9" ht="38.25" x14ac:dyDescent="0.25">
      <c r="A19" s="203" t="s">
        <v>1028</v>
      </c>
      <c r="B19" s="203" t="s">
        <v>1029</v>
      </c>
      <c r="C19" s="203" t="s">
        <v>1030</v>
      </c>
      <c r="D19" s="203" t="s">
        <v>1031</v>
      </c>
      <c r="E19" s="203" t="s">
        <v>1032</v>
      </c>
      <c r="F19" s="203" t="s">
        <v>1033</v>
      </c>
      <c r="H19" s="191" t="s">
        <v>1061</v>
      </c>
      <c r="I19" s="197">
        <f>AVERAGE($C$4:$C$13)</f>
        <v>725468.4</v>
      </c>
    </row>
    <row r="20" spans="1:9" ht="38.25" x14ac:dyDescent="0.25">
      <c r="A20" s="203" t="s">
        <v>1034</v>
      </c>
      <c r="B20" s="203" t="s">
        <v>1035</v>
      </c>
      <c r="C20" s="203" t="s">
        <v>1036</v>
      </c>
      <c r="D20" s="203" t="s">
        <v>1037</v>
      </c>
      <c r="E20" s="203" t="s">
        <v>1026</v>
      </c>
      <c r="F20" s="203" t="s">
        <v>1038</v>
      </c>
      <c r="H20" s="191" t="s">
        <v>1062</v>
      </c>
      <c r="I20" s="199" t="str">
        <f>INDEX($B$4:$B$13,MATCH(MAX($C$4:$C$13),$C$4:$C$13,0))</f>
        <v>apr</v>
      </c>
    </row>
    <row r="21" spans="1:9" ht="38.25" x14ac:dyDescent="0.25">
      <c r="A21" s="204" t="s">
        <v>1039</v>
      </c>
      <c r="B21" s="204" t="s">
        <v>1040</v>
      </c>
      <c r="C21" s="204" t="s">
        <v>1041</v>
      </c>
      <c r="D21" s="204" t="s">
        <v>1042</v>
      </c>
      <c r="E21" s="204" t="s">
        <v>1043</v>
      </c>
      <c r="F21" s="204" t="s">
        <v>1044</v>
      </c>
      <c r="H21" s="191" t="s">
        <v>1063</v>
      </c>
      <c r="I21" s="195">
        <f>MAX($C$4:$C$13)</f>
        <v>976372</v>
      </c>
    </row>
    <row r="22" spans="1:9" x14ac:dyDescent="0.25">
      <c r="A22" s="205"/>
      <c r="B22" s="205"/>
      <c r="C22" s="205"/>
      <c r="D22" s="205"/>
      <c r="E22" s="205"/>
      <c r="F22" s="205"/>
      <c r="H22" s="191" t="s">
        <v>1064</v>
      </c>
      <c r="I22" s="195" t="str">
        <f>INDEX($B$4:$B$13,MATCH(MIN($C$4:$C$13),$C$4:$C$13,0))</f>
        <v>january</v>
      </c>
    </row>
    <row r="23" spans="1:9" x14ac:dyDescent="0.25">
      <c r="A23" s="205"/>
      <c r="B23" s="205"/>
      <c r="C23" s="205"/>
      <c r="D23" s="205"/>
      <c r="E23" s="205"/>
      <c r="F23" s="205"/>
      <c r="H23" s="192" t="s">
        <v>1065</v>
      </c>
      <c r="I23" s="198">
        <f>MIN($C$4:$C$13)</f>
        <v>450124</v>
      </c>
    </row>
    <row r="24" spans="1:9" ht="15.75" thickBot="1" x14ac:dyDescent="0.3">
      <c r="A24" s="206" t="s">
        <v>1045</v>
      </c>
      <c r="B24" s="206"/>
      <c r="C24" s="206"/>
      <c r="D24" s="205"/>
      <c r="E24" s="205"/>
      <c r="F24" s="205"/>
    </row>
    <row r="25" spans="1:9" ht="15.75" thickTop="1" x14ac:dyDescent="0.25">
      <c r="A25" s="201" t="s">
        <v>1046</v>
      </c>
      <c r="B25" s="201" t="s">
        <v>1047</v>
      </c>
      <c r="C25" s="201" t="s">
        <v>1048</v>
      </c>
      <c r="D25" s="205"/>
      <c r="E25" s="205"/>
      <c r="F25" s="205"/>
      <c r="H25" s="207" t="s">
        <v>1066</v>
      </c>
      <c r="I25" s="205"/>
    </row>
    <row r="26" spans="1:9" ht="51" x14ac:dyDescent="0.25">
      <c r="A26" s="202" t="s">
        <v>1049</v>
      </c>
      <c r="B26" s="202" t="s">
        <v>1050</v>
      </c>
      <c r="C26" s="202" t="s">
        <v>1051</v>
      </c>
      <c r="D26" s="205"/>
      <c r="E26" s="205"/>
      <c r="F26" s="205"/>
    </row>
    <row r="27" spans="1:9" ht="38.25" x14ac:dyDescent="0.25">
      <c r="A27" s="203" t="s">
        <v>1052</v>
      </c>
      <c r="B27" s="203" t="s">
        <v>1053</v>
      </c>
      <c r="C27" s="203" t="s">
        <v>1054</v>
      </c>
      <c r="D27" s="205"/>
      <c r="E27" s="205"/>
      <c r="F27" s="205"/>
    </row>
    <row r="28" spans="1:9" ht="38.25" x14ac:dyDescent="0.25">
      <c r="A28" s="204" t="s">
        <v>1055</v>
      </c>
      <c r="B28" s="204" t="s">
        <v>1056</v>
      </c>
      <c r="C28" s="204" t="s">
        <v>1057</v>
      </c>
      <c r="D28" s="205"/>
      <c r="E28" s="205"/>
      <c r="F28" s="205"/>
    </row>
  </sheetData>
  <mergeCells count="3">
    <mergeCell ref="D3:M3"/>
    <mergeCell ref="A1:M2"/>
    <mergeCell ref="A16:F1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9EB73-BA6B-4C17-8429-2B0E890B85D6}">
  <sheetPr codeName="Sheet9"/>
  <dimension ref="A1:R57"/>
  <sheetViews>
    <sheetView workbookViewId="0">
      <selection activeCell="J33" sqref="J33"/>
    </sheetView>
  </sheetViews>
  <sheetFormatPr defaultRowHeight="15" x14ac:dyDescent="0.25"/>
  <cols>
    <col min="1" max="1" width="25.5703125" bestFit="1" customWidth="1"/>
    <col min="2" max="2" width="30.42578125" bestFit="1" customWidth="1"/>
    <col min="3" max="3" width="26" bestFit="1" customWidth="1"/>
    <col min="4" max="4" width="7.85546875" bestFit="1" customWidth="1"/>
    <col min="5" max="5" width="9.140625" bestFit="1" customWidth="1"/>
    <col min="7" max="7" width="12.5703125" bestFit="1" customWidth="1"/>
    <col min="8" max="8" width="15.140625" bestFit="1" customWidth="1"/>
    <col min="9" max="9" width="7.85546875" bestFit="1" customWidth="1"/>
    <col min="10" max="10" width="19.85546875" bestFit="1" customWidth="1"/>
    <col min="11" max="11" width="7.85546875" bestFit="1" customWidth="1"/>
    <col min="12" max="12" width="14.28515625" bestFit="1" customWidth="1"/>
    <col min="13" max="13" width="21.42578125" bestFit="1" customWidth="1"/>
    <col min="14" max="14" width="2" bestFit="1" customWidth="1"/>
    <col min="17" max="17" width="18.7109375" bestFit="1" customWidth="1"/>
    <col min="18" max="18" width="7" bestFit="1" customWidth="1"/>
  </cols>
  <sheetData>
    <row r="1" spans="1:18" ht="18.75" x14ac:dyDescent="0.3">
      <c r="A1" s="462" t="s">
        <v>509</v>
      </c>
      <c r="B1" s="462"/>
      <c r="C1" s="462"/>
      <c r="D1" s="462"/>
    </row>
    <row r="2" spans="1:18" x14ac:dyDescent="0.25">
      <c r="A2" t="s">
        <v>510</v>
      </c>
      <c r="B2" t="s">
        <v>511</v>
      </c>
      <c r="C2" t="str">
        <f>LEFT(B2,4)</f>
        <v>HEMA</v>
      </c>
    </row>
    <row r="3" spans="1:18" x14ac:dyDescent="0.25">
      <c r="A3" t="s">
        <v>512</v>
      </c>
      <c r="B3" t="s">
        <v>511</v>
      </c>
      <c r="C3" t="str">
        <f>RIGHT(B3,4)</f>
        <v>MANT</v>
      </c>
    </row>
    <row r="4" spans="1:18" x14ac:dyDescent="0.25">
      <c r="A4" t="s">
        <v>513</v>
      </c>
      <c r="B4" t="s">
        <v>511</v>
      </c>
      <c r="C4" t="str">
        <f>MID(B4,2,3)</f>
        <v>EMA</v>
      </c>
    </row>
    <row r="5" spans="1:18" x14ac:dyDescent="0.25">
      <c r="A5" t="s">
        <v>514</v>
      </c>
      <c r="B5" t="s">
        <v>511</v>
      </c>
      <c r="C5">
        <f>LEN(B5)</f>
        <v>6</v>
      </c>
    </row>
    <row r="6" spans="1:18" x14ac:dyDescent="0.25">
      <c r="A6" t="s">
        <v>515</v>
      </c>
      <c r="B6" t="s">
        <v>516</v>
      </c>
      <c r="C6" t="str">
        <f>TRIM(B6)</f>
        <v>HEMANT MAHAWAR</v>
      </c>
    </row>
    <row r="7" spans="1:18" x14ac:dyDescent="0.25">
      <c r="A7" t="s">
        <v>517</v>
      </c>
      <c r="C7" t="str">
        <f>UPPER(B9)</f>
        <v>HEMANT</v>
      </c>
    </row>
    <row r="8" spans="1:18" x14ac:dyDescent="0.25">
      <c r="A8" t="s">
        <v>518</v>
      </c>
      <c r="C8" t="str">
        <f>LOWER(A8)</f>
        <v>lower</v>
      </c>
    </row>
    <row r="9" spans="1:18" x14ac:dyDescent="0.25">
      <c r="A9" t="s">
        <v>519</v>
      </c>
      <c r="B9" t="s">
        <v>398</v>
      </c>
      <c r="C9" t="str">
        <f>PROPER(B9)</f>
        <v>Hemant</v>
      </c>
      <c r="K9" t="str">
        <f>CONCATENATE(G9,H9,I9,J9)</f>
        <v/>
      </c>
    </row>
    <row r="10" spans="1:18" x14ac:dyDescent="0.25">
      <c r="A10" t="s">
        <v>520</v>
      </c>
      <c r="C10" t="str">
        <f>_xlfn.CONCAT(D10,E10)</f>
        <v>hemantmahawar</v>
      </c>
      <c r="D10" t="s">
        <v>398</v>
      </c>
      <c r="E10" t="s">
        <v>521</v>
      </c>
      <c r="G10" t="s">
        <v>522</v>
      </c>
      <c r="H10" t="str">
        <f>LEFT(G10,8)</f>
        <v>tushar k</v>
      </c>
      <c r="J10" s="2" t="s">
        <v>63</v>
      </c>
      <c r="M10" t="str" cm="1">
        <f t="array" ref="M10:N10">LEFT(J10:K10,10)</f>
        <v>tushar01@g</v>
      </c>
      <c r="N10" t="str">
        <v/>
      </c>
    </row>
    <row r="11" spans="1:18" x14ac:dyDescent="0.25">
      <c r="A11" t="s">
        <v>523</v>
      </c>
      <c r="C11" t="str">
        <f>_xlfn.TEXTJOIN(2,0,D10,E10)</f>
        <v>hemant2mahawar</v>
      </c>
      <c r="G11" t="s">
        <v>522</v>
      </c>
      <c r="H11" t="str">
        <f>RIGHT(G11,8)</f>
        <v>ar kumar</v>
      </c>
      <c r="J11" s="2" t="s">
        <v>63</v>
      </c>
      <c r="M11" t="str" cm="1">
        <f t="array" ref="M11:N11">RIGHT(J11:K11,5)</f>
        <v>l.com</v>
      </c>
      <c r="N11" t="str">
        <v/>
      </c>
    </row>
    <row r="12" spans="1:18" x14ac:dyDescent="0.25">
      <c r="A12" t="s">
        <v>524</v>
      </c>
      <c r="G12" t="s">
        <v>522</v>
      </c>
      <c r="H12" t="str">
        <f>MID(G12,8,10)</f>
        <v>kumar</v>
      </c>
      <c r="J12" s="2" t="s">
        <v>63</v>
      </c>
      <c r="M12" t="str" cm="1">
        <f t="array" ref="M12:N12">MID(J12:K12,6,9)</f>
        <v>r01@gmail</v>
      </c>
      <c r="N12" t="str">
        <v/>
      </c>
    </row>
    <row r="13" spans="1:18" x14ac:dyDescent="0.25">
      <c r="A13" t="s">
        <v>525</v>
      </c>
      <c r="C13">
        <f>FIND("t",G13)</f>
        <v>1</v>
      </c>
      <c r="G13" t="s">
        <v>57</v>
      </c>
      <c r="H13">
        <f>LEN(G13)</f>
        <v>6</v>
      </c>
      <c r="J13" s="2" t="s">
        <v>63</v>
      </c>
      <c r="M13" cm="1">
        <f t="array" ref="M13:N13">LEN(J13:K13)</f>
        <v>18</v>
      </c>
      <c r="N13">
        <v>0</v>
      </c>
      <c r="Q13" s="13" t="s">
        <v>7</v>
      </c>
      <c r="R13" s="13" t="s">
        <v>399</v>
      </c>
    </row>
    <row r="14" spans="1:18" x14ac:dyDescent="0.25">
      <c r="A14" t="s">
        <v>526</v>
      </c>
      <c r="C14">
        <f>SEARCH("t",D10)</f>
        <v>6</v>
      </c>
      <c r="G14" t="s">
        <v>522</v>
      </c>
      <c r="H14" t="str">
        <f>TRIM(G14)</f>
        <v>tushar kumar</v>
      </c>
      <c r="J14" s="2" t="s">
        <v>63</v>
      </c>
      <c r="M14" t="str" cm="1">
        <f t="array" ref="M14:N14">TRIM(J14:K14)</f>
        <v>tushar01@gmail.com</v>
      </c>
      <c r="N14" t="str">
        <v/>
      </c>
      <c r="Q14" s="1" t="s">
        <v>402</v>
      </c>
      <c r="R14" s="1">
        <v>150000</v>
      </c>
    </row>
    <row r="15" spans="1:18" x14ac:dyDescent="0.25">
      <c r="A15" t="s">
        <v>527</v>
      </c>
      <c r="G15" t="s">
        <v>522</v>
      </c>
      <c r="H15" t="str">
        <f>UPPER(G15)</f>
        <v>TUSHAR KUMAR</v>
      </c>
      <c r="Q15" s="1" t="s">
        <v>403</v>
      </c>
      <c r="R15" s="10">
        <v>0.1</v>
      </c>
    </row>
    <row r="16" spans="1:18" x14ac:dyDescent="0.25">
      <c r="A16" t="s">
        <v>528</v>
      </c>
      <c r="B16" t="str">
        <f>BAHTTEXT(C16)</f>
        <v>สี่บาทถ้วน</v>
      </c>
      <c r="C16">
        <v>4</v>
      </c>
      <c r="G16" t="s">
        <v>522</v>
      </c>
      <c r="H16" t="str">
        <f>LOWER(G16)</f>
        <v>tushar kumar</v>
      </c>
      <c r="Q16" s="1" t="s">
        <v>405</v>
      </c>
      <c r="R16" s="1">
        <v>5</v>
      </c>
    </row>
    <row r="17" spans="1:18" x14ac:dyDescent="0.25">
      <c r="A17" t="s">
        <v>529</v>
      </c>
      <c r="C17" t="str">
        <f>CHAR(12)</f>
        <v>_x000C_</v>
      </c>
      <c r="G17" t="s">
        <v>522</v>
      </c>
      <c r="H17" t="str">
        <f>PROPER(G17)</f>
        <v>Tushar Kumar</v>
      </c>
      <c r="M17" s="7">
        <v>17394</v>
      </c>
      <c r="Q17" s="1" t="s">
        <v>832</v>
      </c>
      <c r="R17" s="1">
        <v>1500</v>
      </c>
    </row>
    <row r="18" spans="1:18" x14ac:dyDescent="0.25">
      <c r="A18" t="s">
        <v>530</v>
      </c>
      <c r="C18" t="str">
        <f>CLEAN(G10)</f>
        <v>tushar kumar</v>
      </c>
      <c r="G18" t="s">
        <v>522</v>
      </c>
      <c r="H18" t="str">
        <f>_xlfn.CONCAT(J18,K18)</f>
        <v>tusharkumar</v>
      </c>
      <c r="J18" t="s">
        <v>57</v>
      </c>
      <c r="K18" t="s">
        <v>531</v>
      </c>
    </row>
    <row r="19" spans="1:18" x14ac:dyDescent="0.25">
      <c r="A19" t="s">
        <v>532</v>
      </c>
      <c r="B19">
        <f>CODE(C22)</f>
        <v>116</v>
      </c>
      <c r="G19" t="s">
        <v>522</v>
      </c>
    </row>
    <row r="20" spans="1:18" x14ac:dyDescent="0.25">
      <c r="A20" t="s">
        <v>533</v>
      </c>
      <c r="C20" s="84">
        <f>DB(R14,R17,R16,1)</f>
        <v>90300</v>
      </c>
    </row>
    <row r="21" spans="1:18" x14ac:dyDescent="0.25">
      <c r="A21" t="s">
        <v>534</v>
      </c>
      <c r="B21" t="str">
        <f>FIXED(C21,11)</f>
        <v>12.10000000000</v>
      </c>
      <c r="C21">
        <v>12.1</v>
      </c>
    </row>
    <row r="22" spans="1:18" x14ac:dyDescent="0.25">
      <c r="A22" t="s">
        <v>535</v>
      </c>
      <c r="B22" t="str">
        <f>REPT(C22,2)</f>
        <v>tushartushar</v>
      </c>
      <c r="C22" t="s">
        <v>57</v>
      </c>
      <c r="G22" t="s">
        <v>398</v>
      </c>
      <c r="H22" t="s">
        <v>536</v>
      </c>
      <c r="J22" t="s">
        <v>537</v>
      </c>
      <c r="K22" t="s">
        <v>398</v>
      </c>
      <c r="Q22">
        <f ca="1">_xlfn.DAYS(TODAY(),M17)</f>
        <v>28917</v>
      </c>
    </row>
    <row r="23" spans="1:18" x14ac:dyDescent="0.25">
      <c r="A23" t="s">
        <v>538</v>
      </c>
      <c r="B23" s="76" t="str">
        <f>DOLLAR(C23)</f>
        <v>$100.00</v>
      </c>
      <c r="C23">
        <v>100</v>
      </c>
      <c r="G23">
        <f>FIND("m",G22)</f>
        <v>3</v>
      </c>
      <c r="H23">
        <f>FIND("A","Apple")</f>
        <v>1</v>
      </c>
    </row>
    <row r="24" spans="1:18" x14ac:dyDescent="0.25">
      <c r="A24" t="s">
        <v>539</v>
      </c>
      <c r="C24" t="b">
        <f>EXACT(G10,G13)</f>
        <v>0</v>
      </c>
      <c r="D24" t="b">
        <f>EXACT(G10,G11)</f>
        <v>1</v>
      </c>
      <c r="G24" t="b">
        <f>EXACT(G22,H22)</f>
        <v>0</v>
      </c>
      <c r="J24" t="s">
        <v>539</v>
      </c>
    </row>
    <row r="25" spans="1:18" x14ac:dyDescent="0.25">
      <c r="A25" t="s">
        <v>940</v>
      </c>
      <c r="B25" t="str">
        <f>INDEX(J32:J42,2)</f>
        <v>T001</v>
      </c>
    </row>
    <row r="26" spans="1:18" x14ac:dyDescent="0.25">
      <c r="A26" t="s">
        <v>540</v>
      </c>
      <c r="B26" t="str">
        <f>T(C16)</f>
        <v/>
      </c>
      <c r="C26" t="str">
        <f>T(C22)</f>
        <v>tushar</v>
      </c>
      <c r="G26" t="b">
        <f>EXACT(G22,K22)</f>
        <v>1</v>
      </c>
    </row>
    <row r="27" spans="1:18" ht="18.75" x14ac:dyDescent="0.3">
      <c r="A27" s="463" t="s">
        <v>835</v>
      </c>
      <c r="B27" s="463"/>
      <c r="C27" s="463"/>
    </row>
    <row r="28" spans="1:18" x14ac:dyDescent="0.25">
      <c r="A28" t="s">
        <v>541</v>
      </c>
      <c r="B28" s="6">
        <f ca="1">TODAY()</f>
        <v>46311</v>
      </c>
    </row>
    <row r="29" spans="1:18" x14ac:dyDescent="0.25">
      <c r="A29" t="s">
        <v>542</v>
      </c>
      <c r="B29" s="78">
        <f ca="1">NOW()</f>
        <v>46311.473964814817</v>
      </c>
      <c r="G29" t="str">
        <f>CHAR(35)</f>
        <v>#</v>
      </c>
      <c r="H29">
        <v>25</v>
      </c>
      <c r="J29" t="s">
        <v>529</v>
      </c>
    </row>
    <row r="30" spans="1:18" x14ac:dyDescent="0.25">
      <c r="A30" t="s">
        <v>543</v>
      </c>
      <c r="B30" s="6">
        <f>DATE(C30,D30,E30)</f>
        <v>46248</v>
      </c>
      <c r="C30">
        <v>2026</v>
      </c>
      <c r="D30">
        <v>8</v>
      </c>
      <c r="E30">
        <v>14</v>
      </c>
      <c r="G30" t="str">
        <f>CLEAN(K22)</f>
        <v>hemant</v>
      </c>
      <c r="H30" t="s">
        <v>398</v>
      </c>
      <c r="I30" t="str">
        <f>CLEAN(H30)</f>
        <v>hemant</v>
      </c>
      <c r="L30" t="s">
        <v>544</v>
      </c>
    </row>
    <row r="31" spans="1:18" x14ac:dyDescent="0.25">
      <c r="A31" t="s">
        <v>422</v>
      </c>
      <c r="B31" s="79">
        <f>TIME(C31,D31,E31)</f>
        <v>0.5034953703703704</v>
      </c>
      <c r="C31">
        <v>12</v>
      </c>
      <c r="D31">
        <v>5</v>
      </c>
      <c r="E31">
        <v>2</v>
      </c>
      <c r="L31" t="str">
        <f>CLEAN(L30)</f>
        <v>HEMANT   SAHI</v>
      </c>
    </row>
    <row r="32" spans="1:18" x14ac:dyDescent="0.25">
      <c r="A32" t="s">
        <v>545</v>
      </c>
      <c r="B32">
        <f>WEEKDAY(C32,2)</f>
        <v>5</v>
      </c>
      <c r="C32" s="80">
        <v>46248</v>
      </c>
      <c r="J32" s="71" t="s">
        <v>583</v>
      </c>
      <c r="L32" t="str">
        <f>TRIM(L30)</f>
        <v>HEMANT SAHI</v>
      </c>
    </row>
    <row r="33" spans="1:10" x14ac:dyDescent="0.25">
      <c r="A33" t="s">
        <v>426</v>
      </c>
      <c r="B33" t="str">
        <f>TEXT(C32,"mm-dd-yyyy")</f>
        <v>08-14-2026</v>
      </c>
      <c r="J33" s="72" t="s">
        <v>744</v>
      </c>
    </row>
    <row r="34" spans="1:10" x14ac:dyDescent="0.25">
      <c r="A34" t="s">
        <v>831</v>
      </c>
      <c r="B34" s="6">
        <v>44998</v>
      </c>
      <c r="C34" s="7">
        <f>DATEVALUE("1-9-2008")</f>
        <v>39456</v>
      </c>
      <c r="J34" s="72" t="s">
        <v>746</v>
      </c>
    </row>
    <row r="35" spans="1:10" x14ac:dyDescent="0.25">
      <c r="A35" t="s">
        <v>833</v>
      </c>
      <c r="B35" s="7">
        <f ca="1">EDATE(B28,C35)</f>
        <v>46342</v>
      </c>
      <c r="C35">
        <v>1</v>
      </c>
      <c r="J35" s="72" t="s">
        <v>748</v>
      </c>
    </row>
    <row r="36" spans="1:10" x14ac:dyDescent="0.25">
      <c r="A36" t="s">
        <v>834</v>
      </c>
      <c r="B36" s="7">
        <f>EOMONTH(B30,C35)</f>
        <v>46295</v>
      </c>
      <c r="J36" s="72" t="s">
        <v>750</v>
      </c>
    </row>
    <row r="37" spans="1:10" x14ac:dyDescent="0.25">
      <c r="J37" s="72" t="s">
        <v>752</v>
      </c>
    </row>
    <row r="38" spans="1:10" ht="18.75" x14ac:dyDescent="0.3">
      <c r="A38" s="464" t="s">
        <v>912</v>
      </c>
      <c r="B38" s="464"/>
      <c r="C38" s="464"/>
      <c r="J38" s="72" t="s">
        <v>753</v>
      </c>
    </row>
    <row r="39" spans="1:10" x14ac:dyDescent="0.25">
      <c r="A39" t="s">
        <v>896</v>
      </c>
      <c r="B39">
        <f>COS(0)</f>
        <v>1</v>
      </c>
      <c r="J39" s="72" t="s">
        <v>754</v>
      </c>
    </row>
    <row r="40" spans="1:10" x14ac:dyDescent="0.25">
      <c r="A40" t="s">
        <v>897</v>
      </c>
      <c r="B40">
        <f>SIN(0)</f>
        <v>0</v>
      </c>
      <c r="J40" s="72" t="s">
        <v>755</v>
      </c>
    </row>
    <row r="41" spans="1:10" x14ac:dyDescent="0.25">
      <c r="A41" t="s">
        <v>898</v>
      </c>
      <c r="B41">
        <f>TAN(1)</f>
        <v>1.5574077246549023</v>
      </c>
      <c r="J41" s="72" t="s">
        <v>756</v>
      </c>
    </row>
    <row r="42" spans="1:10" x14ac:dyDescent="0.25">
      <c r="A42" t="s">
        <v>899</v>
      </c>
      <c r="B42">
        <f>_xlfn.COT(45)</f>
        <v>0.61736962378355509</v>
      </c>
      <c r="J42" s="72" t="s">
        <v>757</v>
      </c>
    </row>
    <row r="43" spans="1:10" x14ac:dyDescent="0.25">
      <c r="A43" t="s">
        <v>900</v>
      </c>
      <c r="B43">
        <f>_xlfn.SEC(1)</f>
        <v>1.8508157176809255</v>
      </c>
    </row>
    <row r="44" spans="1:10" x14ac:dyDescent="0.25">
      <c r="A44" t="s">
        <v>913</v>
      </c>
      <c r="B44">
        <f>_xlfn.CSC(2)</f>
        <v>1.0997501702946164</v>
      </c>
    </row>
    <row r="45" spans="1:10" x14ac:dyDescent="0.25">
      <c r="A45" t="s">
        <v>901</v>
      </c>
      <c r="B45">
        <f>FACT(5)</f>
        <v>120</v>
      </c>
    </row>
    <row r="46" spans="1:10" x14ac:dyDescent="0.25">
      <c r="A46" t="s">
        <v>902</v>
      </c>
      <c r="B46">
        <f>FACTDOUBLE(5)</f>
        <v>15</v>
      </c>
    </row>
    <row r="47" spans="1:10" x14ac:dyDescent="0.25">
      <c r="A47" t="s">
        <v>903</v>
      </c>
      <c r="B47">
        <f>LCM(144)</f>
        <v>144</v>
      </c>
    </row>
    <row r="48" spans="1:10" x14ac:dyDescent="0.25">
      <c r="A48" t="s">
        <v>904</v>
      </c>
      <c r="B48">
        <f>MOD(139,2)</f>
        <v>1</v>
      </c>
    </row>
    <row r="49" spans="1:2" x14ac:dyDescent="0.25">
      <c r="A49" t="s">
        <v>905</v>
      </c>
      <c r="B49" s="88">
        <f>PI()</f>
        <v>3.1415926535897931</v>
      </c>
    </row>
    <row r="50" spans="1:2" x14ac:dyDescent="0.25">
      <c r="A50" t="s">
        <v>906</v>
      </c>
      <c r="B50">
        <f>POWER(12,2)</f>
        <v>144</v>
      </c>
    </row>
    <row r="51" spans="1:2" x14ac:dyDescent="0.25">
      <c r="A51" t="s">
        <v>473</v>
      </c>
      <c r="B51">
        <f>PRODUCT(2,2)</f>
        <v>4</v>
      </c>
    </row>
    <row r="52" spans="1:2" x14ac:dyDescent="0.25">
      <c r="A52" t="s">
        <v>907</v>
      </c>
      <c r="B52">
        <f ca="1">RAND()</f>
        <v>0.85350868939938329</v>
      </c>
    </row>
    <row r="53" spans="1:2" x14ac:dyDescent="0.25">
      <c r="A53" t="s">
        <v>908</v>
      </c>
      <c r="B53">
        <f>SIGN(-3)</f>
        <v>-1</v>
      </c>
    </row>
    <row r="54" spans="1:2" x14ac:dyDescent="0.25">
      <c r="A54" t="s">
        <v>909</v>
      </c>
      <c r="B54">
        <f>SQRT(25)</f>
        <v>5</v>
      </c>
    </row>
    <row r="55" spans="1:2" x14ac:dyDescent="0.25">
      <c r="A55" t="s">
        <v>910</v>
      </c>
      <c r="B55">
        <f>SQRTPI(2)</f>
        <v>2.5066282746310002</v>
      </c>
    </row>
    <row r="56" spans="1:2" x14ac:dyDescent="0.25">
      <c r="A56" t="s">
        <v>911</v>
      </c>
      <c r="B56">
        <f>LOG(18,10)</f>
        <v>1.2552725051033058</v>
      </c>
    </row>
    <row r="57" spans="1:2" x14ac:dyDescent="0.25">
      <c r="A57" t="s">
        <v>954</v>
      </c>
      <c r="B57" t="str">
        <f ca="1">IF(RANDBETWEEN(1,10)&lt;=7, "P", "R")</f>
        <v>P</v>
      </c>
    </row>
  </sheetData>
  <mergeCells count="3">
    <mergeCell ref="A1:D1"/>
    <mergeCell ref="A27:C27"/>
    <mergeCell ref="A38:C38"/>
  </mergeCells>
  <hyperlinks>
    <hyperlink ref="J10" r:id="rId1" xr:uid="{C3FD7B2D-1FF2-44E1-A755-0671766207D2}"/>
    <hyperlink ref="J11" r:id="rId2" xr:uid="{F34B0564-E99B-43FA-9270-A03B41A6AAA9}"/>
    <hyperlink ref="J13" r:id="rId3" xr:uid="{06F90025-60EF-4D36-B964-31A5A427B066}"/>
    <hyperlink ref="J14" r:id="rId4" xr:uid="{D1C6DDD3-F91F-444C-8F4C-0FCF6DE1A3FB}"/>
    <hyperlink ref="J12" r:id="rId5" xr:uid="{4226ECE2-C066-4FE6-B3D7-985FCBCEDC5A}"/>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9744E-0C0F-43D9-9F38-D587863558BB}">
  <sheetPr codeName="Sheet11"/>
  <dimension ref="A1:AW41"/>
  <sheetViews>
    <sheetView workbookViewId="0">
      <selection activeCell="I20" sqref="I20"/>
    </sheetView>
  </sheetViews>
  <sheetFormatPr defaultRowHeight="15" x14ac:dyDescent="0.25"/>
  <cols>
    <col min="1" max="1" width="4.7109375" bestFit="1" customWidth="1"/>
    <col min="2" max="2" width="7.85546875" bestFit="1" customWidth="1"/>
    <col min="3" max="3" width="10.42578125" bestFit="1" customWidth="1"/>
    <col min="4" max="4" width="11.28515625" bestFit="1" customWidth="1"/>
    <col min="5" max="5" width="4.140625" bestFit="1" customWidth="1"/>
    <col min="7" max="8" width="10.42578125" bestFit="1" customWidth="1"/>
    <col min="9" max="9" width="11.28515625" bestFit="1" customWidth="1"/>
    <col min="10" max="10" width="4.140625" bestFit="1" customWidth="1"/>
    <col min="12" max="12" width="13.140625" bestFit="1" customWidth="1"/>
    <col min="13" max="13" width="16.28515625" bestFit="1" customWidth="1"/>
    <col min="14" max="14" width="10.85546875" bestFit="1" customWidth="1"/>
    <col min="15" max="15" width="8.5703125" bestFit="1" customWidth="1"/>
    <col min="16" max="16" width="11.5703125" bestFit="1" customWidth="1"/>
    <col min="17" max="17" width="8.140625" bestFit="1" customWidth="1"/>
    <col min="18" max="18" width="11.140625" bestFit="1" customWidth="1"/>
    <col min="19" max="19" width="8" bestFit="1" customWidth="1"/>
    <col min="20" max="20" width="11" bestFit="1" customWidth="1"/>
    <col min="21" max="21" width="7.5703125" bestFit="1" customWidth="1"/>
    <col min="22" max="22" width="10.5703125" bestFit="1" customWidth="1"/>
    <col min="23" max="23" width="7.7109375" bestFit="1" customWidth="1"/>
    <col min="24" max="24" width="10.7109375" bestFit="1" customWidth="1"/>
    <col min="25" max="25" width="8.140625" bestFit="1" customWidth="1"/>
    <col min="26" max="26" width="11.140625" bestFit="1" customWidth="1"/>
    <col min="27" max="27" width="9.5703125" bestFit="1" customWidth="1"/>
    <col min="28" max="28" width="12.5703125" bestFit="1" customWidth="1"/>
    <col min="29" max="29" width="7.85546875" bestFit="1" customWidth="1"/>
    <col min="30" max="30" width="10.85546875" bestFit="1" customWidth="1"/>
    <col min="31" max="31" width="9.42578125" bestFit="1" customWidth="1"/>
    <col min="32" max="32" width="12.42578125" bestFit="1" customWidth="1"/>
    <col min="33" max="33" width="9.7109375" bestFit="1" customWidth="1"/>
    <col min="34" max="34" width="12.7109375" bestFit="1" customWidth="1"/>
    <col min="35" max="35" width="7.85546875" bestFit="1" customWidth="1"/>
    <col min="36" max="36" width="10.85546875" bestFit="1" customWidth="1"/>
    <col min="37" max="37" width="8.42578125" bestFit="1" customWidth="1"/>
    <col min="38" max="38" width="11.42578125" bestFit="1" customWidth="1"/>
    <col min="39" max="39" width="7" bestFit="1" customWidth="1"/>
    <col min="40" max="40" width="10" bestFit="1" customWidth="1"/>
    <col min="41" max="41" width="8.42578125" bestFit="1" customWidth="1"/>
    <col min="42" max="42" width="11.42578125" bestFit="1" customWidth="1"/>
    <col min="43" max="43" width="8.140625" bestFit="1" customWidth="1"/>
    <col min="44" max="44" width="11.140625" bestFit="1" customWidth="1"/>
    <col min="45" max="45" width="9.140625" bestFit="1" customWidth="1"/>
    <col min="46" max="46" width="12.140625" bestFit="1" customWidth="1"/>
    <col min="47" max="47" width="8.85546875" bestFit="1" customWidth="1"/>
    <col min="48" max="48" width="11.85546875" bestFit="1" customWidth="1"/>
    <col min="49" max="49" width="11.28515625" bestFit="1" customWidth="1"/>
  </cols>
  <sheetData>
    <row r="1" spans="1:49" x14ac:dyDescent="0.25">
      <c r="A1" s="465" t="s">
        <v>546</v>
      </c>
      <c r="B1" s="465"/>
      <c r="C1" s="465"/>
      <c r="D1" s="465"/>
      <c r="E1" s="465"/>
      <c r="L1" s="30" t="s">
        <v>917</v>
      </c>
      <c r="M1" s="30" t="s">
        <v>15</v>
      </c>
    </row>
    <row r="2" spans="1:49" x14ac:dyDescent="0.25">
      <c r="A2" s="83" t="s">
        <v>547</v>
      </c>
      <c r="B2" s="83" t="s">
        <v>548</v>
      </c>
      <c r="C2" s="83" t="s">
        <v>549</v>
      </c>
      <c r="D2" s="83" t="s">
        <v>550</v>
      </c>
      <c r="E2" s="83" t="s">
        <v>551</v>
      </c>
      <c r="G2" s="83" t="s">
        <v>548</v>
      </c>
      <c r="H2" s="83" t="s">
        <v>549</v>
      </c>
      <c r="I2" s="83" t="s">
        <v>550</v>
      </c>
      <c r="J2" s="83" t="s">
        <v>551</v>
      </c>
      <c r="M2" s="50" t="s">
        <v>85</v>
      </c>
      <c r="N2" s="50" t="s">
        <v>922</v>
      </c>
      <c r="O2" s="50" t="s">
        <v>98</v>
      </c>
      <c r="P2" s="50" t="s">
        <v>923</v>
      </c>
      <c r="Q2" s="50" t="s">
        <v>159</v>
      </c>
      <c r="R2" s="50" t="s">
        <v>924</v>
      </c>
      <c r="S2" s="50" t="s">
        <v>129</v>
      </c>
      <c r="T2" s="50" t="s">
        <v>925</v>
      </c>
      <c r="U2" s="50" t="s">
        <v>153</v>
      </c>
      <c r="V2" s="50" t="s">
        <v>926</v>
      </c>
      <c r="W2" s="50" t="s">
        <v>104</v>
      </c>
      <c r="X2" s="50" t="s">
        <v>927</v>
      </c>
      <c r="Y2" s="50" t="s">
        <v>79</v>
      </c>
      <c r="Z2" s="50" t="s">
        <v>928</v>
      </c>
      <c r="AA2" s="50" t="s">
        <v>166</v>
      </c>
      <c r="AB2" s="50" t="s">
        <v>929</v>
      </c>
      <c r="AC2" s="50" t="s">
        <v>135</v>
      </c>
      <c r="AD2" s="50" t="s">
        <v>930</v>
      </c>
      <c r="AE2" s="50" t="s">
        <v>111</v>
      </c>
      <c r="AF2" s="50" t="s">
        <v>931</v>
      </c>
      <c r="AG2" s="50" t="s">
        <v>73</v>
      </c>
      <c r="AH2" s="50" t="s">
        <v>932</v>
      </c>
      <c r="AI2" s="50" t="s">
        <v>124</v>
      </c>
      <c r="AJ2" s="50" t="s">
        <v>933</v>
      </c>
      <c r="AK2" s="50" t="s">
        <v>117</v>
      </c>
      <c r="AL2" s="50" t="s">
        <v>934</v>
      </c>
      <c r="AM2" s="50" t="s">
        <v>66</v>
      </c>
      <c r="AN2" s="50" t="s">
        <v>935</v>
      </c>
      <c r="AO2" s="50" t="s">
        <v>57</v>
      </c>
      <c r="AP2" s="50" t="s">
        <v>936</v>
      </c>
      <c r="AQ2" s="50" t="s">
        <v>142</v>
      </c>
      <c r="AR2" s="50" t="s">
        <v>937</v>
      </c>
      <c r="AS2" s="50" t="s">
        <v>148</v>
      </c>
      <c r="AT2" s="50" t="s">
        <v>938</v>
      </c>
      <c r="AU2" s="50" t="s">
        <v>92</v>
      </c>
      <c r="AV2" s="50" t="s">
        <v>939</v>
      </c>
      <c r="AW2" s="50" t="s">
        <v>21</v>
      </c>
    </row>
    <row r="3" spans="1:49" x14ac:dyDescent="0.25">
      <c r="A3" s="83">
        <v>1</v>
      </c>
      <c r="B3" s="20" t="s">
        <v>57</v>
      </c>
      <c r="C3" s="14">
        <v>39692</v>
      </c>
      <c r="D3" s="14">
        <v>46204</v>
      </c>
      <c r="E3" s="1">
        <f>INT(YEARFRAC(C3,D3))</f>
        <v>17</v>
      </c>
      <c r="G3" s="20" t="s">
        <v>73</v>
      </c>
      <c r="H3" s="73" cm="1">
        <f t="array" ref="H3:J3">VLOOKUP(G3,B2:E20,{2,3,4},0)</f>
        <v>39563</v>
      </c>
      <c r="I3" s="73">
        <v>46204</v>
      </c>
      <c r="J3" s="20">
        <v>18</v>
      </c>
      <c r="M3" s="50" t="s">
        <v>914</v>
      </c>
      <c r="N3" s="50"/>
      <c r="O3" s="50" t="s">
        <v>915</v>
      </c>
      <c r="P3" s="50"/>
      <c r="Q3" s="50" t="s">
        <v>914</v>
      </c>
      <c r="R3" s="50"/>
      <c r="S3" s="50" t="s">
        <v>915</v>
      </c>
      <c r="T3" s="50"/>
      <c r="U3" s="50" t="s">
        <v>916</v>
      </c>
      <c r="V3" s="50"/>
      <c r="W3" s="50" t="s">
        <v>915</v>
      </c>
      <c r="X3" s="50"/>
      <c r="Y3" s="50" t="s">
        <v>915</v>
      </c>
      <c r="Z3" s="50"/>
      <c r="AA3" s="50" t="s">
        <v>916</v>
      </c>
      <c r="AB3" s="50"/>
      <c r="AC3" s="50" t="s">
        <v>916</v>
      </c>
      <c r="AD3" s="50"/>
      <c r="AE3" s="50" t="s">
        <v>915</v>
      </c>
      <c r="AF3" s="50"/>
      <c r="AG3" s="50" t="s">
        <v>914</v>
      </c>
      <c r="AH3" s="50"/>
      <c r="AI3" s="50" t="s">
        <v>914</v>
      </c>
      <c r="AJ3" s="50"/>
      <c r="AK3" s="50" t="s">
        <v>914</v>
      </c>
      <c r="AL3" s="50"/>
      <c r="AM3" s="50" t="s">
        <v>915</v>
      </c>
      <c r="AN3" s="50"/>
      <c r="AO3" s="50" t="s">
        <v>914</v>
      </c>
      <c r="AP3" s="50"/>
      <c r="AQ3" s="50" t="s">
        <v>914</v>
      </c>
      <c r="AR3" s="50"/>
      <c r="AS3" s="50" t="s">
        <v>915</v>
      </c>
      <c r="AT3" s="50"/>
      <c r="AU3" s="50" t="s">
        <v>915</v>
      </c>
      <c r="AV3" s="50"/>
      <c r="AW3" s="50"/>
    </row>
    <row r="4" spans="1:49" x14ac:dyDescent="0.25">
      <c r="A4" s="83">
        <v>2</v>
      </c>
      <c r="B4" s="20" t="s">
        <v>66</v>
      </c>
      <c r="C4" s="14">
        <v>39268</v>
      </c>
      <c r="D4" s="14">
        <v>46204</v>
      </c>
      <c r="E4" s="1">
        <f t="shared" ref="E4:E20" si="0">INT(YEARFRAC(C4,D4))</f>
        <v>18</v>
      </c>
      <c r="L4" s="30" t="s">
        <v>17</v>
      </c>
      <c r="N4" s="50"/>
      <c r="P4" s="50"/>
      <c r="R4" s="50"/>
      <c r="T4" s="50"/>
      <c r="V4" s="50"/>
      <c r="X4" s="50"/>
      <c r="Z4" s="50"/>
      <c r="AB4" s="50"/>
      <c r="AD4" s="50"/>
      <c r="AF4" s="50"/>
      <c r="AH4" s="50"/>
      <c r="AJ4" s="50"/>
      <c r="AL4" s="50"/>
      <c r="AN4" s="50"/>
      <c r="AP4" s="50"/>
      <c r="AR4" s="50"/>
      <c r="AT4" s="50"/>
      <c r="AV4" s="50"/>
      <c r="AW4" s="50"/>
    </row>
    <row r="5" spans="1:49" x14ac:dyDescent="0.25">
      <c r="A5" s="83">
        <v>3</v>
      </c>
      <c r="B5" s="20" t="s">
        <v>73</v>
      </c>
      <c r="C5" s="14">
        <v>39563</v>
      </c>
      <c r="D5" s="14">
        <v>46204</v>
      </c>
      <c r="E5" s="1">
        <f t="shared" si="0"/>
        <v>18</v>
      </c>
      <c r="G5" s="6"/>
      <c r="L5" s="89">
        <v>38861</v>
      </c>
      <c r="M5" s="50"/>
      <c r="N5" s="50"/>
      <c r="O5" s="50"/>
      <c r="P5" s="50"/>
      <c r="Q5" s="50"/>
      <c r="R5" s="50"/>
      <c r="S5" s="50"/>
      <c r="T5" s="50"/>
      <c r="U5" s="50">
        <v>20</v>
      </c>
      <c r="V5" s="50">
        <v>20</v>
      </c>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v>20</v>
      </c>
    </row>
    <row r="6" spans="1:49" x14ac:dyDescent="0.25">
      <c r="A6" s="83">
        <v>4</v>
      </c>
      <c r="B6" s="20" t="s">
        <v>79</v>
      </c>
      <c r="C6" s="14">
        <v>39205</v>
      </c>
      <c r="D6" s="14">
        <v>46204</v>
      </c>
      <c r="E6" s="1">
        <f t="shared" si="0"/>
        <v>19</v>
      </c>
      <c r="L6" s="32" t="s">
        <v>919</v>
      </c>
      <c r="M6" s="50"/>
      <c r="N6" s="50"/>
      <c r="O6" s="50"/>
      <c r="P6" s="50"/>
      <c r="Q6" s="50"/>
      <c r="R6" s="50"/>
      <c r="S6" s="50"/>
      <c r="T6" s="50"/>
      <c r="U6" s="50">
        <v>20</v>
      </c>
      <c r="V6" s="50">
        <v>20</v>
      </c>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v>20</v>
      </c>
    </row>
    <row r="7" spans="1:49" x14ac:dyDescent="0.25">
      <c r="A7" s="83">
        <v>5</v>
      </c>
      <c r="B7" s="20" t="s">
        <v>85</v>
      </c>
      <c r="C7" s="14">
        <v>39696</v>
      </c>
      <c r="D7" s="14">
        <v>46204</v>
      </c>
      <c r="E7" s="1">
        <f t="shared" si="0"/>
        <v>17</v>
      </c>
      <c r="G7" s="1">
        <v>18</v>
      </c>
      <c r="L7" s="89">
        <v>38950</v>
      </c>
      <c r="M7" s="50"/>
      <c r="N7" s="50"/>
      <c r="O7" s="50"/>
      <c r="P7" s="50"/>
      <c r="Q7" s="50"/>
      <c r="R7" s="50"/>
      <c r="S7" s="50"/>
      <c r="T7" s="50"/>
      <c r="U7" s="50"/>
      <c r="V7" s="50"/>
      <c r="W7" s="50"/>
      <c r="X7" s="50"/>
      <c r="Y7" s="50"/>
      <c r="Z7" s="50"/>
      <c r="AA7" s="50">
        <v>19</v>
      </c>
      <c r="AB7" s="50">
        <v>19</v>
      </c>
      <c r="AC7" s="50"/>
      <c r="AD7" s="50"/>
      <c r="AE7" s="50"/>
      <c r="AF7" s="50"/>
      <c r="AG7" s="50"/>
      <c r="AH7" s="50"/>
      <c r="AI7" s="50"/>
      <c r="AJ7" s="50"/>
      <c r="AK7" s="50"/>
      <c r="AL7" s="50"/>
      <c r="AM7" s="50"/>
      <c r="AN7" s="50"/>
      <c r="AO7" s="50"/>
      <c r="AP7" s="50"/>
      <c r="AQ7" s="50"/>
      <c r="AR7" s="50"/>
      <c r="AS7" s="50"/>
      <c r="AT7" s="50"/>
      <c r="AU7" s="50"/>
      <c r="AV7" s="50"/>
      <c r="AW7" s="50">
        <v>19</v>
      </c>
    </row>
    <row r="8" spans="1:49" x14ac:dyDescent="0.25">
      <c r="A8" s="83">
        <v>6</v>
      </c>
      <c r="B8" s="20" t="s">
        <v>92</v>
      </c>
      <c r="C8" s="14">
        <v>39433</v>
      </c>
      <c r="D8" s="14">
        <v>46204</v>
      </c>
      <c r="E8" s="1">
        <f t="shared" si="0"/>
        <v>18</v>
      </c>
      <c r="L8" s="32" t="s">
        <v>920</v>
      </c>
      <c r="M8" s="50"/>
      <c r="N8" s="50"/>
      <c r="O8" s="50"/>
      <c r="P8" s="50"/>
      <c r="Q8" s="50"/>
      <c r="R8" s="50"/>
      <c r="S8" s="50"/>
      <c r="T8" s="50"/>
      <c r="U8" s="50"/>
      <c r="V8" s="50"/>
      <c r="W8" s="50"/>
      <c r="X8" s="50"/>
      <c r="Y8" s="50"/>
      <c r="Z8" s="50"/>
      <c r="AA8" s="50">
        <v>19</v>
      </c>
      <c r="AB8" s="50">
        <v>19</v>
      </c>
      <c r="AC8" s="50"/>
      <c r="AD8" s="50"/>
      <c r="AE8" s="50"/>
      <c r="AF8" s="50"/>
      <c r="AG8" s="50"/>
      <c r="AH8" s="50"/>
      <c r="AI8" s="50"/>
      <c r="AJ8" s="50"/>
      <c r="AK8" s="50"/>
      <c r="AL8" s="50"/>
      <c r="AM8" s="50"/>
      <c r="AN8" s="50"/>
      <c r="AO8" s="50"/>
      <c r="AP8" s="50"/>
      <c r="AQ8" s="50"/>
      <c r="AR8" s="50"/>
      <c r="AS8" s="50"/>
      <c r="AT8" s="50"/>
      <c r="AU8" s="50"/>
      <c r="AV8" s="50"/>
      <c r="AW8" s="50">
        <v>19</v>
      </c>
    </row>
    <row r="9" spans="1:49" x14ac:dyDescent="0.25">
      <c r="A9" s="83">
        <v>7</v>
      </c>
      <c r="B9" s="20" t="s">
        <v>98</v>
      </c>
      <c r="C9" s="14">
        <v>39447</v>
      </c>
      <c r="D9" s="14">
        <v>46204</v>
      </c>
      <c r="E9" s="1">
        <f t="shared" si="0"/>
        <v>18</v>
      </c>
      <c r="L9" s="89">
        <v>39076</v>
      </c>
      <c r="M9" s="50"/>
      <c r="N9" s="50"/>
      <c r="O9" s="50"/>
      <c r="P9" s="50"/>
      <c r="Q9" s="50"/>
      <c r="R9" s="50"/>
      <c r="S9" s="50"/>
      <c r="T9" s="50"/>
      <c r="U9" s="50"/>
      <c r="V9" s="50"/>
      <c r="W9" s="50"/>
      <c r="X9" s="50"/>
      <c r="Y9" s="50"/>
      <c r="Z9" s="50"/>
      <c r="AA9" s="50"/>
      <c r="AB9" s="50"/>
      <c r="AC9" s="50">
        <v>19</v>
      </c>
      <c r="AD9" s="50">
        <v>19</v>
      </c>
      <c r="AE9" s="50"/>
      <c r="AF9" s="50"/>
      <c r="AG9" s="50"/>
      <c r="AH9" s="50"/>
      <c r="AI9" s="50"/>
      <c r="AJ9" s="50"/>
      <c r="AK9" s="50"/>
      <c r="AL9" s="50"/>
      <c r="AM9" s="50"/>
      <c r="AN9" s="50"/>
      <c r="AO9" s="50"/>
      <c r="AP9" s="50"/>
      <c r="AQ9" s="50"/>
      <c r="AR9" s="50"/>
      <c r="AS9" s="50"/>
      <c r="AT9" s="50"/>
      <c r="AU9" s="50"/>
      <c r="AV9" s="50"/>
      <c r="AW9" s="50">
        <v>19</v>
      </c>
    </row>
    <row r="10" spans="1:49" x14ac:dyDescent="0.25">
      <c r="A10" s="83">
        <v>8</v>
      </c>
      <c r="B10" s="20" t="s">
        <v>104</v>
      </c>
      <c r="C10" s="14">
        <v>39161</v>
      </c>
      <c r="D10" s="14">
        <v>46204</v>
      </c>
      <c r="E10" s="1">
        <f t="shared" si="0"/>
        <v>19</v>
      </c>
      <c r="L10" s="32" t="s">
        <v>921</v>
      </c>
      <c r="M10" s="50"/>
      <c r="N10" s="50"/>
      <c r="O10" s="50"/>
      <c r="P10" s="50"/>
      <c r="Q10" s="50"/>
      <c r="R10" s="50"/>
      <c r="S10" s="50"/>
      <c r="T10" s="50"/>
      <c r="U10" s="50"/>
      <c r="V10" s="50"/>
      <c r="W10" s="50"/>
      <c r="X10" s="50"/>
      <c r="Y10" s="50"/>
      <c r="Z10" s="50"/>
      <c r="AA10" s="50"/>
      <c r="AB10" s="50"/>
      <c r="AC10" s="50">
        <v>19</v>
      </c>
      <c r="AD10" s="50">
        <v>19</v>
      </c>
      <c r="AE10" s="50"/>
      <c r="AF10" s="50"/>
      <c r="AG10" s="50"/>
      <c r="AH10" s="50"/>
      <c r="AI10" s="50"/>
      <c r="AJ10" s="50"/>
      <c r="AK10" s="50"/>
      <c r="AL10" s="50"/>
      <c r="AM10" s="50"/>
      <c r="AN10" s="50"/>
      <c r="AO10" s="50"/>
      <c r="AP10" s="50"/>
      <c r="AQ10" s="50"/>
      <c r="AR10" s="50"/>
      <c r="AS10" s="50"/>
      <c r="AT10" s="50"/>
      <c r="AU10" s="50"/>
      <c r="AV10" s="50"/>
      <c r="AW10" s="50">
        <v>19</v>
      </c>
    </row>
    <row r="11" spans="1:49" x14ac:dyDescent="0.25">
      <c r="A11" s="83">
        <v>9</v>
      </c>
      <c r="B11" s="20" t="s">
        <v>111</v>
      </c>
      <c r="C11" s="14">
        <v>39309</v>
      </c>
      <c r="D11" s="14">
        <v>46204</v>
      </c>
      <c r="E11" s="1">
        <f t="shared" si="0"/>
        <v>18</v>
      </c>
      <c r="L11" s="89">
        <v>39161</v>
      </c>
      <c r="M11" s="50"/>
      <c r="N11" s="50"/>
      <c r="O11" s="50"/>
      <c r="P11" s="50"/>
      <c r="Q11" s="50"/>
      <c r="R11" s="50"/>
      <c r="S11" s="50"/>
      <c r="T11" s="50"/>
      <c r="U11" s="50"/>
      <c r="V11" s="50"/>
      <c r="W11" s="50">
        <v>19</v>
      </c>
      <c r="X11" s="50">
        <v>19</v>
      </c>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v>19</v>
      </c>
    </row>
    <row r="12" spans="1:49" x14ac:dyDescent="0.25">
      <c r="A12" s="83">
        <v>10</v>
      </c>
      <c r="B12" s="20" t="s">
        <v>117</v>
      </c>
      <c r="C12" s="14">
        <v>39583</v>
      </c>
      <c r="D12" s="14">
        <v>46204</v>
      </c>
      <c r="E12" s="1">
        <f t="shared" si="0"/>
        <v>18</v>
      </c>
      <c r="L12" s="32" t="s">
        <v>918</v>
      </c>
      <c r="M12" s="50"/>
      <c r="N12" s="50"/>
      <c r="O12" s="50"/>
      <c r="P12" s="50"/>
      <c r="Q12" s="50"/>
      <c r="R12" s="50"/>
      <c r="S12" s="50"/>
      <c r="T12" s="50"/>
      <c r="U12" s="50"/>
      <c r="V12" s="50"/>
      <c r="W12" s="50">
        <v>19</v>
      </c>
      <c r="X12" s="50">
        <v>19</v>
      </c>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v>19</v>
      </c>
    </row>
    <row r="13" spans="1:49" x14ac:dyDescent="0.25">
      <c r="A13" s="83">
        <v>11</v>
      </c>
      <c r="B13" s="20" t="s">
        <v>124</v>
      </c>
      <c r="C13" s="14">
        <v>39604</v>
      </c>
      <c r="D13" s="14">
        <v>46204</v>
      </c>
      <c r="E13" s="1">
        <f t="shared" si="0"/>
        <v>18</v>
      </c>
      <c r="L13" s="89">
        <v>39205</v>
      </c>
      <c r="M13" s="50"/>
      <c r="N13" s="50"/>
      <c r="O13" s="50"/>
      <c r="P13" s="50"/>
      <c r="Q13" s="50"/>
      <c r="R13" s="50"/>
      <c r="S13" s="50"/>
      <c r="T13" s="50"/>
      <c r="U13" s="50"/>
      <c r="V13" s="50"/>
      <c r="W13" s="50"/>
      <c r="X13" s="50"/>
      <c r="Y13" s="50">
        <v>19</v>
      </c>
      <c r="Z13" s="50">
        <v>19</v>
      </c>
      <c r="AA13" s="50"/>
      <c r="AB13" s="50"/>
      <c r="AC13" s="50"/>
      <c r="AD13" s="50"/>
      <c r="AE13" s="50"/>
      <c r="AF13" s="50"/>
      <c r="AG13" s="50"/>
      <c r="AH13" s="50"/>
      <c r="AI13" s="50"/>
      <c r="AJ13" s="50"/>
      <c r="AK13" s="50"/>
      <c r="AL13" s="50"/>
      <c r="AM13" s="50"/>
      <c r="AN13" s="50"/>
      <c r="AO13" s="50"/>
      <c r="AP13" s="50"/>
      <c r="AQ13" s="50"/>
      <c r="AR13" s="50"/>
      <c r="AS13" s="50"/>
      <c r="AT13" s="50"/>
      <c r="AU13" s="50"/>
      <c r="AV13" s="50"/>
      <c r="AW13" s="50">
        <v>19</v>
      </c>
    </row>
    <row r="14" spans="1:49" x14ac:dyDescent="0.25">
      <c r="A14" s="83">
        <v>12</v>
      </c>
      <c r="B14" s="20" t="s">
        <v>129</v>
      </c>
      <c r="C14" s="14">
        <v>39278</v>
      </c>
      <c r="D14" s="14">
        <v>46204</v>
      </c>
      <c r="E14" s="1">
        <f t="shared" si="0"/>
        <v>18</v>
      </c>
      <c r="L14" s="32" t="s">
        <v>919</v>
      </c>
      <c r="M14" s="50"/>
      <c r="N14" s="50"/>
      <c r="O14" s="50"/>
      <c r="P14" s="50"/>
      <c r="Q14" s="50"/>
      <c r="R14" s="50"/>
      <c r="S14" s="50"/>
      <c r="T14" s="50"/>
      <c r="U14" s="50"/>
      <c r="V14" s="50"/>
      <c r="W14" s="50"/>
      <c r="X14" s="50"/>
      <c r="Y14" s="50">
        <v>19</v>
      </c>
      <c r="Z14" s="50">
        <v>19</v>
      </c>
      <c r="AA14" s="50"/>
      <c r="AB14" s="50"/>
      <c r="AC14" s="50"/>
      <c r="AD14" s="50"/>
      <c r="AE14" s="50"/>
      <c r="AF14" s="50"/>
      <c r="AG14" s="50"/>
      <c r="AH14" s="50"/>
      <c r="AI14" s="50"/>
      <c r="AJ14" s="50"/>
      <c r="AK14" s="50"/>
      <c r="AL14" s="50"/>
      <c r="AM14" s="50"/>
      <c r="AN14" s="50"/>
      <c r="AO14" s="50"/>
      <c r="AP14" s="50"/>
      <c r="AQ14" s="50"/>
      <c r="AR14" s="50"/>
      <c r="AS14" s="50"/>
      <c r="AT14" s="50"/>
      <c r="AU14" s="50"/>
      <c r="AV14" s="50"/>
      <c r="AW14" s="50">
        <v>19</v>
      </c>
    </row>
    <row r="15" spans="1:49" x14ac:dyDescent="0.25">
      <c r="A15" s="83">
        <v>13</v>
      </c>
      <c r="B15" s="20" t="s">
        <v>135</v>
      </c>
      <c r="C15" s="14">
        <v>39076</v>
      </c>
      <c r="D15" s="14">
        <v>46204</v>
      </c>
      <c r="E15" s="1">
        <f t="shared" si="0"/>
        <v>19</v>
      </c>
      <c r="L15" s="89">
        <v>39268</v>
      </c>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v>18</v>
      </c>
      <c r="AN15" s="50">
        <v>18</v>
      </c>
      <c r="AO15" s="50"/>
      <c r="AP15" s="50"/>
      <c r="AQ15" s="50"/>
      <c r="AR15" s="50"/>
      <c r="AS15" s="50"/>
      <c r="AT15" s="50"/>
      <c r="AU15" s="50"/>
      <c r="AV15" s="50"/>
      <c r="AW15" s="50">
        <v>18</v>
      </c>
    </row>
    <row r="16" spans="1:49" x14ac:dyDescent="0.25">
      <c r="A16" s="83">
        <v>14</v>
      </c>
      <c r="B16" s="20" t="s">
        <v>142</v>
      </c>
      <c r="C16" s="14">
        <v>39797</v>
      </c>
      <c r="D16" s="14">
        <v>46204</v>
      </c>
      <c r="E16" s="1">
        <f t="shared" si="0"/>
        <v>17</v>
      </c>
      <c r="L16" s="32" t="s">
        <v>920</v>
      </c>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v>18</v>
      </c>
      <c r="AN16" s="50">
        <v>18</v>
      </c>
      <c r="AO16" s="50"/>
      <c r="AP16" s="50"/>
      <c r="AQ16" s="50"/>
      <c r="AR16" s="50"/>
      <c r="AS16" s="50"/>
      <c r="AT16" s="50"/>
      <c r="AU16" s="50"/>
      <c r="AV16" s="50"/>
      <c r="AW16" s="50">
        <v>18</v>
      </c>
    </row>
    <row r="17" spans="1:49" x14ac:dyDescent="0.25">
      <c r="A17" s="83">
        <v>15</v>
      </c>
      <c r="B17" s="20" t="s">
        <v>148</v>
      </c>
      <c r="C17" s="14">
        <v>39325</v>
      </c>
      <c r="D17" s="14">
        <v>46204</v>
      </c>
      <c r="E17" s="1">
        <f t="shared" si="0"/>
        <v>18</v>
      </c>
      <c r="L17" s="89">
        <v>39278</v>
      </c>
      <c r="M17" s="50"/>
      <c r="N17" s="50"/>
      <c r="O17" s="50"/>
      <c r="P17" s="50"/>
      <c r="Q17" s="50"/>
      <c r="R17" s="50"/>
      <c r="S17" s="50">
        <v>18</v>
      </c>
      <c r="T17" s="50">
        <v>18</v>
      </c>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v>18</v>
      </c>
    </row>
    <row r="18" spans="1:49" x14ac:dyDescent="0.25">
      <c r="A18" s="83">
        <v>16</v>
      </c>
      <c r="B18" s="20" t="s">
        <v>153</v>
      </c>
      <c r="C18" s="14">
        <v>38861</v>
      </c>
      <c r="D18" s="14">
        <v>46204</v>
      </c>
      <c r="E18" s="1">
        <f t="shared" si="0"/>
        <v>20</v>
      </c>
      <c r="L18" s="32" t="s">
        <v>920</v>
      </c>
      <c r="M18" s="50"/>
      <c r="N18" s="50"/>
      <c r="O18" s="50"/>
      <c r="P18" s="50"/>
      <c r="Q18" s="50"/>
      <c r="R18" s="50"/>
      <c r="S18" s="50">
        <v>18</v>
      </c>
      <c r="T18" s="50">
        <v>18</v>
      </c>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v>18</v>
      </c>
    </row>
    <row r="19" spans="1:49" x14ac:dyDescent="0.25">
      <c r="A19" s="83">
        <v>17</v>
      </c>
      <c r="B19" s="20" t="s">
        <v>159</v>
      </c>
      <c r="C19" s="14">
        <v>39664</v>
      </c>
      <c r="D19" s="14">
        <v>46204</v>
      </c>
      <c r="E19" s="1">
        <f t="shared" si="0"/>
        <v>17</v>
      </c>
      <c r="L19" s="89">
        <v>39309</v>
      </c>
      <c r="M19" s="50"/>
      <c r="N19" s="50"/>
      <c r="O19" s="50"/>
      <c r="P19" s="50"/>
      <c r="Q19" s="50"/>
      <c r="R19" s="50"/>
      <c r="S19" s="50"/>
      <c r="T19" s="50"/>
      <c r="U19" s="50"/>
      <c r="V19" s="50"/>
      <c r="W19" s="50"/>
      <c r="X19" s="50"/>
      <c r="Y19" s="50"/>
      <c r="Z19" s="50"/>
      <c r="AA19" s="50"/>
      <c r="AB19" s="50"/>
      <c r="AC19" s="50"/>
      <c r="AD19" s="50"/>
      <c r="AE19" s="50">
        <v>18</v>
      </c>
      <c r="AF19" s="50">
        <v>18</v>
      </c>
      <c r="AG19" s="50"/>
      <c r="AH19" s="50"/>
      <c r="AI19" s="50"/>
      <c r="AJ19" s="50"/>
      <c r="AK19" s="50"/>
      <c r="AL19" s="50"/>
      <c r="AM19" s="50"/>
      <c r="AN19" s="50"/>
      <c r="AO19" s="50"/>
      <c r="AP19" s="50"/>
      <c r="AQ19" s="50"/>
      <c r="AR19" s="50"/>
      <c r="AS19" s="50"/>
      <c r="AT19" s="50"/>
      <c r="AU19" s="50"/>
      <c r="AV19" s="50"/>
      <c r="AW19" s="50">
        <v>18</v>
      </c>
    </row>
    <row r="20" spans="1:49" x14ac:dyDescent="0.25">
      <c r="A20" s="83">
        <v>18</v>
      </c>
      <c r="B20" s="20" t="s">
        <v>166</v>
      </c>
      <c r="C20" s="14">
        <v>38950</v>
      </c>
      <c r="D20" s="14">
        <v>46204</v>
      </c>
      <c r="E20" s="1">
        <f t="shared" si="0"/>
        <v>19</v>
      </c>
      <c r="L20" s="32" t="s">
        <v>920</v>
      </c>
      <c r="M20" s="50"/>
      <c r="N20" s="50"/>
      <c r="O20" s="50"/>
      <c r="P20" s="50"/>
      <c r="Q20" s="50"/>
      <c r="R20" s="50"/>
      <c r="S20" s="50"/>
      <c r="T20" s="50"/>
      <c r="U20" s="50"/>
      <c r="V20" s="50"/>
      <c r="W20" s="50"/>
      <c r="X20" s="50"/>
      <c r="Y20" s="50"/>
      <c r="Z20" s="50"/>
      <c r="AA20" s="50"/>
      <c r="AB20" s="50"/>
      <c r="AC20" s="50"/>
      <c r="AD20" s="50"/>
      <c r="AE20" s="50">
        <v>18</v>
      </c>
      <c r="AF20" s="50">
        <v>18</v>
      </c>
      <c r="AG20" s="50"/>
      <c r="AH20" s="50"/>
      <c r="AI20" s="50"/>
      <c r="AJ20" s="50"/>
      <c r="AK20" s="50"/>
      <c r="AL20" s="50"/>
      <c r="AM20" s="50"/>
      <c r="AN20" s="50"/>
      <c r="AO20" s="50"/>
      <c r="AP20" s="50"/>
      <c r="AQ20" s="50"/>
      <c r="AR20" s="50"/>
      <c r="AS20" s="50"/>
      <c r="AT20" s="50"/>
      <c r="AU20" s="50"/>
      <c r="AV20" s="50"/>
      <c r="AW20" s="50">
        <v>18</v>
      </c>
    </row>
    <row r="21" spans="1:49" x14ac:dyDescent="0.25">
      <c r="L21" s="89">
        <v>39325</v>
      </c>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v>18</v>
      </c>
      <c r="AT21" s="50">
        <v>18</v>
      </c>
      <c r="AU21" s="50"/>
      <c r="AV21" s="50"/>
      <c r="AW21" s="50">
        <v>18</v>
      </c>
    </row>
    <row r="22" spans="1:49" x14ac:dyDescent="0.25">
      <c r="L22" s="32" t="s">
        <v>920</v>
      </c>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v>18</v>
      </c>
      <c r="AT22" s="50">
        <v>18</v>
      </c>
      <c r="AU22" s="50"/>
      <c r="AV22" s="50"/>
      <c r="AW22" s="50">
        <v>18</v>
      </c>
    </row>
    <row r="23" spans="1:49" x14ac:dyDescent="0.25">
      <c r="L23" s="89">
        <v>39433</v>
      </c>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v>18</v>
      </c>
      <c r="AV23" s="50">
        <v>18</v>
      </c>
      <c r="AW23" s="50">
        <v>18</v>
      </c>
    </row>
    <row r="24" spans="1:49" x14ac:dyDescent="0.25">
      <c r="L24" s="32" t="s">
        <v>921</v>
      </c>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v>18</v>
      </c>
      <c r="AV24" s="50">
        <v>18</v>
      </c>
      <c r="AW24" s="50">
        <v>18</v>
      </c>
    </row>
    <row r="25" spans="1:49" x14ac:dyDescent="0.25">
      <c r="L25" s="89">
        <v>39447</v>
      </c>
      <c r="M25" s="50"/>
      <c r="N25" s="50"/>
      <c r="O25" s="50">
        <v>18</v>
      </c>
      <c r="P25" s="50">
        <v>18</v>
      </c>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v>18</v>
      </c>
    </row>
    <row r="26" spans="1:49" x14ac:dyDescent="0.25">
      <c r="L26" s="32" t="s">
        <v>921</v>
      </c>
      <c r="M26" s="50"/>
      <c r="N26" s="50"/>
      <c r="O26" s="50">
        <v>18</v>
      </c>
      <c r="P26" s="50">
        <v>18</v>
      </c>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v>18</v>
      </c>
    </row>
    <row r="27" spans="1:49" x14ac:dyDescent="0.25">
      <c r="L27" s="89">
        <v>39563</v>
      </c>
      <c r="M27" s="50"/>
      <c r="N27" s="50"/>
      <c r="O27" s="50"/>
      <c r="P27" s="50"/>
      <c r="Q27" s="50"/>
      <c r="R27" s="50"/>
      <c r="S27" s="50"/>
      <c r="T27" s="50"/>
      <c r="U27" s="50"/>
      <c r="V27" s="50"/>
      <c r="W27" s="50"/>
      <c r="X27" s="50"/>
      <c r="Y27" s="50"/>
      <c r="Z27" s="50"/>
      <c r="AA27" s="50"/>
      <c r="AB27" s="50"/>
      <c r="AC27" s="50"/>
      <c r="AD27" s="50"/>
      <c r="AE27" s="50"/>
      <c r="AF27" s="50"/>
      <c r="AG27" s="50">
        <v>18</v>
      </c>
      <c r="AH27" s="50">
        <v>18</v>
      </c>
      <c r="AI27" s="50"/>
      <c r="AJ27" s="50"/>
      <c r="AK27" s="50"/>
      <c r="AL27" s="50"/>
      <c r="AM27" s="50"/>
      <c r="AN27" s="50"/>
      <c r="AO27" s="50"/>
      <c r="AP27" s="50"/>
      <c r="AQ27" s="50"/>
      <c r="AR27" s="50"/>
      <c r="AS27" s="50"/>
      <c r="AT27" s="50"/>
      <c r="AU27" s="50"/>
      <c r="AV27" s="50"/>
      <c r="AW27" s="50">
        <v>18</v>
      </c>
    </row>
    <row r="28" spans="1:49" x14ac:dyDescent="0.25">
      <c r="L28" s="32" t="s">
        <v>919</v>
      </c>
      <c r="M28" s="50"/>
      <c r="N28" s="50"/>
      <c r="O28" s="50"/>
      <c r="P28" s="50"/>
      <c r="Q28" s="50"/>
      <c r="R28" s="50"/>
      <c r="S28" s="50"/>
      <c r="T28" s="50"/>
      <c r="U28" s="50"/>
      <c r="V28" s="50"/>
      <c r="W28" s="50"/>
      <c r="X28" s="50"/>
      <c r="Y28" s="50"/>
      <c r="Z28" s="50"/>
      <c r="AA28" s="50"/>
      <c r="AB28" s="50"/>
      <c r="AC28" s="50"/>
      <c r="AD28" s="50"/>
      <c r="AE28" s="50"/>
      <c r="AF28" s="50"/>
      <c r="AG28" s="50">
        <v>18</v>
      </c>
      <c r="AH28" s="50">
        <v>18</v>
      </c>
      <c r="AI28" s="50"/>
      <c r="AJ28" s="50"/>
      <c r="AK28" s="50"/>
      <c r="AL28" s="50"/>
      <c r="AM28" s="50"/>
      <c r="AN28" s="50"/>
      <c r="AO28" s="50"/>
      <c r="AP28" s="50"/>
      <c r="AQ28" s="50"/>
      <c r="AR28" s="50"/>
      <c r="AS28" s="50"/>
      <c r="AT28" s="50"/>
      <c r="AU28" s="50"/>
      <c r="AV28" s="50"/>
      <c r="AW28" s="50">
        <v>18</v>
      </c>
    </row>
    <row r="29" spans="1:49" x14ac:dyDescent="0.25">
      <c r="L29" s="89">
        <v>39583</v>
      </c>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v>18</v>
      </c>
      <c r="AL29" s="50">
        <v>18</v>
      </c>
      <c r="AM29" s="50"/>
      <c r="AN29" s="50"/>
      <c r="AO29" s="50"/>
      <c r="AP29" s="50"/>
      <c r="AQ29" s="50"/>
      <c r="AR29" s="50"/>
      <c r="AS29" s="50"/>
      <c r="AT29" s="50"/>
      <c r="AU29" s="50"/>
      <c r="AV29" s="50"/>
      <c r="AW29" s="50">
        <v>18</v>
      </c>
    </row>
    <row r="30" spans="1:49" x14ac:dyDescent="0.25">
      <c r="L30" s="32" t="s">
        <v>919</v>
      </c>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v>18</v>
      </c>
      <c r="AL30" s="50">
        <v>18</v>
      </c>
      <c r="AM30" s="50"/>
      <c r="AN30" s="50"/>
      <c r="AO30" s="50"/>
      <c r="AP30" s="50"/>
      <c r="AQ30" s="50"/>
      <c r="AR30" s="50"/>
      <c r="AS30" s="50"/>
      <c r="AT30" s="50"/>
      <c r="AU30" s="50"/>
      <c r="AV30" s="50"/>
      <c r="AW30" s="50">
        <v>18</v>
      </c>
    </row>
    <row r="31" spans="1:49" x14ac:dyDescent="0.25">
      <c r="L31" s="89">
        <v>39604</v>
      </c>
      <c r="M31" s="50"/>
      <c r="N31" s="50"/>
      <c r="O31" s="50"/>
      <c r="P31" s="50"/>
      <c r="Q31" s="50"/>
      <c r="R31" s="50"/>
      <c r="S31" s="50"/>
      <c r="T31" s="50"/>
      <c r="U31" s="50"/>
      <c r="V31" s="50"/>
      <c r="W31" s="50"/>
      <c r="X31" s="50"/>
      <c r="Y31" s="50"/>
      <c r="Z31" s="50"/>
      <c r="AA31" s="50"/>
      <c r="AB31" s="50"/>
      <c r="AC31" s="50"/>
      <c r="AD31" s="50"/>
      <c r="AE31" s="50"/>
      <c r="AF31" s="50"/>
      <c r="AG31" s="50"/>
      <c r="AH31" s="50"/>
      <c r="AI31" s="50">
        <v>18</v>
      </c>
      <c r="AJ31" s="50">
        <v>18</v>
      </c>
      <c r="AK31" s="50"/>
      <c r="AL31" s="50"/>
      <c r="AM31" s="50"/>
      <c r="AN31" s="50"/>
      <c r="AO31" s="50"/>
      <c r="AP31" s="50"/>
      <c r="AQ31" s="50"/>
      <c r="AR31" s="50"/>
      <c r="AS31" s="50"/>
      <c r="AT31" s="50"/>
      <c r="AU31" s="50"/>
      <c r="AV31" s="50"/>
      <c r="AW31" s="50">
        <v>18</v>
      </c>
    </row>
    <row r="32" spans="1:49" x14ac:dyDescent="0.25">
      <c r="L32" s="32" t="s">
        <v>919</v>
      </c>
      <c r="M32" s="50"/>
      <c r="N32" s="50"/>
      <c r="O32" s="50"/>
      <c r="P32" s="50"/>
      <c r="Q32" s="50"/>
      <c r="R32" s="50"/>
      <c r="S32" s="50"/>
      <c r="T32" s="50"/>
      <c r="U32" s="50"/>
      <c r="V32" s="50"/>
      <c r="W32" s="50"/>
      <c r="X32" s="50"/>
      <c r="Y32" s="50"/>
      <c r="Z32" s="50"/>
      <c r="AA32" s="50"/>
      <c r="AB32" s="50"/>
      <c r="AC32" s="50"/>
      <c r="AD32" s="50"/>
      <c r="AE32" s="50"/>
      <c r="AF32" s="50"/>
      <c r="AG32" s="50"/>
      <c r="AH32" s="50"/>
      <c r="AI32" s="50">
        <v>18</v>
      </c>
      <c r="AJ32" s="50">
        <v>18</v>
      </c>
      <c r="AK32" s="50"/>
      <c r="AL32" s="50"/>
      <c r="AM32" s="50"/>
      <c r="AN32" s="50"/>
      <c r="AO32" s="50"/>
      <c r="AP32" s="50"/>
      <c r="AQ32" s="50"/>
      <c r="AR32" s="50"/>
      <c r="AS32" s="50"/>
      <c r="AT32" s="50"/>
      <c r="AU32" s="50"/>
      <c r="AV32" s="50"/>
      <c r="AW32" s="50">
        <v>18</v>
      </c>
    </row>
    <row r="33" spans="12:49" x14ac:dyDescent="0.25">
      <c r="L33" s="89">
        <v>39664</v>
      </c>
      <c r="M33" s="50"/>
      <c r="N33" s="50"/>
      <c r="O33" s="50"/>
      <c r="P33" s="50"/>
      <c r="Q33" s="50">
        <v>17</v>
      </c>
      <c r="R33" s="50">
        <v>17</v>
      </c>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v>17</v>
      </c>
    </row>
    <row r="34" spans="12:49" x14ac:dyDescent="0.25">
      <c r="L34" s="32" t="s">
        <v>920</v>
      </c>
      <c r="M34" s="50"/>
      <c r="N34" s="50"/>
      <c r="O34" s="50"/>
      <c r="P34" s="50"/>
      <c r="Q34" s="50">
        <v>17</v>
      </c>
      <c r="R34" s="50">
        <v>17</v>
      </c>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v>17</v>
      </c>
    </row>
    <row r="35" spans="12:49" x14ac:dyDescent="0.25">
      <c r="L35" s="89">
        <v>39692</v>
      </c>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v>17</v>
      </c>
      <c r="AP35" s="50">
        <v>17</v>
      </c>
      <c r="AQ35" s="50"/>
      <c r="AR35" s="50"/>
      <c r="AS35" s="50"/>
      <c r="AT35" s="50"/>
      <c r="AU35" s="50"/>
      <c r="AV35" s="50"/>
      <c r="AW35" s="50">
        <v>17</v>
      </c>
    </row>
    <row r="36" spans="12:49" x14ac:dyDescent="0.25">
      <c r="L36" s="32" t="s">
        <v>920</v>
      </c>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v>17</v>
      </c>
      <c r="AP36" s="50">
        <v>17</v>
      </c>
      <c r="AQ36" s="50"/>
      <c r="AR36" s="50"/>
      <c r="AS36" s="50"/>
      <c r="AT36" s="50"/>
      <c r="AU36" s="50"/>
      <c r="AV36" s="50"/>
      <c r="AW36" s="50">
        <v>17</v>
      </c>
    </row>
    <row r="37" spans="12:49" x14ac:dyDescent="0.25">
      <c r="L37" s="89">
        <v>39696</v>
      </c>
      <c r="M37" s="50">
        <v>17</v>
      </c>
      <c r="N37" s="50">
        <v>17</v>
      </c>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v>17</v>
      </c>
    </row>
    <row r="38" spans="12:49" x14ac:dyDescent="0.25">
      <c r="L38" s="32" t="s">
        <v>920</v>
      </c>
      <c r="M38" s="50">
        <v>17</v>
      </c>
      <c r="N38" s="50">
        <v>17</v>
      </c>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v>17</v>
      </c>
    </row>
    <row r="39" spans="12:49" x14ac:dyDescent="0.25">
      <c r="L39" s="89">
        <v>39797</v>
      </c>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v>17</v>
      </c>
      <c r="AR39" s="50">
        <v>17</v>
      </c>
      <c r="AS39" s="50"/>
      <c r="AT39" s="50"/>
      <c r="AU39" s="50"/>
      <c r="AV39" s="50"/>
      <c r="AW39" s="50">
        <v>17</v>
      </c>
    </row>
    <row r="40" spans="12:49" x14ac:dyDescent="0.25">
      <c r="L40" s="32" t="s">
        <v>921</v>
      </c>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v>17</v>
      </c>
      <c r="AR40" s="50">
        <v>17</v>
      </c>
      <c r="AS40" s="50"/>
      <c r="AT40" s="50"/>
      <c r="AU40" s="50"/>
      <c r="AV40" s="50"/>
      <c r="AW40" s="50">
        <v>17</v>
      </c>
    </row>
    <row r="41" spans="12:49" x14ac:dyDescent="0.25">
      <c r="L41" s="89" t="s">
        <v>21</v>
      </c>
      <c r="M41" s="50">
        <v>17</v>
      </c>
      <c r="N41" s="50">
        <v>17</v>
      </c>
      <c r="O41" s="50">
        <v>18</v>
      </c>
      <c r="P41" s="50">
        <v>18</v>
      </c>
      <c r="Q41" s="50">
        <v>17</v>
      </c>
      <c r="R41" s="50">
        <v>17</v>
      </c>
      <c r="S41" s="50">
        <v>18</v>
      </c>
      <c r="T41" s="50">
        <v>18</v>
      </c>
      <c r="U41" s="50">
        <v>20</v>
      </c>
      <c r="V41" s="50">
        <v>20</v>
      </c>
      <c r="W41" s="50">
        <v>19</v>
      </c>
      <c r="X41" s="50">
        <v>19</v>
      </c>
      <c r="Y41" s="50">
        <v>19</v>
      </c>
      <c r="Z41" s="50">
        <v>19</v>
      </c>
      <c r="AA41" s="50">
        <v>19</v>
      </c>
      <c r="AB41" s="50">
        <v>19</v>
      </c>
      <c r="AC41" s="50">
        <v>19</v>
      </c>
      <c r="AD41" s="50">
        <v>19</v>
      </c>
      <c r="AE41" s="50">
        <v>18</v>
      </c>
      <c r="AF41" s="50">
        <v>18</v>
      </c>
      <c r="AG41" s="50">
        <v>18</v>
      </c>
      <c r="AH41" s="50">
        <v>18</v>
      </c>
      <c r="AI41" s="50">
        <v>18</v>
      </c>
      <c r="AJ41" s="50">
        <v>18</v>
      </c>
      <c r="AK41" s="50">
        <v>18</v>
      </c>
      <c r="AL41" s="50">
        <v>18</v>
      </c>
      <c r="AM41" s="50">
        <v>18</v>
      </c>
      <c r="AN41" s="50">
        <v>18</v>
      </c>
      <c r="AO41" s="50">
        <v>17</v>
      </c>
      <c r="AP41" s="50">
        <v>17</v>
      </c>
      <c r="AQ41" s="50">
        <v>17</v>
      </c>
      <c r="AR41" s="50">
        <v>17</v>
      </c>
      <c r="AS41" s="50">
        <v>18</v>
      </c>
      <c r="AT41" s="50">
        <v>18</v>
      </c>
      <c r="AU41" s="50">
        <v>18</v>
      </c>
      <c r="AV41" s="50">
        <v>18</v>
      </c>
      <c r="AW41" s="50">
        <v>326</v>
      </c>
    </row>
  </sheetData>
  <mergeCells count="1">
    <mergeCell ref="A1:E1"/>
  </mergeCells>
  <conditionalFormatting sqref="A2:E20">
    <cfRule type="expression" dxfId="418" priority="1">
      <formula>$G$7=$E2</formula>
    </cfRule>
  </conditionalFormatting>
  <dataValidations count="1">
    <dataValidation type="list" allowBlank="1" showInputMessage="1" showErrorMessage="1" sqref="G3" xr:uid="{07B85BF2-63AB-4F5A-9A65-FBD6D87D4264}">
      <formula1>$B$3:$B$20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AC286-CDCA-49ED-B7C8-D5C309EA898F}">
  <sheetPr codeName="Sheet10"/>
  <dimension ref="A1:I49"/>
  <sheetViews>
    <sheetView workbookViewId="0">
      <selection activeCell="E2" sqref="E2"/>
    </sheetView>
  </sheetViews>
  <sheetFormatPr defaultRowHeight="15" x14ac:dyDescent="0.25"/>
  <cols>
    <col min="1" max="1" width="5.28515625" bestFit="1" customWidth="1"/>
    <col min="2" max="2" width="16.140625" bestFit="1" customWidth="1"/>
    <col min="3" max="3" width="7.28515625" bestFit="1" customWidth="1"/>
    <col min="4" max="4" width="19.28515625" bestFit="1" customWidth="1"/>
    <col min="7" max="7" width="6" bestFit="1" customWidth="1"/>
    <col min="8" max="9" width="9" bestFit="1" customWidth="1"/>
  </cols>
  <sheetData>
    <row r="1" spans="1:9" x14ac:dyDescent="0.25">
      <c r="A1" s="27" t="s">
        <v>472</v>
      </c>
      <c r="B1" s="28" t="s">
        <v>548</v>
      </c>
      <c r="C1" s="28" t="s">
        <v>552</v>
      </c>
      <c r="D1" s="28" t="s">
        <v>1100</v>
      </c>
    </row>
    <row r="2" spans="1:9" x14ac:dyDescent="0.25">
      <c r="A2" s="27">
        <v>1</v>
      </c>
      <c r="B2" s="1" t="s">
        <v>57</v>
      </c>
      <c r="C2" s="1" t="s">
        <v>1098</v>
      </c>
      <c r="D2" s="1" t="str">
        <f>IF(LOWER(TRIM(C2))="male","Mr. "&amp;B2,IF(LOWER(TRIM(C2))="female","Ms. "&amp;B2,""))</f>
        <v>Mr. tushar</v>
      </c>
      <c r="G2" s="28" t="s">
        <v>548</v>
      </c>
      <c r="H2" s="28" t="s">
        <v>552</v>
      </c>
      <c r="I2" s="28" t="s">
        <v>552</v>
      </c>
    </row>
    <row r="3" spans="1:9" x14ac:dyDescent="0.25">
      <c r="A3" s="27">
        <v>2</v>
      </c>
      <c r="B3" s="1" t="s">
        <v>66</v>
      </c>
      <c r="C3" s="1" t="s">
        <v>1098</v>
      </c>
      <c r="D3" s="1" t="str">
        <f t="shared" ref="D3:D49" si="0">IF(LOWER(TRIM(C3))="male","Mr. "&amp;B3,IF(LOWER(TRIM(C3))="female","Ms. "&amp;B3,""))</f>
        <v>Mr. sahil</v>
      </c>
      <c r="G3" s="20" t="s">
        <v>553</v>
      </c>
      <c r="H3" s="20" t="str" cm="1">
        <f t="array" ref="H3:I3">VLOOKUP(G3,B1:D49,{2,3},0)</f>
        <v>female</v>
      </c>
      <c r="I3" s="20" t="str">
        <v>Ms. naina</v>
      </c>
    </row>
    <row r="4" spans="1:9" x14ac:dyDescent="0.25">
      <c r="A4" s="27">
        <v>3</v>
      </c>
      <c r="B4" s="1" t="s">
        <v>73</v>
      </c>
      <c r="C4" s="1" t="s">
        <v>1098</v>
      </c>
      <c r="D4" s="1" t="str">
        <f t="shared" si="0"/>
        <v>Mr. prakash</v>
      </c>
      <c r="G4" t="str" cm="1">
        <f t="array" ref="G4:H4">_xlfn.XLOOKUP(G3,B2:B49,C2:D49)</f>
        <v>female</v>
      </c>
      <c r="H4" t="str">
        <v>Ms. naina</v>
      </c>
    </row>
    <row r="5" spans="1:9" x14ac:dyDescent="0.25">
      <c r="A5" s="27">
        <v>4</v>
      </c>
      <c r="B5" s="1" t="s">
        <v>79</v>
      </c>
      <c r="C5" s="1" t="s">
        <v>1098</v>
      </c>
      <c r="D5" s="1" t="str">
        <f t="shared" si="0"/>
        <v>Mr. chirag</v>
      </c>
    </row>
    <row r="6" spans="1:9" x14ac:dyDescent="0.25">
      <c r="A6" s="27">
        <v>5</v>
      </c>
      <c r="B6" s="1" t="s">
        <v>364</v>
      </c>
      <c r="C6" s="1" t="s">
        <v>1098</v>
      </c>
      <c r="D6" s="1" t="str">
        <f t="shared" si="0"/>
        <v>Mr. aarav</v>
      </c>
    </row>
    <row r="7" spans="1:9" x14ac:dyDescent="0.25">
      <c r="A7" s="27">
        <v>6</v>
      </c>
      <c r="B7" s="1" t="s">
        <v>553</v>
      </c>
      <c r="C7" s="1" t="s">
        <v>1099</v>
      </c>
      <c r="D7" s="1" t="str">
        <f t="shared" si="0"/>
        <v>Ms. naina</v>
      </c>
    </row>
    <row r="8" spans="1:9" x14ac:dyDescent="0.25">
      <c r="A8" s="27">
        <v>7</v>
      </c>
      <c r="B8" s="1" t="s">
        <v>366</v>
      </c>
      <c r="C8" s="1" t="s">
        <v>1098</v>
      </c>
      <c r="D8" s="1" t="str">
        <f t="shared" si="0"/>
        <v>Mr. aditya</v>
      </c>
    </row>
    <row r="9" spans="1:9" x14ac:dyDescent="0.25">
      <c r="A9" s="27">
        <v>8</v>
      </c>
      <c r="B9" s="1" t="s">
        <v>554</v>
      </c>
      <c r="C9" s="1" t="s">
        <v>1098</v>
      </c>
      <c r="D9" s="1" t="str">
        <f t="shared" si="0"/>
        <v>Mr. komal</v>
      </c>
    </row>
    <row r="10" spans="1:9" x14ac:dyDescent="0.25">
      <c r="A10" s="27">
        <v>9</v>
      </c>
      <c r="B10" s="1" t="s">
        <v>368</v>
      </c>
      <c r="C10" s="1" t="s">
        <v>1098</v>
      </c>
      <c r="D10" s="1" t="str">
        <f t="shared" si="0"/>
        <v>Mr. krishna</v>
      </c>
    </row>
    <row r="11" spans="1:9" x14ac:dyDescent="0.25">
      <c r="A11" s="27">
        <v>10</v>
      </c>
      <c r="B11" s="1" t="s">
        <v>369</v>
      </c>
      <c r="C11" s="1" t="s">
        <v>1098</v>
      </c>
      <c r="D11" s="1" t="str">
        <f t="shared" si="0"/>
        <v>Mr. rohan</v>
      </c>
    </row>
    <row r="12" spans="1:9" x14ac:dyDescent="0.25">
      <c r="A12" s="27">
        <v>11</v>
      </c>
      <c r="B12" s="1" t="s">
        <v>370</v>
      </c>
      <c r="C12" s="1" t="s">
        <v>1098</v>
      </c>
      <c r="D12" s="1" t="str">
        <f t="shared" si="0"/>
        <v>Mr. hemantmahawar</v>
      </c>
    </row>
    <row r="13" spans="1:9" x14ac:dyDescent="0.25">
      <c r="A13" s="27">
        <v>12</v>
      </c>
      <c r="B13" s="1" t="s">
        <v>62</v>
      </c>
      <c r="C13" s="1" t="s">
        <v>1098</v>
      </c>
      <c r="D13" s="1" t="str">
        <f t="shared" si="0"/>
        <v>Mr. dev</v>
      </c>
    </row>
    <row r="14" spans="1:9" x14ac:dyDescent="0.25">
      <c r="A14" s="27">
        <v>13</v>
      </c>
      <c r="B14" s="1" t="s">
        <v>69</v>
      </c>
      <c r="C14" s="1" t="s">
        <v>1098</v>
      </c>
      <c r="D14" s="1" t="str">
        <f t="shared" si="0"/>
        <v>Mr. chand</v>
      </c>
    </row>
    <row r="15" spans="1:9" x14ac:dyDescent="0.25">
      <c r="A15" s="27">
        <v>14</v>
      </c>
      <c r="B15" s="1" t="s">
        <v>75</v>
      </c>
      <c r="C15" s="1" t="s">
        <v>1098</v>
      </c>
      <c r="D15" s="1" t="str">
        <f t="shared" si="0"/>
        <v>Mr. daksh</v>
      </c>
    </row>
    <row r="16" spans="1:9" x14ac:dyDescent="0.25">
      <c r="A16" s="27">
        <v>15</v>
      </c>
      <c r="B16" s="1" t="s">
        <v>81</v>
      </c>
      <c r="C16" s="1" t="s">
        <v>1098</v>
      </c>
      <c r="D16" s="1" t="str">
        <f t="shared" si="0"/>
        <v>Mr. rajnikant</v>
      </c>
    </row>
    <row r="17" spans="1:4" x14ac:dyDescent="0.25">
      <c r="A17" s="27">
        <v>16</v>
      </c>
      <c r="B17" s="1" t="s">
        <v>88</v>
      </c>
      <c r="C17" s="1" t="s">
        <v>1098</v>
      </c>
      <c r="D17" s="1" t="str">
        <f t="shared" si="0"/>
        <v>Mr. kunal</v>
      </c>
    </row>
    <row r="18" spans="1:4" x14ac:dyDescent="0.25">
      <c r="A18" s="27">
        <v>17</v>
      </c>
      <c r="B18" s="1" t="s">
        <v>94</v>
      </c>
      <c r="C18" s="1" t="s">
        <v>1098</v>
      </c>
      <c r="D18" s="1" t="str">
        <f t="shared" si="0"/>
        <v>Mr. ayush</v>
      </c>
    </row>
    <row r="19" spans="1:4" x14ac:dyDescent="0.25">
      <c r="A19" s="27">
        <v>18</v>
      </c>
      <c r="B19" s="1" t="s">
        <v>100</v>
      </c>
      <c r="C19" s="1" t="s">
        <v>1098</v>
      </c>
      <c r="D19" s="1" t="str">
        <f t="shared" si="0"/>
        <v>Mr. mayank</v>
      </c>
    </row>
    <row r="20" spans="1:4" x14ac:dyDescent="0.25">
      <c r="A20" s="27">
        <v>19</v>
      </c>
      <c r="B20" s="1" t="s">
        <v>107</v>
      </c>
      <c r="C20" s="1" t="s">
        <v>1098</v>
      </c>
      <c r="D20" s="1" t="str">
        <f t="shared" si="0"/>
        <v>Mr. arya</v>
      </c>
    </row>
    <row r="21" spans="1:4" x14ac:dyDescent="0.25">
      <c r="A21" s="27">
        <v>20</v>
      </c>
      <c r="B21" s="1" t="s">
        <v>100</v>
      </c>
      <c r="C21" s="1" t="s">
        <v>1098</v>
      </c>
      <c r="D21" s="1" t="str">
        <f t="shared" si="0"/>
        <v>Mr. mayank</v>
      </c>
    </row>
    <row r="22" spans="1:4" x14ac:dyDescent="0.25">
      <c r="A22" s="27">
        <v>21</v>
      </c>
      <c r="B22" s="1" t="s">
        <v>120</v>
      </c>
      <c r="C22" s="1" t="s">
        <v>1098</v>
      </c>
      <c r="D22" s="1" t="str">
        <f t="shared" si="0"/>
        <v>Mr. amit</v>
      </c>
    </row>
    <row r="23" spans="1:4" x14ac:dyDescent="0.25">
      <c r="A23" s="27">
        <v>22</v>
      </c>
      <c r="B23" s="1" t="s">
        <v>75</v>
      </c>
      <c r="C23" s="1" t="s">
        <v>1098</v>
      </c>
      <c r="D23" s="1" t="str">
        <f t="shared" si="0"/>
        <v>Mr. daksh</v>
      </c>
    </row>
    <row r="24" spans="1:4" x14ac:dyDescent="0.25">
      <c r="A24" s="27">
        <v>23</v>
      </c>
      <c r="B24" s="1" t="s">
        <v>131</v>
      </c>
      <c r="C24" s="1" t="s">
        <v>1098</v>
      </c>
      <c r="D24" s="1" t="str">
        <f t="shared" si="0"/>
        <v>Mr. deepak</v>
      </c>
    </row>
    <row r="25" spans="1:4" x14ac:dyDescent="0.25">
      <c r="A25" s="27">
        <v>24</v>
      </c>
      <c r="B25" s="1" t="s">
        <v>138</v>
      </c>
      <c r="C25" s="1" t="s">
        <v>1098</v>
      </c>
      <c r="D25" s="1" t="str">
        <f t="shared" si="0"/>
        <v>Mr. rohit</v>
      </c>
    </row>
    <row r="26" spans="1:4" x14ac:dyDescent="0.25">
      <c r="A26" s="27">
        <v>25</v>
      </c>
      <c r="B26" s="1" t="s">
        <v>144</v>
      </c>
      <c r="C26" s="1" t="s">
        <v>1098</v>
      </c>
      <c r="D26" s="1" t="str">
        <f t="shared" si="0"/>
        <v>Mr. bhawesh</v>
      </c>
    </row>
    <row r="27" spans="1:4" x14ac:dyDescent="0.25">
      <c r="A27" s="27">
        <v>26</v>
      </c>
      <c r="B27" s="1" t="s">
        <v>79</v>
      </c>
      <c r="C27" s="1" t="s">
        <v>1098</v>
      </c>
      <c r="D27" s="1" t="str">
        <f t="shared" si="0"/>
        <v>Mr. chirag</v>
      </c>
    </row>
    <row r="28" spans="1:4" x14ac:dyDescent="0.25">
      <c r="A28" s="27">
        <v>27</v>
      </c>
      <c r="B28" s="1" t="s">
        <v>155</v>
      </c>
      <c r="C28" s="1" t="s">
        <v>1098</v>
      </c>
      <c r="D28" s="1" t="str">
        <f t="shared" si="0"/>
        <v>Mr. ramesh</v>
      </c>
    </row>
    <row r="29" spans="1:4" x14ac:dyDescent="0.25">
      <c r="A29" s="27">
        <v>28</v>
      </c>
      <c r="B29" s="1" t="s">
        <v>162</v>
      </c>
      <c r="C29" s="1" t="s">
        <v>1098</v>
      </c>
      <c r="D29" s="1" t="str">
        <f t="shared" si="0"/>
        <v>Mr. suresh</v>
      </c>
    </row>
    <row r="30" spans="1:4" x14ac:dyDescent="0.25">
      <c r="A30" s="27">
        <v>29</v>
      </c>
      <c r="B30" s="1" t="s">
        <v>168</v>
      </c>
      <c r="C30" s="1" t="s">
        <v>1098</v>
      </c>
      <c r="D30" s="1" t="str">
        <f t="shared" si="0"/>
        <v>Mr. rc sharma</v>
      </c>
    </row>
    <row r="31" spans="1:4" x14ac:dyDescent="0.25">
      <c r="A31" s="27">
        <v>30</v>
      </c>
      <c r="B31" s="1" t="s">
        <v>174</v>
      </c>
      <c r="C31" s="1" t="s">
        <v>1099</v>
      </c>
      <c r="D31" s="1" t="str">
        <f t="shared" si="0"/>
        <v>Ms. poonem</v>
      </c>
    </row>
    <row r="32" spans="1:4" x14ac:dyDescent="0.25">
      <c r="A32" s="27">
        <v>31</v>
      </c>
      <c r="B32" s="1" t="s">
        <v>180</v>
      </c>
      <c r="C32" s="1" t="s">
        <v>1098</v>
      </c>
      <c r="D32" s="1" t="str">
        <f t="shared" si="0"/>
        <v>Mr. mukesh</v>
      </c>
    </row>
    <row r="33" spans="1:4" x14ac:dyDescent="0.25">
      <c r="A33" s="27">
        <v>32</v>
      </c>
      <c r="B33" s="1" t="s">
        <v>186</v>
      </c>
      <c r="C33" s="1" t="s">
        <v>1098</v>
      </c>
      <c r="D33" s="1" t="str">
        <f t="shared" si="0"/>
        <v>Mr. mahesh</v>
      </c>
    </row>
    <row r="34" spans="1:4" x14ac:dyDescent="0.25">
      <c r="A34" s="27">
        <v>33</v>
      </c>
      <c r="B34" s="1" t="s">
        <v>193</v>
      </c>
      <c r="C34" s="1" t="s">
        <v>1098</v>
      </c>
      <c r="D34" s="1" t="str">
        <f t="shared" si="0"/>
        <v>Mr. rakesh</v>
      </c>
    </row>
    <row r="35" spans="1:4" x14ac:dyDescent="0.25">
      <c r="A35" s="27">
        <v>34</v>
      </c>
      <c r="B35" s="1" t="s">
        <v>39</v>
      </c>
      <c r="C35" s="1" t="s">
        <v>1098</v>
      </c>
      <c r="D35" s="1" t="str">
        <f t="shared" si="0"/>
        <v>Mr. ram</v>
      </c>
    </row>
    <row r="36" spans="1:4" x14ac:dyDescent="0.25">
      <c r="A36" s="27">
        <v>35</v>
      </c>
      <c r="B36" s="1" t="s">
        <v>204</v>
      </c>
      <c r="C36" s="1" t="s">
        <v>1098</v>
      </c>
      <c r="D36" s="1" t="str">
        <f t="shared" si="0"/>
        <v>Mr. lokesh</v>
      </c>
    </row>
    <row r="37" spans="1:4" x14ac:dyDescent="0.25">
      <c r="A37" s="27">
        <v>36</v>
      </c>
      <c r="B37" s="1" t="s">
        <v>210</v>
      </c>
      <c r="C37" s="1" t="s">
        <v>1098</v>
      </c>
      <c r="D37" s="1" t="str">
        <f t="shared" si="0"/>
        <v>Mr. kuldeep</v>
      </c>
    </row>
    <row r="38" spans="1:4" x14ac:dyDescent="0.25">
      <c r="A38" s="27">
        <v>37</v>
      </c>
      <c r="B38" s="1" t="s">
        <v>75</v>
      </c>
      <c r="C38" s="1" t="s">
        <v>1098</v>
      </c>
      <c r="D38" s="1" t="str">
        <f t="shared" si="0"/>
        <v>Mr. daksh</v>
      </c>
    </row>
    <row r="39" spans="1:4" x14ac:dyDescent="0.25">
      <c r="A39" s="27">
        <v>38</v>
      </c>
      <c r="B39" s="1" t="s">
        <v>555</v>
      </c>
      <c r="C39" s="1" t="s">
        <v>1099</v>
      </c>
      <c r="D39" s="1" t="str">
        <f t="shared" si="0"/>
        <v>Ms. manisha</v>
      </c>
    </row>
    <row r="40" spans="1:4" x14ac:dyDescent="0.25">
      <c r="A40" s="27">
        <v>39</v>
      </c>
      <c r="B40" s="1" t="s">
        <v>227</v>
      </c>
      <c r="C40" s="1" t="s">
        <v>1098</v>
      </c>
      <c r="D40" s="1" t="str">
        <f t="shared" si="0"/>
        <v>Mr. rahul</v>
      </c>
    </row>
    <row r="41" spans="1:4" x14ac:dyDescent="0.25">
      <c r="A41" s="27">
        <v>40</v>
      </c>
      <c r="B41" s="1" t="s">
        <v>233</v>
      </c>
      <c r="C41" s="1" t="s">
        <v>1098</v>
      </c>
      <c r="D41" s="1" t="str">
        <f t="shared" si="0"/>
        <v>Mr. karan</v>
      </c>
    </row>
    <row r="42" spans="1:4" x14ac:dyDescent="0.25">
      <c r="A42" s="27">
        <v>41</v>
      </c>
      <c r="B42" s="1" t="s">
        <v>239</v>
      </c>
      <c r="C42" s="1" t="s">
        <v>1098</v>
      </c>
      <c r="D42" s="1" t="str">
        <f t="shared" si="0"/>
        <v>Mr. shubhu</v>
      </c>
    </row>
    <row r="43" spans="1:4" x14ac:dyDescent="0.25">
      <c r="A43" s="27">
        <v>42</v>
      </c>
      <c r="B43" s="1" t="s">
        <v>245</v>
      </c>
      <c r="C43" s="1" t="s">
        <v>1098</v>
      </c>
      <c r="D43" s="1" t="str">
        <f t="shared" si="0"/>
        <v>Mr. dhruv</v>
      </c>
    </row>
    <row r="44" spans="1:4" x14ac:dyDescent="0.25">
      <c r="A44" s="27">
        <v>43</v>
      </c>
      <c r="B44" s="1" t="s">
        <v>252</v>
      </c>
      <c r="C44" s="1" t="s">
        <v>1098</v>
      </c>
      <c r="D44" s="1" t="str">
        <f t="shared" si="0"/>
        <v>Mr. hement</v>
      </c>
    </row>
    <row r="45" spans="1:4" x14ac:dyDescent="0.25">
      <c r="A45" s="27">
        <v>44</v>
      </c>
      <c r="B45" s="1" t="s">
        <v>258</v>
      </c>
      <c r="C45" s="1" t="s">
        <v>1098</v>
      </c>
      <c r="D45" s="1" t="str">
        <f t="shared" si="0"/>
        <v>Mr. arjun</v>
      </c>
    </row>
    <row r="46" spans="1:4" x14ac:dyDescent="0.25">
      <c r="A46" s="27">
        <v>45</v>
      </c>
      <c r="B46" s="1" t="s">
        <v>265</v>
      </c>
      <c r="C46" s="1" t="s">
        <v>1098</v>
      </c>
      <c r="D46" s="1" t="str">
        <f t="shared" si="0"/>
        <v>Mr. dinesh</v>
      </c>
    </row>
    <row r="47" spans="1:4" x14ac:dyDescent="0.25">
      <c r="A47" s="27">
        <v>46</v>
      </c>
      <c r="B47" s="1" t="s">
        <v>271</v>
      </c>
      <c r="C47" s="1" t="s">
        <v>1098</v>
      </c>
      <c r="D47" s="1" t="str">
        <f t="shared" si="0"/>
        <v>Mr. sudeep</v>
      </c>
    </row>
    <row r="48" spans="1:4" x14ac:dyDescent="0.25">
      <c r="A48" s="27">
        <v>47</v>
      </c>
      <c r="B48" s="1" t="s">
        <v>277</v>
      </c>
      <c r="C48" s="1" t="s">
        <v>1098</v>
      </c>
      <c r="D48" s="1" t="str">
        <f t="shared" si="0"/>
        <v>Mr. gorev</v>
      </c>
    </row>
    <row r="49" spans="1:4" x14ac:dyDescent="0.25">
      <c r="A49" s="27">
        <v>48</v>
      </c>
      <c r="B49" s="1" t="s">
        <v>284</v>
      </c>
      <c r="C49" s="1" t="s">
        <v>1098</v>
      </c>
      <c r="D49" s="1" t="str">
        <f t="shared" si="0"/>
        <v>Mr. ushank</v>
      </c>
    </row>
  </sheetData>
  <dataValidations count="1">
    <dataValidation type="list" allowBlank="1" showInputMessage="1" showErrorMessage="1" sqref="G3" xr:uid="{851D90C2-3E8E-427E-B39B-B3581244D52B}">
      <formula1>$B$1:$B$49</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1FFA-94EB-41B9-83AC-3D008F55C027}">
  <sheetPr codeName="Sheet13"/>
  <dimension ref="A1:BM155"/>
  <sheetViews>
    <sheetView workbookViewId="0">
      <selection activeCell="L107" sqref="L107"/>
    </sheetView>
  </sheetViews>
  <sheetFormatPr defaultRowHeight="15" x14ac:dyDescent="0.25"/>
  <cols>
    <col min="1" max="1" width="32" customWidth="1"/>
    <col min="2" max="8" width="18.28515625" customWidth="1"/>
    <col min="9" max="9" width="19" customWidth="1"/>
    <col min="10" max="10" width="21" customWidth="1"/>
    <col min="11" max="12" width="18.28515625" customWidth="1"/>
    <col min="13" max="14" width="12.7109375" bestFit="1" customWidth="1"/>
    <col min="15" max="15" width="15.5703125" bestFit="1" customWidth="1"/>
    <col min="16" max="16" width="8.140625" bestFit="1" customWidth="1"/>
    <col min="17" max="17" width="9.85546875" bestFit="1" customWidth="1"/>
    <col min="18" max="18" width="9.7109375" bestFit="1" customWidth="1"/>
    <col min="19" max="19" width="8.140625" bestFit="1" customWidth="1"/>
    <col min="20" max="20" width="14.7109375" bestFit="1" customWidth="1"/>
    <col min="21" max="21" width="9.7109375" bestFit="1" customWidth="1"/>
    <col min="22" max="22" width="8.140625" bestFit="1" customWidth="1"/>
    <col min="23" max="23" width="17.28515625" bestFit="1" customWidth="1"/>
    <col min="24" max="24" width="10.7109375" bestFit="1" customWidth="1"/>
    <col min="25" max="25" width="9.7109375" bestFit="1" customWidth="1"/>
    <col min="26" max="26" width="15.42578125" bestFit="1" customWidth="1"/>
    <col min="27" max="27" width="12.28515625" bestFit="1" customWidth="1"/>
    <col min="29" max="29" width="12.7109375" bestFit="1" customWidth="1"/>
    <col min="30" max="30" width="9.7109375" bestFit="1" customWidth="1"/>
    <col min="32" max="32" width="17.28515625" bestFit="1" customWidth="1"/>
    <col min="33" max="33" width="9.7109375" bestFit="1" customWidth="1"/>
    <col min="35" max="35" width="9.85546875" bestFit="1" customWidth="1"/>
    <col min="36" max="36" width="12.28515625" bestFit="1" customWidth="1"/>
    <col min="38" max="38" width="17.28515625" bestFit="1" customWidth="1"/>
    <col min="39" max="39" width="9.7109375" bestFit="1" customWidth="1"/>
    <col min="41" max="41" width="9.85546875" bestFit="1" customWidth="1"/>
    <col min="42" max="42" width="10.7109375" bestFit="1" customWidth="1"/>
    <col min="44" max="44" width="17.28515625" bestFit="1" customWidth="1"/>
    <col min="45" max="45" width="9.7109375" bestFit="1" customWidth="1"/>
    <col min="47" max="47" width="9.85546875" bestFit="1" customWidth="1"/>
    <col min="48" max="48" width="12.28515625" bestFit="1" customWidth="1"/>
    <col min="50" max="50" width="20.28515625" bestFit="1" customWidth="1"/>
    <col min="51" max="51" width="12.28515625" bestFit="1" customWidth="1"/>
    <col min="53" max="53" width="20.28515625" bestFit="1" customWidth="1"/>
    <col min="54" max="54" width="14.28515625" bestFit="1" customWidth="1"/>
    <col min="55" max="55" width="16" bestFit="1" customWidth="1"/>
    <col min="56" max="56" width="14.28515625" bestFit="1" customWidth="1"/>
    <col min="57" max="57" width="15.28515625" bestFit="1" customWidth="1"/>
    <col min="58" max="58" width="12.5703125" bestFit="1" customWidth="1"/>
    <col min="59" max="59" width="14.28515625" bestFit="1" customWidth="1"/>
    <col min="60" max="60" width="15.28515625" bestFit="1" customWidth="1"/>
    <col min="61" max="61" width="13.5703125" bestFit="1" customWidth="1"/>
    <col min="62" max="62" width="17.5703125" bestFit="1" customWidth="1"/>
    <col min="63" max="63" width="14.5703125" bestFit="1" customWidth="1"/>
    <col min="64" max="64" width="16.85546875" bestFit="1" customWidth="1"/>
    <col min="65" max="65" width="16.7109375" bestFit="1" customWidth="1"/>
  </cols>
  <sheetData>
    <row r="1" spans="1:65" ht="21.95" customHeight="1" x14ac:dyDescent="0.25">
      <c r="A1" s="337" t="s">
        <v>1977</v>
      </c>
      <c r="B1" s="337" t="s">
        <v>1469</v>
      </c>
      <c r="C1" s="337" t="s">
        <v>1470</v>
      </c>
      <c r="D1" s="337" t="s">
        <v>1471</v>
      </c>
      <c r="E1" s="337" t="s">
        <v>1472</v>
      </c>
      <c r="F1" s="337" t="s">
        <v>1473</v>
      </c>
      <c r="G1" s="337" t="s">
        <v>1474</v>
      </c>
      <c r="H1" s="337" t="s">
        <v>1475</v>
      </c>
      <c r="I1" s="337" t="s">
        <v>1476</v>
      </c>
      <c r="J1" s="337" t="s">
        <v>1477</v>
      </c>
      <c r="K1" s="337" t="s">
        <v>1478</v>
      </c>
      <c r="L1" s="337" t="s">
        <v>1479</v>
      </c>
      <c r="M1" s="337" t="s">
        <v>1480</v>
      </c>
      <c r="N1" s="340" t="s">
        <v>1996</v>
      </c>
      <c r="BA1" s="30" t="s">
        <v>17</v>
      </c>
      <c r="BB1" t="s">
        <v>564</v>
      </c>
      <c r="BC1" t="s">
        <v>565</v>
      </c>
      <c r="BD1" t="s">
        <v>566</v>
      </c>
      <c r="BE1" t="s">
        <v>567</v>
      </c>
      <c r="BF1" t="s">
        <v>568</v>
      </c>
      <c r="BG1" t="s">
        <v>569</v>
      </c>
      <c r="BH1" t="s">
        <v>570</v>
      </c>
      <c r="BI1" t="s">
        <v>571</v>
      </c>
      <c r="BJ1" t="s">
        <v>572</v>
      </c>
      <c r="BK1" t="s">
        <v>573</v>
      </c>
      <c r="BL1" t="s">
        <v>574</v>
      </c>
      <c r="BM1" t="s">
        <v>575</v>
      </c>
    </row>
    <row r="2" spans="1:65" x14ac:dyDescent="0.25">
      <c r="A2" s="338" t="s">
        <v>1978</v>
      </c>
      <c r="B2" s="339">
        <v>58393</v>
      </c>
      <c r="C2" s="339">
        <v>39957</v>
      </c>
      <c r="D2" s="339">
        <v>53779</v>
      </c>
      <c r="E2" s="339">
        <v>66160</v>
      </c>
      <c r="F2" s="339">
        <v>58739</v>
      </c>
      <c r="G2" s="339">
        <v>76650</v>
      </c>
      <c r="H2" s="339">
        <v>90423</v>
      </c>
      <c r="I2" s="339">
        <v>88470</v>
      </c>
      <c r="J2" s="339">
        <v>31026</v>
      </c>
      <c r="K2" s="339">
        <v>33065</v>
      </c>
      <c r="L2" s="339">
        <v>51537</v>
      </c>
      <c r="M2" s="339">
        <v>69404</v>
      </c>
      <c r="N2" s="341">
        <f>SUM(B2:M2)</f>
        <v>717603</v>
      </c>
      <c r="BA2" s="31" t="s">
        <v>301</v>
      </c>
      <c r="BB2" s="5">
        <v>0</v>
      </c>
      <c r="BC2" s="5">
        <v>0</v>
      </c>
      <c r="BD2" s="5">
        <v>83751</v>
      </c>
      <c r="BE2" s="5">
        <v>0</v>
      </c>
      <c r="BF2" s="5">
        <v>0</v>
      </c>
      <c r="BG2" s="5">
        <v>0</v>
      </c>
      <c r="BH2" s="5">
        <v>0</v>
      </c>
      <c r="BI2" s="5">
        <v>0</v>
      </c>
      <c r="BJ2" s="5">
        <v>0</v>
      </c>
      <c r="BK2" s="5">
        <v>0</v>
      </c>
      <c r="BL2" s="5">
        <v>0</v>
      </c>
      <c r="BM2" s="5">
        <v>6293303</v>
      </c>
    </row>
    <row r="3" spans="1:65" x14ac:dyDescent="0.25">
      <c r="A3" s="338" t="s">
        <v>674</v>
      </c>
      <c r="B3" s="339">
        <v>54318</v>
      </c>
      <c r="C3" s="339">
        <v>42945</v>
      </c>
      <c r="D3" s="339">
        <v>57175</v>
      </c>
      <c r="E3" s="339">
        <v>69776</v>
      </c>
      <c r="F3" s="339">
        <v>61569</v>
      </c>
      <c r="G3" s="339">
        <v>79952</v>
      </c>
      <c r="H3" s="339">
        <v>93946</v>
      </c>
      <c r="I3" s="339">
        <v>23615</v>
      </c>
      <c r="J3" s="339">
        <v>34485</v>
      </c>
      <c r="K3" s="339">
        <v>35958</v>
      </c>
      <c r="L3" s="339">
        <v>1487530</v>
      </c>
      <c r="M3" s="339">
        <v>73649</v>
      </c>
      <c r="N3" s="335">
        <f t="shared" ref="N3:N51" si="0">SUM(B3:M3)</f>
        <v>2114918</v>
      </c>
      <c r="O3" s="337" t="s">
        <v>1977</v>
      </c>
      <c r="P3" s="337" t="s">
        <v>1469</v>
      </c>
      <c r="Q3" s="337" t="s">
        <v>1470</v>
      </c>
      <c r="R3" s="337" t="s">
        <v>1471</v>
      </c>
      <c r="S3" s="337" t="s">
        <v>1472</v>
      </c>
      <c r="T3" s="337" t="s">
        <v>1473</v>
      </c>
      <c r="U3" s="337" t="s">
        <v>1474</v>
      </c>
      <c r="V3" s="337" t="s">
        <v>1475</v>
      </c>
      <c r="W3" s="337" t="s">
        <v>1476</v>
      </c>
      <c r="X3" s="337" t="s">
        <v>1477</v>
      </c>
      <c r="Y3" s="337" t="s">
        <v>1478</v>
      </c>
      <c r="Z3" s="337" t="s">
        <v>1479</v>
      </c>
      <c r="AA3" s="337" t="s">
        <v>1480</v>
      </c>
      <c r="BA3" s="31" t="s">
        <v>173</v>
      </c>
      <c r="BB3" s="5">
        <v>0</v>
      </c>
      <c r="BC3" s="5">
        <v>0</v>
      </c>
      <c r="BD3" s="5">
        <v>0</v>
      </c>
      <c r="BE3" s="5">
        <v>617734</v>
      </c>
      <c r="BF3" s="5">
        <v>0</v>
      </c>
      <c r="BG3" s="5">
        <v>89197</v>
      </c>
      <c r="BH3" s="5">
        <v>0</v>
      </c>
      <c r="BI3" s="5">
        <v>0</v>
      </c>
      <c r="BJ3" s="5">
        <v>0</v>
      </c>
      <c r="BK3" s="5">
        <v>0</v>
      </c>
      <c r="BL3" s="5">
        <v>0</v>
      </c>
      <c r="BM3" s="5">
        <v>0</v>
      </c>
    </row>
    <row r="4" spans="1:65" x14ac:dyDescent="0.25">
      <c r="A4" s="338" t="s">
        <v>665</v>
      </c>
      <c r="B4" s="339">
        <v>49030</v>
      </c>
      <c r="C4" s="339">
        <v>45933</v>
      </c>
      <c r="D4" s="339">
        <v>60572</v>
      </c>
      <c r="E4" s="339">
        <v>73393</v>
      </c>
      <c r="F4" s="339">
        <v>64400</v>
      </c>
      <c r="G4" s="339">
        <v>83255</v>
      </c>
      <c r="H4" s="339">
        <v>2506927</v>
      </c>
      <c r="I4" s="339">
        <v>26760</v>
      </c>
      <c r="J4" s="339">
        <v>37945</v>
      </c>
      <c r="K4" s="339">
        <v>38852</v>
      </c>
      <c r="L4" s="339">
        <v>219853</v>
      </c>
      <c r="M4" s="339">
        <v>77895</v>
      </c>
      <c r="N4" s="335">
        <f t="shared" si="0"/>
        <v>3284815</v>
      </c>
      <c r="O4" s="20" t="s">
        <v>651</v>
      </c>
      <c r="P4" s="335" cm="1">
        <f t="array" ref="P4">IFERROR(INDEX($B$2:$M$51,MATCH($O$4,$A$2:$A$51,0),COLUMN(P4)-COLUMN($P$4)+1),0)</f>
        <v>60675</v>
      </c>
      <c r="Q4" s="335" cm="1">
        <f t="array" ref="Q4">IFERROR(INDEX($B$2:$M$51,MATCH($O$4,$A$2:$A$51,0),COLUMN(Q4)-COLUMN($P$4)+1),0)</f>
        <v>64990</v>
      </c>
      <c r="R4" s="335" cm="1">
        <f t="array" ref="R4">IFERROR(INDEX($B$2:$M$51,MATCH($O$4,$A$2:$A$51,0),COLUMN(R4)-COLUMN($P$4)+1),0)</f>
        <v>61019</v>
      </c>
      <c r="S4" s="335" cm="1">
        <f t="array" ref="S4">IFERROR(INDEX($B$2:$M$51,MATCH($O$4,$A$2:$A$51,0),COLUMN(S4)-COLUMN($P$4)+1),0)</f>
        <v>96462</v>
      </c>
      <c r="T4" s="335" cm="1">
        <f t="array" ref="T4">IFERROR(INDEX($B$2:$M$51,MATCH($O$4,$A$2:$A$51,0),COLUMN(T4)-COLUMN($P$4)+1),0)</f>
        <v>21254</v>
      </c>
      <c r="U4" s="335" cm="1">
        <f t="array" ref="U4">IFERROR(INDEX($B$2:$M$51,MATCH($O$4,$A$2:$A$51,0),COLUMN(U4)-COLUMN($P$4)+1),0)</f>
        <v>71820</v>
      </c>
      <c r="V4" s="335" cm="1">
        <f t="array" ref="V4">IFERROR(INDEX($B$2:$M$51,MATCH($O$4,$A$2:$A$51,0),COLUMN(V4)-COLUMN($P$4)+1),0)</f>
        <v>43775</v>
      </c>
      <c r="W4" s="335" cm="1">
        <f t="array" ref="W4">IFERROR(INDEX($B$2:$M$51,MATCH($O$4,$A$2:$A$51,0),COLUMN(W4)-COLUMN($P$4)+1),0)</f>
        <v>87837</v>
      </c>
      <c r="X4" s="335" cm="1">
        <f t="array" ref="X4">IFERROR(INDEX($B$2:$M$51,MATCH($O$4,$A$2:$A$51,0),COLUMN(X4)-COLUMN($P$4)+1),0)</f>
        <v>60011</v>
      </c>
      <c r="Y4" s="335" cm="1">
        <f t="array" ref="Y4">IFERROR(INDEX($B$2:$M$51,MATCH($O$4,$A$2:$A$51,0),COLUMN(Y4)-COLUMN($P$4)+1),0)</f>
        <v>21440</v>
      </c>
      <c r="Z4" s="335" cm="1">
        <f t="array" ref="Z4">IFERROR(INDEX($B$2:$M$51,MATCH($O$4,$A$2:$A$51,0),COLUMN(Z4)-COLUMN($P$4)+1),0)</f>
        <v>82630</v>
      </c>
      <c r="AA4" s="335" cm="1">
        <f t="array" ref="AA4">IFERROR(INDEX($B$2:$M$51,MATCH($O$4,$A$2:$A$51,0),COLUMN(AA4)-COLUMN($P$4)+1),0)</f>
        <v>4112179</v>
      </c>
      <c r="BA4" s="31" t="s">
        <v>359</v>
      </c>
      <c r="BB4" s="5">
        <v>0</v>
      </c>
      <c r="BC4" s="5">
        <v>0</v>
      </c>
      <c r="BD4" s="5">
        <v>0</v>
      </c>
      <c r="BE4" s="5">
        <v>0</v>
      </c>
      <c r="BF4" s="5">
        <v>15599</v>
      </c>
      <c r="BG4" s="5">
        <v>0</v>
      </c>
      <c r="BH4" s="5">
        <v>0</v>
      </c>
      <c r="BI4" s="5">
        <v>0</v>
      </c>
      <c r="BJ4" s="5">
        <v>0</v>
      </c>
      <c r="BK4" s="5">
        <v>0</v>
      </c>
      <c r="BL4" s="5">
        <v>0</v>
      </c>
      <c r="BM4" s="5">
        <v>1728233</v>
      </c>
    </row>
    <row r="5" spans="1:65" x14ac:dyDescent="0.25">
      <c r="A5" s="338" t="s">
        <v>635</v>
      </c>
      <c r="B5" s="339">
        <v>51780</v>
      </c>
      <c r="C5" s="339">
        <v>48920</v>
      </c>
      <c r="D5" s="339">
        <v>63968</v>
      </c>
      <c r="E5" s="339">
        <v>77010</v>
      </c>
      <c r="F5" s="339">
        <v>67230</v>
      </c>
      <c r="G5" s="339">
        <v>86557</v>
      </c>
      <c r="H5" s="339">
        <v>2007861</v>
      </c>
      <c r="I5" s="339">
        <v>29905</v>
      </c>
      <c r="J5" s="339">
        <v>340744</v>
      </c>
      <c r="K5" s="339">
        <v>41745</v>
      </c>
      <c r="L5" s="339">
        <v>655686</v>
      </c>
      <c r="M5" s="339">
        <v>82141</v>
      </c>
      <c r="N5" s="335">
        <f t="shared" si="0"/>
        <v>3553547</v>
      </c>
      <c r="P5" s="335"/>
      <c r="Q5" s="335"/>
      <c r="R5" s="335"/>
      <c r="S5" s="335"/>
      <c r="T5" s="335"/>
      <c r="U5" s="335"/>
      <c r="V5" s="335"/>
      <c r="W5" s="335"/>
      <c r="X5" s="335"/>
      <c r="Y5" s="335"/>
      <c r="Z5" s="335"/>
      <c r="AA5" s="335"/>
      <c r="BA5" s="31" t="s">
        <v>106</v>
      </c>
      <c r="BB5" s="5">
        <v>0</v>
      </c>
      <c r="BC5" s="5">
        <v>0</v>
      </c>
      <c r="BD5" s="5">
        <v>0</v>
      </c>
      <c r="BE5" s="5">
        <v>0</v>
      </c>
      <c r="BF5" s="5">
        <v>0</v>
      </c>
      <c r="BG5" s="5">
        <v>0</v>
      </c>
      <c r="BH5" s="5">
        <v>0</v>
      </c>
      <c r="BI5" s="5">
        <v>0</v>
      </c>
      <c r="BJ5" s="5">
        <v>160526</v>
      </c>
      <c r="BK5" s="5">
        <v>0</v>
      </c>
      <c r="BL5" s="5">
        <v>0</v>
      </c>
      <c r="BM5" s="5">
        <v>0</v>
      </c>
    </row>
    <row r="6" spans="1:65" x14ac:dyDescent="0.25">
      <c r="A6" s="338" t="s">
        <v>638</v>
      </c>
      <c r="B6" s="339">
        <v>53995</v>
      </c>
      <c r="C6" s="339">
        <v>51908</v>
      </c>
      <c r="D6" s="339">
        <v>67365</v>
      </c>
      <c r="E6" s="339">
        <v>80627</v>
      </c>
      <c r="F6" s="339">
        <v>70061</v>
      </c>
      <c r="G6" s="339">
        <v>89859</v>
      </c>
      <c r="H6" s="339">
        <v>5402773</v>
      </c>
      <c r="I6" s="339">
        <v>33050</v>
      </c>
      <c r="J6" s="339">
        <v>333749</v>
      </c>
      <c r="K6" s="339">
        <v>44638</v>
      </c>
      <c r="L6" s="339">
        <v>496681</v>
      </c>
      <c r="M6" s="339">
        <v>86387</v>
      </c>
      <c r="N6" s="335">
        <f t="shared" si="0"/>
        <v>6811093</v>
      </c>
      <c r="P6" s="335"/>
      <c r="Q6" s="335"/>
      <c r="R6" s="335"/>
      <c r="S6" s="335"/>
      <c r="T6" s="335"/>
      <c r="U6" s="335"/>
      <c r="V6" s="335"/>
      <c r="W6" s="335"/>
      <c r="X6" s="335"/>
      <c r="Y6" s="335"/>
      <c r="Z6" s="335"/>
      <c r="AA6" s="335"/>
      <c r="BA6" s="31" t="s">
        <v>87</v>
      </c>
      <c r="BB6" s="5">
        <v>53995</v>
      </c>
      <c r="BC6" s="5">
        <v>0</v>
      </c>
      <c r="BD6" s="5">
        <v>0</v>
      </c>
      <c r="BE6" s="5">
        <v>0</v>
      </c>
      <c r="BF6" s="5">
        <v>0</v>
      </c>
      <c r="BG6" s="5">
        <v>0</v>
      </c>
      <c r="BH6" s="5">
        <v>5402773</v>
      </c>
      <c r="BI6" s="5">
        <v>0</v>
      </c>
      <c r="BJ6" s="5">
        <v>333749</v>
      </c>
      <c r="BK6" s="5">
        <v>0</v>
      </c>
      <c r="BL6" s="5">
        <v>496681</v>
      </c>
      <c r="BM6" s="5">
        <v>0</v>
      </c>
    </row>
    <row r="7" spans="1:65" x14ac:dyDescent="0.25">
      <c r="A7" s="338" t="s">
        <v>623</v>
      </c>
      <c r="B7" s="339">
        <v>58314</v>
      </c>
      <c r="C7" s="339">
        <v>54896</v>
      </c>
      <c r="D7" s="339">
        <v>70762</v>
      </c>
      <c r="E7" s="339">
        <v>84243</v>
      </c>
      <c r="F7" s="339">
        <v>72891</v>
      </c>
      <c r="G7" s="339">
        <v>93161</v>
      </c>
      <c r="H7" s="339">
        <v>8650687</v>
      </c>
      <c r="I7" s="339">
        <v>36195</v>
      </c>
      <c r="J7" s="339">
        <v>69045</v>
      </c>
      <c r="K7" s="339">
        <v>47532</v>
      </c>
      <c r="L7" s="339">
        <v>1385018</v>
      </c>
      <c r="M7" s="339">
        <v>90632</v>
      </c>
      <c r="N7" s="335">
        <f t="shared" si="0"/>
        <v>10713376</v>
      </c>
      <c r="P7" s="335"/>
      <c r="Q7" s="335"/>
      <c r="R7" s="335"/>
      <c r="S7" s="335"/>
      <c r="T7" s="335"/>
      <c r="U7" s="335"/>
      <c r="V7" s="335"/>
      <c r="W7" s="335"/>
      <c r="X7" s="335"/>
      <c r="Y7" s="335"/>
      <c r="Z7" s="335"/>
      <c r="AA7" s="335"/>
      <c r="BA7" s="31" t="s">
        <v>137</v>
      </c>
      <c r="BB7" s="5">
        <v>0</v>
      </c>
      <c r="BC7" s="5">
        <v>0</v>
      </c>
      <c r="BD7" s="5">
        <v>0</v>
      </c>
      <c r="BE7" s="5">
        <v>1618714</v>
      </c>
      <c r="BF7" s="5">
        <v>0</v>
      </c>
      <c r="BG7" s="5">
        <v>0</v>
      </c>
      <c r="BH7" s="5">
        <v>0</v>
      </c>
      <c r="BI7" s="5">
        <v>0</v>
      </c>
      <c r="BJ7" s="5">
        <v>0</v>
      </c>
      <c r="BK7" s="5">
        <v>0</v>
      </c>
      <c r="BL7" s="5">
        <v>0</v>
      </c>
      <c r="BM7" s="5">
        <v>0</v>
      </c>
    </row>
    <row r="8" spans="1:65" x14ac:dyDescent="0.25">
      <c r="A8" s="338" t="s">
        <v>646</v>
      </c>
      <c r="B8" s="339">
        <v>47409</v>
      </c>
      <c r="C8" s="339">
        <v>57884</v>
      </c>
      <c r="D8" s="339">
        <v>74158</v>
      </c>
      <c r="E8" s="339">
        <v>87860</v>
      </c>
      <c r="F8" s="339">
        <v>75722</v>
      </c>
      <c r="G8" s="339">
        <v>25064</v>
      </c>
      <c r="H8" s="339">
        <v>35398</v>
      </c>
      <c r="I8" s="339">
        <v>39340</v>
      </c>
      <c r="J8" s="339">
        <v>314880</v>
      </c>
      <c r="K8" s="339">
        <v>50425</v>
      </c>
      <c r="L8" s="339">
        <v>73803</v>
      </c>
      <c r="M8" s="339">
        <v>94878</v>
      </c>
      <c r="N8" s="335">
        <f t="shared" si="0"/>
        <v>976821</v>
      </c>
      <c r="P8" s="335"/>
      <c r="Q8" s="335"/>
      <c r="R8" s="335"/>
      <c r="S8" s="335"/>
      <c r="T8" s="335"/>
      <c r="U8" s="335"/>
      <c r="V8" s="335"/>
      <c r="W8" s="335"/>
      <c r="X8" s="335"/>
      <c r="Y8" s="335"/>
      <c r="Z8" s="335"/>
      <c r="AA8" s="335"/>
      <c r="BA8" s="31" t="s">
        <v>324</v>
      </c>
      <c r="BB8" s="5">
        <v>0</v>
      </c>
      <c r="BC8" s="5">
        <v>0</v>
      </c>
      <c r="BD8" s="5">
        <v>0</v>
      </c>
      <c r="BE8" s="5">
        <v>0</v>
      </c>
      <c r="BF8" s="5">
        <v>0</v>
      </c>
      <c r="BG8" s="5">
        <v>0</v>
      </c>
      <c r="BH8" s="5">
        <v>0</v>
      </c>
      <c r="BI8" s="5">
        <v>0</v>
      </c>
      <c r="BJ8" s="5">
        <v>0</v>
      </c>
      <c r="BK8" s="5">
        <v>0</v>
      </c>
      <c r="BL8" s="5">
        <v>0</v>
      </c>
      <c r="BM8" s="5">
        <v>2181275</v>
      </c>
    </row>
    <row r="9" spans="1:65" x14ac:dyDescent="0.25">
      <c r="A9" s="338" t="s">
        <v>634</v>
      </c>
      <c r="B9" s="339">
        <v>56340</v>
      </c>
      <c r="C9" s="339">
        <v>60871</v>
      </c>
      <c r="D9" s="339">
        <v>77555</v>
      </c>
      <c r="E9" s="339">
        <v>91477</v>
      </c>
      <c r="F9" s="339">
        <v>78552</v>
      </c>
      <c r="G9" s="339">
        <v>28366</v>
      </c>
      <c r="H9" s="339">
        <v>38920</v>
      </c>
      <c r="I9" s="339">
        <v>42485</v>
      </c>
      <c r="J9" s="339">
        <v>160526</v>
      </c>
      <c r="K9" s="339">
        <v>53319</v>
      </c>
      <c r="L9" s="339">
        <v>77514</v>
      </c>
      <c r="M9" s="339">
        <v>99124</v>
      </c>
      <c r="N9" s="335">
        <f t="shared" si="0"/>
        <v>865049</v>
      </c>
      <c r="P9" s="335"/>
      <c r="Q9" s="335"/>
      <c r="R9" s="335"/>
      <c r="S9" s="335"/>
      <c r="T9" s="335"/>
      <c r="U9" s="335"/>
      <c r="V9" s="335"/>
      <c r="W9" s="335"/>
      <c r="X9" s="335"/>
      <c r="Y9" s="335"/>
      <c r="Z9" s="335"/>
      <c r="AA9" s="335"/>
      <c r="BA9" s="31" t="s">
        <v>149</v>
      </c>
      <c r="BB9" s="5">
        <v>0</v>
      </c>
      <c r="BC9" s="5">
        <v>0</v>
      </c>
      <c r="BD9" s="5">
        <v>0</v>
      </c>
      <c r="BE9" s="5">
        <v>405592</v>
      </c>
      <c r="BF9" s="5">
        <v>0</v>
      </c>
      <c r="BG9" s="5">
        <v>0</v>
      </c>
      <c r="BH9" s="5">
        <v>0</v>
      </c>
      <c r="BI9" s="5">
        <v>0</v>
      </c>
      <c r="BJ9" s="5">
        <v>0</v>
      </c>
      <c r="BK9" s="5">
        <v>0</v>
      </c>
      <c r="BL9" s="5">
        <v>0</v>
      </c>
      <c r="BM9" s="5">
        <v>0</v>
      </c>
    </row>
    <row r="10" spans="1:65" x14ac:dyDescent="0.25">
      <c r="A10" s="338" t="s">
        <v>676</v>
      </c>
      <c r="B10" s="339">
        <v>59485</v>
      </c>
      <c r="C10" s="339">
        <v>63859</v>
      </c>
      <c r="D10" s="339">
        <v>80951</v>
      </c>
      <c r="E10" s="339">
        <v>95093</v>
      </c>
      <c r="F10" s="339">
        <v>20183</v>
      </c>
      <c r="G10" s="339">
        <v>31668</v>
      </c>
      <c r="H10" s="339">
        <v>42442</v>
      </c>
      <c r="I10" s="339">
        <v>45630</v>
      </c>
      <c r="J10" s="339">
        <v>58702</v>
      </c>
      <c r="K10" s="339">
        <v>56212</v>
      </c>
      <c r="L10" s="339">
        <v>81225</v>
      </c>
      <c r="M10" s="339">
        <v>103370</v>
      </c>
      <c r="N10" s="335">
        <f t="shared" si="0"/>
        <v>738820</v>
      </c>
      <c r="P10" s="335"/>
      <c r="Q10" s="335"/>
      <c r="R10" s="335"/>
      <c r="S10" s="335"/>
      <c r="T10" s="335"/>
      <c r="U10" s="335"/>
      <c r="V10" s="335"/>
      <c r="W10" s="335"/>
      <c r="X10" s="335"/>
      <c r="Y10" s="335"/>
      <c r="Z10" s="335"/>
      <c r="AA10" s="335"/>
      <c r="BA10" s="31" t="s">
        <v>99</v>
      </c>
      <c r="BB10" s="5">
        <v>47409</v>
      </c>
      <c r="BC10" s="5">
        <v>0</v>
      </c>
      <c r="BD10" s="5">
        <v>0</v>
      </c>
      <c r="BE10" s="5">
        <v>0</v>
      </c>
      <c r="BF10" s="5">
        <v>0</v>
      </c>
      <c r="BG10" s="5">
        <v>0</v>
      </c>
      <c r="BH10" s="5">
        <v>0</v>
      </c>
      <c r="BI10" s="5">
        <v>0</v>
      </c>
      <c r="BJ10" s="5">
        <v>314880</v>
      </c>
      <c r="BK10" s="5">
        <v>0</v>
      </c>
      <c r="BL10" s="5">
        <v>0</v>
      </c>
      <c r="BM10" s="5">
        <v>0</v>
      </c>
    </row>
    <row r="11" spans="1:65" x14ac:dyDescent="0.25">
      <c r="A11" s="338" t="s">
        <v>1979</v>
      </c>
      <c r="B11" s="339">
        <v>62630</v>
      </c>
      <c r="C11" s="339">
        <v>66847</v>
      </c>
      <c r="D11" s="339">
        <v>84348</v>
      </c>
      <c r="E11" s="339">
        <v>98710</v>
      </c>
      <c r="F11" s="339">
        <v>23013</v>
      </c>
      <c r="G11" s="339">
        <v>34970</v>
      </c>
      <c r="H11" s="339">
        <v>45965</v>
      </c>
      <c r="I11" s="339">
        <v>48775</v>
      </c>
      <c r="J11" s="339">
        <v>62161</v>
      </c>
      <c r="K11" s="339">
        <v>59105</v>
      </c>
      <c r="L11" s="339">
        <v>84936</v>
      </c>
      <c r="M11" s="339">
        <v>107615</v>
      </c>
      <c r="N11" s="335">
        <f t="shared" si="0"/>
        <v>779075</v>
      </c>
      <c r="BA11" s="31" t="s">
        <v>143</v>
      </c>
      <c r="BB11" s="5">
        <v>0</v>
      </c>
      <c r="BC11" s="5">
        <v>0</v>
      </c>
      <c r="BD11" s="5">
        <v>0</v>
      </c>
      <c r="BE11" s="5">
        <v>623285</v>
      </c>
      <c r="BF11" s="5">
        <v>0</v>
      </c>
      <c r="BG11" s="5">
        <v>0</v>
      </c>
      <c r="BH11" s="5">
        <v>0</v>
      </c>
      <c r="BI11" s="5">
        <v>0</v>
      </c>
      <c r="BJ11" s="5">
        <v>0</v>
      </c>
      <c r="BK11" s="5">
        <v>0</v>
      </c>
      <c r="BL11" s="5">
        <v>0</v>
      </c>
      <c r="BM11" s="5">
        <v>0</v>
      </c>
    </row>
    <row r="12" spans="1:65" x14ac:dyDescent="0.25">
      <c r="A12" s="338" t="s">
        <v>1980</v>
      </c>
      <c r="B12" s="339">
        <v>65775</v>
      </c>
      <c r="C12" s="339">
        <v>69835</v>
      </c>
      <c r="D12" s="339">
        <v>87745</v>
      </c>
      <c r="E12" s="339">
        <v>102327</v>
      </c>
      <c r="F12" s="339">
        <v>25844</v>
      </c>
      <c r="G12" s="339">
        <v>38273</v>
      </c>
      <c r="H12" s="339">
        <v>49487</v>
      </c>
      <c r="I12" s="339">
        <v>51920</v>
      </c>
      <c r="J12" s="339">
        <v>65621</v>
      </c>
      <c r="K12" s="339">
        <v>61999</v>
      </c>
      <c r="L12" s="339">
        <v>88648</v>
      </c>
      <c r="M12" s="339">
        <v>111861</v>
      </c>
      <c r="N12" s="335">
        <f t="shared" si="0"/>
        <v>819335</v>
      </c>
      <c r="BA12" s="31" t="s">
        <v>283</v>
      </c>
      <c r="BB12" s="5">
        <v>0</v>
      </c>
      <c r="BC12" s="5">
        <v>0</v>
      </c>
      <c r="BD12" s="5">
        <v>87181</v>
      </c>
      <c r="BE12" s="5">
        <v>0</v>
      </c>
      <c r="BF12" s="5">
        <v>0</v>
      </c>
      <c r="BG12" s="5">
        <v>0</v>
      </c>
      <c r="BH12" s="5">
        <v>0</v>
      </c>
      <c r="BI12" s="5">
        <v>0</v>
      </c>
      <c r="BJ12" s="5">
        <v>0</v>
      </c>
      <c r="BK12" s="5">
        <v>0</v>
      </c>
      <c r="BL12" s="5">
        <v>0</v>
      </c>
      <c r="BM12" s="5">
        <v>2428793</v>
      </c>
    </row>
    <row r="13" spans="1:65" x14ac:dyDescent="0.25">
      <c r="A13" s="338" t="s">
        <v>657</v>
      </c>
      <c r="B13" s="339">
        <v>68920</v>
      </c>
      <c r="C13" s="339">
        <v>72822</v>
      </c>
      <c r="D13" s="339">
        <v>91141</v>
      </c>
      <c r="E13" s="339">
        <v>27744</v>
      </c>
      <c r="F13" s="339">
        <v>28674</v>
      </c>
      <c r="G13" s="339">
        <v>41575</v>
      </c>
      <c r="H13" s="339">
        <v>53010</v>
      </c>
      <c r="I13" s="339">
        <v>55065</v>
      </c>
      <c r="J13" s="339">
        <v>69080</v>
      </c>
      <c r="K13" s="339">
        <v>64892</v>
      </c>
      <c r="L13" s="339">
        <v>92359</v>
      </c>
      <c r="M13" s="339">
        <v>116107</v>
      </c>
      <c r="N13" s="335">
        <f t="shared" si="0"/>
        <v>781389</v>
      </c>
      <c r="BA13" s="31" t="s">
        <v>353</v>
      </c>
      <c r="BB13" s="5">
        <v>0</v>
      </c>
      <c r="BC13" s="5">
        <v>0</v>
      </c>
      <c r="BD13" s="5">
        <v>0</v>
      </c>
      <c r="BE13" s="5">
        <v>0</v>
      </c>
      <c r="BF13" s="5">
        <v>12942</v>
      </c>
      <c r="BG13" s="5">
        <v>0</v>
      </c>
      <c r="BH13" s="5">
        <v>0</v>
      </c>
      <c r="BI13" s="5">
        <v>0</v>
      </c>
      <c r="BJ13" s="5">
        <v>0</v>
      </c>
      <c r="BK13" s="5">
        <v>0</v>
      </c>
      <c r="BL13" s="5">
        <v>0</v>
      </c>
      <c r="BM13" s="5">
        <v>7270855</v>
      </c>
    </row>
    <row r="14" spans="1:65" ht="21.95" customHeight="1" x14ac:dyDescent="0.25">
      <c r="A14" s="338" t="s">
        <v>640</v>
      </c>
      <c r="B14" s="339">
        <v>72065</v>
      </c>
      <c r="C14" s="339">
        <v>75810</v>
      </c>
      <c r="D14" s="339">
        <v>94538</v>
      </c>
      <c r="E14" s="339">
        <v>1618714</v>
      </c>
      <c r="F14" s="339">
        <v>31505</v>
      </c>
      <c r="G14" s="339">
        <v>44877</v>
      </c>
      <c r="H14" s="339">
        <v>56532</v>
      </c>
      <c r="I14" s="339">
        <v>58210</v>
      </c>
      <c r="J14" s="339">
        <v>72540</v>
      </c>
      <c r="K14" s="339">
        <v>67786</v>
      </c>
      <c r="L14" s="339">
        <v>96070</v>
      </c>
      <c r="M14" s="339">
        <v>120353</v>
      </c>
      <c r="N14" s="335">
        <f t="shared" si="0"/>
        <v>2409000</v>
      </c>
      <c r="Q14" s="337" t="s">
        <v>1010</v>
      </c>
      <c r="R14" s="337" t="s">
        <v>1469</v>
      </c>
      <c r="T14" s="337" t="s">
        <v>1010</v>
      </c>
      <c r="U14" s="337" t="s">
        <v>1470</v>
      </c>
      <c r="W14" s="337" t="s">
        <v>1010</v>
      </c>
      <c r="X14" s="337" t="s">
        <v>1471</v>
      </c>
      <c r="Z14" s="337" t="s">
        <v>1010</v>
      </c>
      <c r="AA14" s="337" t="s">
        <v>1472</v>
      </c>
      <c r="AC14" s="337" t="s">
        <v>1010</v>
      </c>
      <c r="AD14" s="337" t="s">
        <v>1473</v>
      </c>
      <c r="AF14" s="337" t="s">
        <v>1010</v>
      </c>
      <c r="AG14" s="337" t="s">
        <v>1474</v>
      </c>
      <c r="AI14" s="337" t="s">
        <v>1010</v>
      </c>
      <c r="AJ14" s="337" t="s">
        <v>1475</v>
      </c>
      <c r="AL14" s="337" t="s">
        <v>1010</v>
      </c>
      <c r="AM14" s="337" t="s">
        <v>1476</v>
      </c>
      <c r="AO14" s="337" t="s">
        <v>1010</v>
      </c>
      <c r="AP14" s="337" t="s">
        <v>1477</v>
      </c>
      <c r="AR14" s="337" t="s">
        <v>1010</v>
      </c>
      <c r="AS14" s="337" t="s">
        <v>1478</v>
      </c>
      <c r="AU14" s="337" t="s">
        <v>1010</v>
      </c>
      <c r="AV14" s="337" t="s">
        <v>1479</v>
      </c>
      <c r="AX14" s="337" t="s">
        <v>1010</v>
      </c>
      <c r="AY14" s="337" t="s">
        <v>1480</v>
      </c>
      <c r="BA14" s="31" t="s">
        <v>198</v>
      </c>
      <c r="BB14" s="5">
        <v>0</v>
      </c>
      <c r="BC14" s="5">
        <v>51500</v>
      </c>
      <c r="BD14" s="5">
        <v>0</v>
      </c>
      <c r="BE14" s="5">
        <v>831248</v>
      </c>
      <c r="BF14" s="5">
        <v>0</v>
      </c>
      <c r="BG14" s="5">
        <v>81720</v>
      </c>
      <c r="BH14" s="5">
        <v>0</v>
      </c>
      <c r="BI14" s="5">
        <v>85313</v>
      </c>
      <c r="BJ14" s="5">
        <v>0</v>
      </c>
      <c r="BK14" s="5">
        <v>0</v>
      </c>
      <c r="BL14" s="5">
        <v>0</v>
      </c>
      <c r="BM14" s="5">
        <v>1153642</v>
      </c>
    </row>
    <row r="15" spans="1:65" x14ac:dyDescent="0.25">
      <c r="A15" s="338" t="s">
        <v>648</v>
      </c>
      <c r="B15" s="339">
        <v>75210</v>
      </c>
      <c r="C15" s="339">
        <v>78798</v>
      </c>
      <c r="D15" s="339">
        <v>24494</v>
      </c>
      <c r="E15" s="339">
        <v>623285</v>
      </c>
      <c r="F15" s="339">
        <v>34335</v>
      </c>
      <c r="G15" s="339">
        <v>48179</v>
      </c>
      <c r="H15" s="339">
        <v>60054</v>
      </c>
      <c r="I15" s="339">
        <v>61355</v>
      </c>
      <c r="J15" s="339">
        <v>75999</v>
      </c>
      <c r="K15" s="339">
        <v>70679</v>
      </c>
      <c r="L15" s="339">
        <v>99781</v>
      </c>
      <c r="M15" s="339">
        <v>32798</v>
      </c>
      <c r="N15" s="335">
        <f t="shared" si="0"/>
        <v>1284967</v>
      </c>
      <c r="Q15" s="1" t="s">
        <v>1978</v>
      </c>
      <c r="R15" s="334">
        <v>58393</v>
      </c>
      <c r="S15" s="335"/>
      <c r="T15" s="334" t="s">
        <v>670</v>
      </c>
      <c r="U15" s="334">
        <v>35800</v>
      </c>
      <c r="V15" s="335"/>
      <c r="W15" s="334" t="s">
        <v>625</v>
      </c>
      <c r="X15" s="334">
        <v>59945</v>
      </c>
      <c r="Y15" s="335"/>
      <c r="Z15" s="334" t="s">
        <v>640</v>
      </c>
      <c r="AA15" s="334">
        <v>1618714</v>
      </c>
      <c r="AB15" s="335"/>
      <c r="AC15" s="334" t="s">
        <v>1981</v>
      </c>
      <c r="AD15" s="334">
        <v>31813</v>
      </c>
      <c r="AE15" s="335"/>
      <c r="AF15" s="334" t="s">
        <v>673</v>
      </c>
      <c r="AG15" s="334">
        <v>67018</v>
      </c>
      <c r="AH15" s="335"/>
      <c r="AI15" s="334" t="s">
        <v>665</v>
      </c>
      <c r="AJ15" s="334">
        <v>2506927</v>
      </c>
      <c r="AK15" s="335"/>
      <c r="AL15" s="334" t="s">
        <v>1982</v>
      </c>
      <c r="AM15" s="334">
        <v>85313</v>
      </c>
      <c r="AN15" s="335"/>
      <c r="AO15" s="334" t="s">
        <v>635</v>
      </c>
      <c r="AP15" s="334">
        <v>340744</v>
      </c>
      <c r="AQ15" s="335"/>
      <c r="AR15" s="334" t="s">
        <v>1983</v>
      </c>
      <c r="AS15" s="334">
        <v>28264</v>
      </c>
      <c r="AT15" s="335"/>
      <c r="AU15" s="334" t="s">
        <v>674</v>
      </c>
      <c r="AV15" s="334">
        <v>1487530</v>
      </c>
      <c r="AW15" s="335"/>
      <c r="AX15" s="334" t="s">
        <v>1982</v>
      </c>
      <c r="AY15" s="334">
        <v>1153642</v>
      </c>
      <c r="BA15" s="31" t="s">
        <v>220</v>
      </c>
      <c r="BB15" s="5">
        <v>0</v>
      </c>
      <c r="BC15" s="5">
        <v>57212</v>
      </c>
      <c r="BD15" s="5">
        <v>0</v>
      </c>
      <c r="BE15" s="5">
        <v>1716951</v>
      </c>
      <c r="BF15" s="5">
        <v>0</v>
      </c>
      <c r="BG15" s="5">
        <v>90094</v>
      </c>
      <c r="BH15" s="5">
        <v>0</v>
      </c>
      <c r="BI15" s="5">
        <v>83961</v>
      </c>
      <c r="BJ15" s="5">
        <v>0</v>
      </c>
      <c r="BK15" s="5">
        <v>22602</v>
      </c>
      <c r="BL15" s="5">
        <v>0</v>
      </c>
      <c r="BM15" s="5">
        <v>1933948</v>
      </c>
    </row>
    <row r="16" spans="1:65" x14ac:dyDescent="0.25">
      <c r="A16" s="338" t="s">
        <v>645</v>
      </c>
      <c r="B16" s="339">
        <v>78355</v>
      </c>
      <c r="C16" s="339">
        <v>81786</v>
      </c>
      <c r="D16" s="339">
        <v>27891</v>
      </c>
      <c r="E16" s="339">
        <v>405592</v>
      </c>
      <c r="F16" s="339">
        <v>37166</v>
      </c>
      <c r="G16" s="339">
        <v>51482</v>
      </c>
      <c r="H16" s="339">
        <v>63577</v>
      </c>
      <c r="I16" s="339">
        <v>64500</v>
      </c>
      <c r="J16" s="339">
        <v>79459</v>
      </c>
      <c r="K16" s="339">
        <v>73572</v>
      </c>
      <c r="L16" s="339">
        <v>103492</v>
      </c>
      <c r="M16" s="339">
        <v>37044</v>
      </c>
      <c r="N16" s="335">
        <f t="shared" si="0"/>
        <v>1103916</v>
      </c>
      <c r="Q16" s="1" t="s">
        <v>674</v>
      </c>
      <c r="R16" s="334">
        <v>54318</v>
      </c>
      <c r="S16" s="335"/>
      <c r="T16" s="334" t="s">
        <v>662</v>
      </c>
      <c r="U16" s="334">
        <v>30904</v>
      </c>
      <c r="V16" s="335"/>
      <c r="W16" s="334" t="s">
        <v>649</v>
      </c>
      <c r="X16" s="334">
        <v>65112</v>
      </c>
      <c r="Y16" s="335"/>
      <c r="Z16" s="334" t="s">
        <v>648</v>
      </c>
      <c r="AA16" s="334">
        <v>623285</v>
      </c>
      <c r="AB16" s="335"/>
      <c r="AC16" s="334" t="s">
        <v>1984</v>
      </c>
      <c r="AD16" s="334">
        <v>49185</v>
      </c>
      <c r="AE16" s="335"/>
      <c r="AF16" s="334" t="s">
        <v>1985</v>
      </c>
      <c r="AG16" s="334">
        <v>89197</v>
      </c>
      <c r="AH16" s="335"/>
      <c r="AI16" s="334" t="s">
        <v>635</v>
      </c>
      <c r="AJ16" s="334">
        <v>2007861</v>
      </c>
      <c r="AK16" s="335"/>
      <c r="AL16" s="334" t="s">
        <v>1986</v>
      </c>
      <c r="AM16" s="334">
        <v>83898</v>
      </c>
      <c r="AN16" s="335"/>
      <c r="AO16" s="334" t="s">
        <v>638</v>
      </c>
      <c r="AP16" s="334">
        <v>333749</v>
      </c>
      <c r="AQ16" s="335"/>
      <c r="AR16" s="334" t="s">
        <v>1987</v>
      </c>
      <c r="AS16" s="334">
        <v>22602</v>
      </c>
      <c r="AT16" s="335"/>
      <c r="AU16" s="334" t="s">
        <v>665</v>
      </c>
      <c r="AV16" s="334">
        <v>219853</v>
      </c>
      <c r="AW16" s="335"/>
      <c r="AX16" s="334" t="s">
        <v>1986</v>
      </c>
      <c r="AY16" s="334">
        <v>1957931</v>
      </c>
      <c r="BA16" s="31" t="s">
        <v>209</v>
      </c>
      <c r="BB16" s="5">
        <v>0</v>
      </c>
      <c r="BC16" s="5">
        <v>64376</v>
      </c>
      <c r="BD16" s="5">
        <v>0</v>
      </c>
      <c r="BE16" s="5">
        <v>1924455</v>
      </c>
      <c r="BF16" s="5">
        <v>0</v>
      </c>
      <c r="BG16" s="5">
        <v>59118</v>
      </c>
      <c r="BH16" s="5">
        <v>0</v>
      </c>
      <c r="BI16" s="5">
        <v>94389</v>
      </c>
      <c r="BJ16" s="5">
        <v>0</v>
      </c>
      <c r="BK16" s="5">
        <v>0</v>
      </c>
      <c r="BL16" s="5">
        <v>0</v>
      </c>
      <c r="BM16" s="5">
        <v>6177632</v>
      </c>
    </row>
    <row r="17" spans="1:65" x14ac:dyDescent="0.25">
      <c r="A17" s="338" t="s">
        <v>671</v>
      </c>
      <c r="B17" s="339">
        <v>81500</v>
      </c>
      <c r="C17" s="339">
        <v>84773</v>
      </c>
      <c r="D17" s="339">
        <v>31288</v>
      </c>
      <c r="E17" s="339">
        <v>1761958</v>
      </c>
      <c r="F17" s="339">
        <v>39996</v>
      </c>
      <c r="G17" s="339">
        <v>54784</v>
      </c>
      <c r="H17" s="339">
        <v>67099</v>
      </c>
      <c r="I17" s="339">
        <v>67645</v>
      </c>
      <c r="J17" s="339">
        <v>82918</v>
      </c>
      <c r="K17" s="339">
        <v>76466</v>
      </c>
      <c r="L17" s="339">
        <v>26963</v>
      </c>
      <c r="M17" s="339">
        <v>41290</v>
      </c>
      <c r="N17" s="335">
        <f t="shared" si="0"/>
        <v>2416680</v>
      </c>
      <c r="Q17" s="1" t="s">
        <v>665</v>
      </c>
      <c r="R17" s="334">
        <v>49030</v>
      </c>
      <c r="S17" s="335"/>
      <c r="T17" s="334" t="s">
        <v>1988</v>
      </c>
      <c r="U17" s="334">
        <v>66554</v>
      </c>
      <c r="V17" s="335"/>
      <c r="W17" s="334" t="s">
        <v>651</v>
      </c>
      <c r="X17" s="334">
        <v>61019</v>
      </c>
      <c r="Y17" s="335"/>
      <c r="Z17" s="334" t="s">
        <v>645</v>
      </c>
      <c r="AA17" s="334">
        <v>405592</v>
      </c>
      <c r="AB17" s="335"/>
      <c r="AC17" s="334" t="s">
        <v>669</v>
      </c>
      <c r="AD17" s="334">
        <v>33440</v>
      </c>
      <c r="AE17" s="335"/>
      <c r="AF17" s="334" t="s">
        <v>670</v>
      </c>
      <c r="AG17" s="334">
        <v>60899</v>
      </c>
      <c r="AH17" s="335"/>
      <c r="AI17" s="334" t="s">
        <v>638</v>
      </c>
      <c r="AJ17" s="334">
        <v>5402773</v>
      </c>
      <c r="AK17" s="335"/>
      <c r="AL17" s="334" t="s">
        <v>1989</v>
      </c>
      <c r="AM17" s="334">
        <v>94389</v>
      </c>
      <c r="AN17" s="335"/>
      <c r="AO17" s="334" t="s">
        <v>623</v>
      </c>
      <c r="AP17" s="334">
        <v>69045</v>
      </c>
      <c r="AQ17" s="335"/>
      <c r="AR17" s="334" t="s">
        <v>1990</v>
      </c>
      <c r="AS17" s="334">
        <v>47838</v>
      </c>
      <c r="AT17" s="335"/>
      <c r="AU17" s="334" t="s">
        <v>635</v>
      </c>
      <c r="AV17" s="334">
        <v>655686</v>
      </c>
      <c r="AW17" s="335"/>
      <c r="AX17" s="334" t="s">
        <v>1989</v>
      </c>
      <c r="AY17" s="334">
        <v>6177632</v>
      </c>
      <c r="BA17" s="31" t="s">
        <v>244</v>
      </c>
      <c r="BB17" s="5">
        <v>0</v>
      </c>
      <c r="BC17" s="5">
        <v>0</v>
      </c>
      <c r="BD17" s="5">
        <v>61019</v>
      </c>
      <c r="BE17" s="5">
        <v>0</v>
      </c>
      <c r="BF17" s="5">
        <v>0</v>
      </c>
      <c r="BG17" s="5">
        <v>71820</v>
      </c>
      <c r="BH17" s="5">
        <v>0</v>
      </c>
      <c r="BI17" s="5">
        <v>87837</v>
      </c>
      <c r="BJ17" s="5">
        <v>0</v>
      </c>
      <c r="BK17" s="5">
        <v>21440</v>
      </c>
      <c r="BL17" s="5">
        <v>0</v>
      </c>
      <c r="BM17" s="5">
        <v>4112179</v>
      </c>
    </row>
    <row r="18" spans="1:65" x14ac:dyDescent="0.25">
      <c r="A18" s="338" t="s">
        <v>678</v>
      </c>
      <c r="B18" s="339">
        <v>84645</v>
      </c>
      <c r="C18" s="339">
        <v>23161</v>
      </c>
      <c r="D18" s="339">
        <v>34684</v>
      </c>
      <c r="E18" s="339">
        <v>1409859</v>
      </c>
      <c r="F18" s="339">
        <v>42827</v>
      </c>
      <c r="G18" s="339">
        <v>58086</v>
      </c>
      <c r="H18" s="339">
        <v>70622</v>
      </c>
      <c r="I18" s="339">
        <v>70790</v>
      </c>
      <c r="J18" s="339">
        <v>86378</v>
      </c>
      <c r="K18" s="339">
        <v>79359</v>
      </c>
      <c r="L18" s="339">
        <v>30674</v>
      </c>
      <c r="M18" s="339">
        <v>45536</v>
      </c>
      <c r="N18" s="335">
        <f t="shared" si="0"/>
        <v>2036621</v>
      </c>
      <c r="Q18" s="1" t="s">
        <v>635</v>
      </c>
      <c r="R18" s="334">
        <v>51780</v>
      </c>
      <c r="S18" s="335"/>
      <c r="T18" s="334" t="s">
        <v>1982</v>
      </c>
      <c r="U18" s="334">
        <v>51500</v>
      </c>
      <c r="V18" s="335"/>
      <c r="W18" s="334" t="s">
        <v>1991</v>
      </c>
      <c r="X18" s="334">
        <v>58408</v>
      </c>
      <c r="Y18" s="335"/>
      <c r="Z18" s="334" t="s">
        <v>671</v>
      </c>
      <c r="AA18" s="334">
        <v>1761958</v>
      </c>
      <c r="AB18" s="335"/>
      <c r="AC18" s="334" t="s">
        <v>652</v>
      </c>
      <c r="AD18" s="334">
        <v>12942</v>
      </c>
      <c r="AE18" s="335"/>
      <c r="AF18" s="334" t="s">
        <v>662</v>
      </c>
      <c r="AG18" s="334">
        <v>84157</v>
      </c>
      <c r="AH18" s="335"/>
      <c r="AI18" s="334" t="s">
        <v>623</v>
      </c>
      <c r="AJ18" s="334">
        <v>8650687</v>
      </c>
      <c r="AK18" s="335"/>
      <c r="AL18" s="334" t="s">
        <v>1983</v>
      </c>
      <c r="AM18" s="334">
        <v>88031</v>
      </c>
      <c r="AN18" s="335"/>
      <c r="AO18" s="334" t="s">
        <v>646</v>
      </c>
      <c r="AP18" s="334">
        <v>314880</v>
      </c>
      <c r="AQ18" s="335"/>
      <c r="AR18" s="334" t="s">
        <v>625</v>
      </c>
      <c r="AS18" s="334">
        <v>63268</v>
      </c>
      <c r="AT18" s="335"/>
      <c r="AU18" s="334" t="s">
        <v>638</v>
      </c>
      <c r="AV18" s="334">
        <v>496681</v>
      </c>
      <c r="AW18" s="335"/>
      <c r="AX18" s="334" t="s">
        <v>1983</v>
      </c>
      <c r="AY18" s="334">
        <v>5310108</v>
      </c>
      <c r="BA18" s="31" t="s">
        <v>232</v>
      </c>
      <c r="BB18" s="5">
        <v>0</v>
      </c>
      <c r="BC18" s="5">
        <v>0</v>
      </c>
      <c r="BD18" s="5">
        <v>59945</v>
      </c>
      <c r="BE18" s="5">
        <v>0</v>
      </c>
      <c r="BF18" s="5">
        <v>0</v>
      </c>
      <c r="BG18" s="5">
        <v>80207</v>
      </c>
      <c r="BH18" s="5">
        <v>0</v>
      </c>
      <c r="BI18" s="5">
        <v>88275</v>
      </c>
      <c r="BJ18" s="5">
        <v>0</v>
      </c>
      <c r="BK18" s="5">
        <v>63268</v>
      </c>
      <c r="BL18" s="5">
        <v>0</v>
      </c>
      <c r="BM18" s="5">
        <v>2178761</v>
      </c>
    </row>
    <row r="19" spans="1:65" x14ac:dyDescent="0.25">
      <c r="A19" s="338" t="s">
        <v>673</v>
      </c>
      <c r="B19" s="339">
        <v>87790</v>
      </c>
      <c r="C19" s="339">
        <v>26149</v>
      </c>
      <c r="D19" s="339">
        <v>38081</v>
      </c>
      <c r="E19" s="339">
        <v>1734094</v>
      </c>
      <c r="F19" s="339">
        <v>45657</v>
      </c>
      <c r="G19" s="339">
        <v>67018</v>
      </c>
      <c r="H19" s="339">
        <v>74144</v>
      </c>
      <c r="I19" s="339">
        <v>73935</v>
      </c>
      <c r="J19" s="339">
        <v>89837</v>
      </c>
      <c r="K19" s="339">
        <v>82253</v>
      </c>
      <c r="L19" s="339">
        <v>34385</v>
      </c>
      <c r="M19" s="339">
        <v>49781</v>
      </c>
      <c r="N19" s="335">
        <f t="shared" si="0"/>
        <v>2403124</v>
      </c>
      <c r="Q19" s="1" t="s">
        <v>638</v>
      </c>
      <c r="R19" s="334">
        <v>53995</v>
      </c>
      <c r="S19" s="335"/>
      <c r="T19" s="334" t="s">
        <v>1986</v>
      </c>
      <c r="U19" s="334">
        <v>15496</v>
      </c>
      <c r="V19" s="335"/>
      <c r="W19" s="334" t="s">
        <v>1992</v>
      </c>
      <c r="X19" s="334">
        <v>61894</v>
      </c>
      <c r="Y19" s="335"/>
      <c r="Z19" s="334" t="s">
        <v>678</v>
      </c>
      <c r="AA19" s="334">
        <v>1409859</v>
      </c>
      <c r="AB19" s="335"/>
      <c r="AC19" s="334" t="s">
        <v>632</v>
      </c>
      <c r="AD19" s="334">
        <v>15599</v>
      </c>
      <c r="AE19" s="335"/>
      <c r="AF19" s="334" t="s">
        <v>1988</v>
      </c>
      <c r="AG19" s="334">
        <v>80626</v>
      </c>
      <c r="AH19" s="335"/>
      <c r="AI19" s="335"/>
      <c r="AJ19" s="335"/>
      <c r="AK19" s="335"/>
      <c r="AL19" s="334" t="s">
        <v>1987</v>
      </c>
      <c r="AM19" s="334">
        <v>83961</v>
      </c>
      <c r="AN19" s="335"/>
      <c r="AO19" s="334" t="s">
        <v>634</v>
      </c>
      <c r="AP19" s="334">
        <v>160526</v>
      </c>
      <c r="AQ19" s="335"/>
      <c r="AR19" s="334" t="s">
        <v>649</v>
      </c>
      <c r="AS19" s="334">
        <v>57240</v>
      </c>
      <c r="AT19" s="335"/>
      <c r="AU19" s="334" t="s">
        <v>623</v>
      </c>
      <c r="AV19" s="334">
        <v>1385018</v>
      </c>
      <c r="AW19" s="335"/>
      <c r="AX19" s="334" t="s">
        <v>1987</v>
      </c>
      <c r="AY19" s="334">
        <v>1933948</v>
      </c>
      <c r="BA19" s="31" t="s">
        <v>80</v>
      </c>
      <c r="BB19" s="5">
        <v>51780</v>
      </c>
      <c r="BC19" s="5">
        <v>0</v>
      </c>
      <c r="BD19" s="5">
        <v>0</v>
      </c>
      <c r="BE19" s="5">
        <v>0</v>
      </c>
      <c r="BF19" s="5">
        <v>0</v>
      </c>
      <c r="BG19" s="5">
        <v>0</v>
      </c>
      <c r="BH19" s="5">
        <v>2007861</v>
      </c>
      <c r="BI19" s="5">
        <v>0</v>
      </c>
      <c r="BJ19" s="5">
        <v>340744</v>
      </c>
      <c r="BK19" s="5">
        <v>0</v>
      </c>
      <c r="BL19" s="5">
        <v>655686</v>
      </c>
      <c r="BM19" s="5">
        <v>0</v>
      </c>
    </row>
    <row r="20" spans="1:65" x14ac:dyDescent="0.25">
      <c r="A20" s="338" t="s">
        <v>1985</v>
      </c>
      <c r="B20" s="339">
        <v>22935</v>
      </c>
      <c r="C20" s="339">
        <v>29137</v>
      </c>
      <c r="D20" s="339">
        <v>41477</v>
      </c>
      <c r="E20" s="339">
        <v>617734</v>
      </c>
      <c r="F20" s="339">
        <v>48488</v>
      </c>
      <c r="G20" s="339">
        <v>89197</v>
      </c>
      <c r="H20" s="339">
        <v>77666</v>
      </c>
      <c r="I20" s="339">
        <v>77080</v>
      </c>
      <c r="J20" s="339">
        <v>93297</v>
      </c>
      <c r="K20" s="339">
        <v>22586</v>
      </c>
      <c r="L20" s="339">
        <v>38096</v>
      </c>
      <c r="M20" s="339">
        <v>54027</v>
      </c>
      <c r="N20" s="335">
        <f t="shared" si="0"/>
        <v>1211720</v>
      </c>
      <c r="Q20" s="1" t="s">
        <v>623</v>
      </c>
      <c r="R20" s="334">
        <v>58314</v>
      </c>
      <c r="S20" s="335"/>
      <c r="T20" s="334" t="s">
        <v>1989</v>
      </c>
      <c r="U20" s="334">
        <v>64376</v>
      </c>
      <c r="V20" s="335"/>
      <c r="W20" s="334" t="s">
        <v>1993</v>
      </c>
      <c r="X20" s="334">
        <v>84797</v>
      </c>
      <c r="Y20" s="335"/>
      <c r="Z20" s="334" t="s">
        <v>673</v>
      </c>
      <c r="AA20" s="334">
        <v>1734094</v>
      </c>
      <c r="AB20" s="335"/>
      <c r="AC20" s="335"/>
      <c r="AD20" s="335"/>
      <c r="AE20" s="335"/>
      <c r="AF20" s="334" t="s">
        <v>1982</v>
      </c>
      <c r="AG20" s="334">
        <v>81720</v>
      </c>
      <c r="AH20" s="335"/>
      <c r="AI20" s="335"/>
      <c r="AJ20" s="335"/>
      <c r="AK20" s="335"/>
      <c r="AL20" s="334" t="s">
        <v>1990</v>
      </c>
      <c r="AM20" s="334">
        <v>89845</v>
      </c>
      <c r="AN20" s="335"/>
      <c r="AO20" s="335"/>
      <c r="AP20" s="335"/>
      <c r="AQ20" s="335"/>
      <c r="AR20" s="334" t="s">
        <v>651</v>
      </c>
      <c r="AS20" s="334">
        <v>21440</v>
      </c>
      <c r="AT20" s="335"/>
      <c r="AU20" s="335"/>
      <c r="AV20" s="335"/>
      <c r="AW20" s="335"/>
      <c r="AX20" s="334" t="s">
        <v>1990</v>
      </c>
      <c r="AY20" s="334">
        <v>5793035</v>
      </c>
      <c r="BA20" s="31" t="s">
        <v>295</v>
      </c>
      <c r="BB20" s="5">
        <v>0</v>
      </c>
      <c r="BC20" s="5">
        <v>0</v>
      </c>
      <c r="BD20" s="5">
        <v>77641</v>
      </c>
      <c r="BE20" s="5">
        <v>0</v>
      </c>
      <c r="BF20" s="5">
        <v>0</v>
      </c>
      <c r="BG20" s="5">
        <v>0</v>
      </c>
      <c r="BH20" s="5">
        <v>0</v>
      </c>
      <c r="BI20" s="5">
        <v>0</v>
      </c>
      <c r="BJ20" s="5">
        <v>0</v>
      </c>
      <c r="BK20" s="5">
        <v>0</v>
      </c>
      <c r="BL20" s="5">
        <v>0</v>
      </c>
      <c r="BM20" s="5">
        <v>7359289</v>
      </c>
    </row>
    <row r="21" spans="1:65" x14ac:dyDescent="0.25">
      <c r="A21" s="338" t="s">
        <v>670</v>
      </c>
      <c r="B21" s="339">
        <v>26080</v>
      </c>
      <c r="C21" s="339">
        <v>35800</v>
      </c>
      <c r="D21" s="339">
        <v>44874</v>
      </c>
      <c r="E21" s="339">
        <v>1214127</v>
      </c>
      <c r="F21" s="339">
        <v>51318</v>
      </c>
      <c r="G21" s="339">
        <v>60899</v>
      </c>
      <c r="H21" s="339">
        <v>81189</v>
      </c>
      <c r="I21" s="339">
        <v>80225</v>
      </c>
      <c r="J21" s="339">
        <v>96756</v>
      </c>
      <c r="K21" s="339">
        <v>25479</v>
      </c>
      <c r="L21" s="339">
        <v>41807</v>
      </c>
      <c r="M21" s="339">
        <v>58273</v>
      </c>
      <c r="N21" s="335">
        <f t="shared" si="0"/>
        <v>1816827</v>
      </c>
      <c r="Q21" s="1" t="s">
        <v>646</v>
      </c>
      <c r="R21" s="334">
        <v>47409</v>
      </c>
      <c r="S21" s="335"/>
      <c r="T21" s="334" t="s">
        <v>1983</v>
      </c>
      <c r="U21" s="334">
        <v>23527</v>
      </c>
      <c r="V21" s="335"/>
      <c r="W21" s="334" t="s">
        <v>658</v>
      </c>
      <c r="X21" s="334">
        <v>68302</v>
      </c>
      <c r="Y21" s="335"/>
      <c r="Z21" s="334" t="s">
        <v>1985</v>
      </c>
      <c r="AA21" s="334">
        <v>617734</v>
      </c>
      <c r="AB21" s="335"/>
      <c r="AC21" s="335"/>
      <c r="AD21" s="335"/>
      <c r="AE21" s="335"/>
      <c r="AF21" s="334" t="s">
        <v>1986</v>
      </c>
      <c r="AG21" s="334">
        <v>85185</v>
      </c>
      <c r="AH21" s="335"/>
      <c r="AI21" s="335"/>
      <c r="AJ21" s="335"/>
      <c r="AK21" s="335"/>
      <c r="AL21" s="334" t="s">
        <v>625</v>
      </c>
      <c r="AM21" s="334">
        <v>88275</v>
      </c>
      <c r="AN21" s="335"/>
      <c r="AO21" s="335"/>
      <c r="AP21" s="335"/>
      <c r="AQ21" s="335"/>
      <c r="AR21" s="334" t="s">
        <v>1991</v>
      </c>
      <c r="AS21" s="334">
        <v>16893</v>
      </c>
      <c r="AT21" s="335"/>
      <c r="AU21" s="335"/>
      <c r="AV21" s="335"/>
      <c r="AW21" s="335"/>
      <c r="AX21" s="334" t="s">
        <v>625</v>
      </c>
      <c r="AY21" s="334">
        <v>2178761</v>
      </c>
      <c r="BA21" s="31" t="s">
        <v>185</v>
      </c>
      <c r="BB21" s="5">
        <v>0</v>
      </c>
      <c r="BC21" s="5">
        <v>30904</v>
      </c>
      <c r="BD21" s="5">
        <v>0</v>
      </c>
      <c r="BE21" s="5">
        <v>927821</v>
      </c>
      <c r="BF21" s="5">
        <v>0</v>
      </c>
      <c r="BG21" s="5">
        <v>84157</v>
      </c>
      <c r="BH21" s="5">
        <v>0</v>
      </c>
      <c r="BI21" s="5">
        <v>0</v>
      </c>
      <c r="BJ21" s="5">
        <v>0</v>
      </c>
      <c r="BK21" s="5">
        <v>0</v>
      </c>
      <c r="BL21" s="5">
        <v>0</v>
      </c>
      <c r="BM21" s="5">
        <v>0</v>
      </c>
    </row>
    <row r="22" spans="1:65" x14ac:dyDescent="0.25">
      <c r="A22" s="338" t="s">
        <v>662</v>
      </c>
      <c r="B22" s="339">
        <v>29225</v>
      </c>
      <c r="C22" s="339">
        <v>30904</v>
      </c>
      <c r="D22" s="339">
        <v>48271</v>
      </c>
      <c r="E22" s="339">
        <v>927821</v>
      </c>
      <c r="F22" s="339">
        <v>54149</v>
      </c>
      <c r="G22" s="339">
        <v>84157</v>
      </c>
      <c r="H22" s="339">
        <v>84711</v>
      </c>
      <c r="I22" s="339">
        <v>83370</v>
      </c>
      <c r="J22" s="339">
        <v>25416</v>
      </c>
      <c r="K22" s="339">
        <v>28373</v>
      </c>
      <c r="L22" s="339">
        <v>45519</v>
      </c>
      <c r="M22" s="339">
        <v>62519</v>
      </c>
      <c r="N22" s="335">
        <f t="shared" si="0"/>
        <v>1504435</v>
      </c>
      <c r="R22" s="335"/>
      <c r="S22" s="335"/>
      <c r="T22" s="334" t="s">
        <v>1987</v>
      </c>
      <c r="U22" s="334">
        <v>57212</v>
      </c>
      <c r="V22" s="335"/>
      <c r="W22" s="334" t="s">
        <v>659</v>
      </c>
      <c r="X22" s="334">
        <v>62528</v>
      </c>
      <c r="Y22" s="335"/>
      <c r="Z22" s="334" t="s">
        <v>670</v>
      </c>
      <c r="AA22" s="334">
        <v>1214127</v>
      </c>
      <c r="AB22" s="335"/>
      <c r="AC22" s="335"/>
      <c r="AD22" s="335"/>
      <c r="AE22" s="335"/>
      <c r="AF22" s="334" t="s">
        <v>1989</v>
      </c>
      <c r="AG22" s="334">
        <v>59118</v>
      </c>
      <c r="AH22" s="335"/>
      <c r="AI22" s="335"/>
      <c r="AJ22" s="335"/>
      <c r="AK22" s="335"/>
      <c r="AL22" s="334" t="s">
        <v>649</v>
      </c>
      <c r="AM22" s="334">
        <v>97877</v>
      </c>
      <c r="AN22" s="335"/>
      <c r="AO22" s="335"/>
      <c r="AP22" s="335"/>
      <c r="AQ22" s="335"/>
      <c r="AR22" s="334" t="s">
        <v>1992</v>
      </c>
      <c r="AS22" s="334">
        <v>53566</v>
      </c>
      <c r="AT22" s="335"/>
      <c r="AU22" s="335"/>
      <c r="AV22" s="335"/>
      <c r="AW22" s="335"/>
      <c r="AX22" s="334" t="s">
        <v>649</v>
      </c>
      <c r="AY22" s="334">
        <v>8205935</v>
      </c>
      <c r="BA22" s="31" t="s">
        <v>312</v>
      </c>
      <c r="BB22" s="5">
        <v>0</v>
      </c>
      <c r="BC22" s="5">
        <v>0</v>
      </c>
      <c r="BD22" s="5">
        <v>82836</v>
      </c>
      <c r="BE22" s="5">
        <v>0</v>
      </c>
      <c r="BF22" s="5">
        <v>0</v>
      </c>
      <c r="BG22" s="5">
        <v>0</v>
      </c>
      <c r="BH22" s="5">
        <v>0</v>
      </c>
      <c r="BI22" s="5">
        <v>0</v>
      </c>
      <c r="BJ22" s="5">
        <v>0</v>
      </c>
      <c r="BK22" s="5">
        <v>0</v>
      </c>
      <c r="BL22" s="5">
        <v>0</v>
      </c>
      <c r="BM22" s="5">
        <v>5197493</v>
      </c>
    </row>
    <row r="23" spans="1:65" x14ac:dyDescent="0.25">
      <c r="A23" s="338" t="s">
        <v>1988</v>
      </c>
      <c r="B23" s="339">
        <v>32370</v>
      </c>
      <c r="C23" s="339">
        <v>66554</v>
      </c>
      <c r="D23" s="339">
        <v>51667</v>
      </c>
      <c r="E23" s="339">
        <v>383686</v>
      </c>
      <c r="F23" s="339">
        <v>56979</v>
      </c>
      <c r="G23" s="339">
        <v>80626</v>
      </c>
      <c r="H23" s="339">
        <v>88234</v>
      </c>
      <c r="I23" s="339">
        <v>86515</v>
      </c>
      <c r="J23" s="339">
        <v>28875</v>
      </c>
      <c r="K23" s="339">
        <v>31266</v>
      </c>
      <c r="L23" s="339">
        <v>49230</v>
      </c>
      <c r="M23" s="339">
        <v>66764</v>
      </c>
      <c r="N23" s="335">
        <f t="shared" si="0"/>
        <v>1022766</v>
      </c>
      <c r="R23" s="335"/>
      <c r="S23" s="335"/>
      <c r="T23" s="334" t="s">
        <v>1990</v>
      </c>
      <c r="U23" s="334">
        <v>23082</v>
      </c>
      <c r="V23" s="335"/>
      <c r="W23" s="334" t="s">
        <v>650</v>
      </c>
      <c r="X23" s="334">
        <v>87181</v>
      </c>
      <c r="Y23" s="335"/>
      <c r="Z23" s="334" t="s">
        <v>662</v>
      </c>
      <c r="AA23" s="334">
        <v>927821</v>
      </c>
      <c r="AB23" s="335"/>
      <c r="AC23" s="335"/>
      <c r="AD23" s="335"/>
      <c r="AE23" s="335"/>
      <c r="AF23" s="334" t="s">
        <v>1983</v>
      </c>
      <c r="AG23" s="334">
        <v>73514</v>
      </c>
      <c r="AH23" s="335"/>
      <c r="AI23" s="335"/>
      <c r="AJ23" s="335"/>
      <c r="AK23" s="335"/>
      <c r="AL23" s="334" t="s">
        <v>651</v>
      </c>
      <c r="AM23" s="334">
        <v>87837</v>
      </c>
      <c r="AN23" s="335"/>
      <c r="AO23" s="335"/>
      <c r="AP23" s="335"/>
      <c r="AQ23" s="335"/>
      <c r="AR23" s="334" t="s">
        <v>1993</v>
      </c>
      <c r="AS23" s="334">
        <v>15909</v>
      </c>
      <c r="AT23" s="335"/>
      <c r="AU23" s="335"/>
      <c r="AV23" s="335"/>
      <c r="AW23" s="335"/>
      <c r="AX23" s="334" t="s">
        <v>651</v>
      </c>
      <c r="AY23" s="334">
        <v>4112179</v>
      </c>
      <c r="BA23" s="31" t="s">
        <v>226</v>
      </c>
      <c r="BB23" s="5">
        <v>0</v>
      </c>
      <c r="BC23" s="5">
        <v>23082</v>
      </c>
      <c r="BD23" s="5">
        <v>0</v>
      </c>
      <c r="BE23" s="5">
        <v>1347817</v>
      </c>
      <c r="BF23" s="5">
        <v>0</v>
      </c>
      <c r="BG23" s="5">
        <v>88507</v>
      </c>
      <c r="BH23" s="5">
        <v>0</v>
      </c>
      <c r="BI23" s="5">
        <v>89845</v>
      </c>
      <c r="BJ23" s="5">
        <v>0</v>
      </c>
      <c r="BK23" s="5">
        <v>47838</v>
      </c>
      <c r="BL23" s="5">
        <v>0</v>
      </c>
      <c r="BM23" s="5">
        <v>5793035</v>
      </c>
    </row>
    <row r="24" spans="1:65" x14ac:dyDescent="0.25">
      <c r="A24" s="338" t="s">
        <v>1982</v>
      </c>
      <c r="B24" s="339">
        <v>35515</v>
      </c>
      <c r="C24" s="339">
        <v>51500</v>
      </c>
      <c r="D24" s="339">
        <v>55064</v>
      </c>
      <c r="E24" s="339">
        <v>831248</v>
      </c>
      <c r="F24" s="339">
        <v>59810</v>
      </c>
      <c r="G24" s="339">
        <v>81720</v>
      </c>
      <c r="H24" s="339">
        <v>91756</v>
      </c>
      <c r="I24" s="339">
        <v>85313</v>
      </c>
      <c r="J24" s="339">
        <v>32335</v>
      </c>
      <c r="K24" s="339">
        <v>34160</v>
      </c>
      <c r="L24" s="339">
        <v>52941</v>
      </c>
      <c r="M24" s="339">
        <v>1153642</v>
      </c>
      <c r="N24" s="335">
        <f t="shared" si="0"/>
        <v>2565004</v>
      </c>
      <c r="R24" s="335"/>
      <c r="S24" s="335"/>
      <c r="T24" s="335"/>
      <c r="U24" s="335"/>
      <c r="V24" s="335"/>
      <c r="W24" s="334" t="s">
        <v>660</v>
      </c>
      <c r="X24" s="334">
        <v>77830</v>
      </c>
      <c r="Y24" s="335"/>
      <c r="Z24" s="334" t="s">
        <v>1988</v>
      </c>
      <c r="AA24" s="334">
        <v>383686</v>
      </c>
      <c r="AB24" s="335"/>
      <c r="AC24" s="335"/>
      <c r="AD24" s="335"/>
      <c r="AE24" s="335"/>
      <c r="AF24" s="334" t="s">
        <v>1987</v>
      </c>
      <c r="AG24" s="334">
        <v>90094</v>
      </c>
      <c r="AH24" s="335"/>
      <c r="AI24" s="335"/>
      <c r="AJ24" s="335"/>
      <c r="AK24" s="335"/>
      <c r="AL24" s="334" t="s">
        <v>1991</v>
      </c>
      <c r="AM24" s="334">
        <v>84711</v>
      </c>
      <c r="AN24" s="335"/>
      <c r="AO24" s="335"/>
      <c r="AP24" s="335"/>
      <c r="AQ24" s="335"/>
      <c r="AR24" s="335"/>
      <c r="AS24" s="335"/>
      <c r="AT24" s="335"/>
      <c r="AU24" s="335"/>
      <c r="AV24" s="335"/>
      <c r="AW24" s="335"/>
      <c r="AX24" s="334" t="s">
        <v>1991</v>
      </c>
      <c r="AY24" s="334">
        <v>4885438</v>
      </c>
      <c r="BA24" s="31" t="s">
        <v>1</v>
      </c>
      <c r="BB24" s="5">
        <v>49030</v>
      </c>
      <c r="BC24" s="5">
        <v>0</v>
      </c>
      <c r="BD24" s="5">
        <v>0</v>
      </c>
      <c r="BE24" s="5">
        <v>0</v>
      </c>
      <c r="BF24" s="5">
        <v>0</v>
      </c>
      <c r="BG24" s="5">
        <v>0</v>
      </c>
      <c r="BH24" s="5">
        <v>2506927</v>
      </c>
      <c r="BI24" s="5">
        <v>0</v>
      </c>
      <c r="BJ24" s="5">
        <v>0</v>
      </c>
      <c r="BK24" s="5">
        <v>0</v>
      </c>
      <c r="BL24" s="5">
        <v>219853</v>
      </c>
      <c r="BM24" s="5">
        <v>0</v>
      </c>
    </row>
    <row r="25" spans="1:65" x14ac:dyDescent="0.25">
      <c r="A25" s="338" t="s">
        <v>1986</v>
      </c>
      <c r="B25" s="339">
        <v>38660</v>
      </c>
      <c r="C25" s="339">
        <v>15496</v>
      </c>
      <c r="D25" s="339">
        <v>58460</v>
      </c>
      <c r="E25" s="339">
        <v>403933</v>
      </c>
      <c r="F25" s="339">
        <v>62640</v>
      </c>
      <c r="G25" s="339">
        <v>85185</v>
      </c>
      <c r="H25" s="339">
        <v>95278</v>
      </c>
      <c r="I25" s="339">
        <v>83898</v>
      </c>
      <c r="J25" s="339">
        <v>35794</v>
      </c>
      <c r="K25" s="339">
        <v>37053</v>
      </c>
      <c r="L25" s="339">
        <v>56652</v>
      </c>
      <c r="M25" s="339">
        <v>1957931</v>
      </c>
      <c r="N25" s="335">
        <f t="shared" si="0"/>
        <v>2930980</v>
      </c>
      <c r="R25" s="335"/>
      <c r="S25" s="335"/>
      <c r="T25" s="335"/>
      <c r="U25" s="335"/>
      <c r="V25" s="335"/>
      <c r="W25" s="334" t="s">
        <v>661</v>
      </c>
      <c r="X25" s="334">
        <v>77641</v>
      </c>
      <c r="Y25" s="335"/>
      <c r="Z25" s="334" t="s">
        <v>1982</v>
      </c>
      <c r="AA25" s="334">
        <v>831248</v>
      </c>
      <c r="AB25" s="335"/>
      <c r="AC25" s="335"/>
      <c r="AD25" s="335"/>
      <c r="AE25" s="335"/>
      <c r="AF25" s="334" t="s">
        <v>1990</v>
      </c>
      <c r="AG25" s="334">
        <v>88507</v>
      </c>
      <c r="AH25" s="335"/>
      <c r="AI25" s="335"/>
      <c r="AJ25" s="335"/>
      <c r="AK25" s="335"/>
      <c r="AL25" s="334" t="s">
        <v>1992</v>
      </c>
      <c r="AM25" s="334">
        <v>92975</v>
      </c>
      <c r="AN25" s="335"/>
      <c r="AO25" s="335"/>
      <c r="AP25" s="335"/>
      <c r="AQ25" s="335"/>
      <c r="AR25" s="335"/>
      <c r="AS25" s="335"/>
      <c r="AT25" s="335"/>
      <c r="AU25" s="335"/>
      <c r="AV25" s="335"/>
      <c r="AW25" s="335"/>
      <c r="AX25" s="334" t="s">
        <v>1992</v>
      </c>
      <c r="AY25" s="334">
        <v>6690596</v>
      </c>
      <c r="BA25" s="31" t="s">
        <v>251</v>
      </c>
      <c r="BB25" s="5">
        <v>0</v>
      </c>
      <c r="BC25" s="5">
        <v>0</v>
      </c>
      <c r="BD25" s="5">
        <v>58408</v>
      </c>
      <c r="BE25" s="5">
        <v>0</v>
      </c>
      <c r="BF25" s="5">
        <v>0</v>
      </c>
      <c r="BG25" s="5">
        <v>95358</v>
      </c>
      <c r="BH25" s="5">
        <v>0</v>
      </c>
      <c r="BI25" s="5">
        <v>84711</v>
      </c>
      <c r="BJ25" s="5">
        <v>0</v>
      </c>
      <c r="BK25" s="5">
        <v>16893</v>
      </c>
      <c r="BL25" s="5">
        <v>0</v>
      </c>
      <c r="BM25" s="5">
        <v>4885438</v>
      </c>
    </row>
    <row r="26" spans="1:65" x14ac:dyDescent="0.25">
      <c r="A26" s="338" t="s">
        <v>1989</v>
      </c>
      <c r="B26" s="339">
        <v>41805</v>
      </c>
      <c r="C26" s="339">
        <v>64376</v>
      </c>
      <c r="D26" s="339">
        <v>61857</v>
      </c>
      <c r="E26" s="339">
        <v>1924455</v>
      </c>
      <c r="F26" s="339">
        <v>65471</v>
      </c>
      <c r="G26" s="339">
        <v>59118</v>
      </c>
      <c r="H26" s="339">
        <v>98801</v>
      </c>
      <c r="I26" s="339">
        <v>94389</v>
      </c>
      <c r="J26" s="339">
        <v>39254</v>
      </c>
      <c r="K26" s="339">
        <v>39946</v>
      </c>
      <c r="L26" s="339">
        <v>60363</v>
      </c>
      <c r="M26" s="339">
        <v>6177632</v>
      </c>
      <c r="N26" s="335">
        <f t="shared" si="0"/>
        <v>8727467</v>
      </c>
      <c r="R26" s="335"/>
      <c r="S26" s="335"/>
      <c r="T26" s="335"/>
      <c r="U26" s="335"/>
      <c r="V26" s="335"/>
      <c r="W26" s="334" t="s">
        <v>626</v>
      </c>
      <c r="X26" s="334">
        <v>83751</v>
      </c>
      <c r="Y26" s="335"/>
      <c r="Z26" s="334" t="s">
        <v>1986</v>
      </c>
      <c r="AA26" s="334">
        <v>403933</v>
      </c>
      <c r="AB26" s="335"/>
      <c r="AC26" s="335"/>
      <c r="AD26" s="335"/>
      <c r="AE26" s="335"/>
      <c r="AF26" s="334" t="s">
        <v>625</v>
      </c>
      <c r="AG26" s="334">
        <v>80207</v>
      </c>
      <c r="AH26" s="335"/>
      <c r="AI26" s="335"/>
      <c r="AJ26" s="335"/>
      <c r="AK26" s="335"/>
      <c r="AL26" s="335"/>
      <c r="AM26" s="335"/>
      <c r="AN26" s="335"/>
      <c r="AO26" s="335"/>
      <c r="AP26" s="335"/>
      <c r="AQ26" s="335"/>
      <c r="AR26" s="335"/>
      <c r="AS26" s="335"/>
      <c r="AT26" s="335"/>
      <c r="AU26" s="335"/>
      <c r="AV26" s="335"/>
      <c r="AW26" s="335"/>
      <c r="AX26" s="334" t="s">
        <v>1993</v>
      </c>
      <c r="AY26" s="334">
        <v>4688677</v>
      </c>
      <c r="BA26" s="31" t="s">
        <v>318</v>
      </c>
      <c r="BB26" s="5">
        <v>0</v>
      </c>
      <c r="BC26" s="5">
        <v>0</v>
      </c>
      <c r="BD26" s="5">
        <v>83495</v>
      </c>
      <c r="BE26" s="5">
        <v>0</v>
      </c>
      <c r="BF26" s="5">
        <v>0</v>
      </c>
      <c r="BG26" s="5">
        <v>0</v>
      </c>
      <c r="BH26" s="5">
        <v>0</v>
      </c>
      <c r="BI26" s="5">
        <v>0</v>
      </c>
      <c r="BJ26" s="5">
        <v>0</v>
      </c>
      <c r="BK26" s="5">
        <v>0</v>
      </c>
      <c r="BL26" s="5">
        <v>0</v>
      </c>
      <c r="BM26" s="5">
        <v>2295897</v>
      </c>
    </row>
    <row r="27" spans="1:65" x14ac:dyDescent="0.25">
      <c r="A27" s="338" t="s">
        <v>1983</v>
      </c>
      <c r="B27" s="339">
        <v>44950</v>
      </c>
      <c r="C27" s="339">
        <v>23527</v>
      </c>
      <c r="D27" s="339">
        <v>65254</v>
      </c>
      <c r="E27" s="339">
        <v>1696558</v>
      </c>
      <c r="F27" s="339">
        <v>68301</v>
      </c>
      <c r="G27" s="339">
        <v>73514</v>
      </c>
      <c r="H27" s="339">
        <v>26163</v>
      </c>
      <c r="I27" s="339">
        <v>88031</v>
      </c>
      <c r="J27" s="339">
        <v>42713</v>
      </c>
      <c r="K27" s="339">
        <v>28264</v>
      </c>
      <c r="L27" s="339">
        <v>64074</v>
      </c>
      <c r="M27" s="339">
        <v>5310108</v>
      </c>
      <c r="N27" s="335">
        <f t="shared" si="0"/>
        <v>7531457</v>
      </c>
      <c r="R27" s="335"/>
      <c r="S27" s="335"/>
      <c r="T27" s="335"/>
      <c r="U27" s="335"/>
      <c r="V27" s="335"/>
      <c r="W27" s="334" t="s">
        <v>663</v>
      </c>
      <c r="X27" s="334">
        <v>87334</v>
      </c>
      <c r="Y27" s="335"/>
      <c r="Z27" s="334" t="s">
        <v>1989</v>
      </c>
      <c r="AA27" s="334">
        <v>1924455</v>
      </c>
      <c r="AB27" s="335"/>
      <c r="AC27" s="335"/>
      <c r="AD27" s="335"/>
      <c r="AE27" s="335"/>
      <c r="AF27" s="334" t="s">
        <v>649</v>
      </c>
      <c r="AG27" s="334">
        <v>69319</v>
      </c>
      <c r="AH27" s="335"/>
      <c r="AI27" s="335"/>
      <c r="AJ27" s="335"/>
      <c r="AK27" s="335"/>
      <c r="AL27" s="335"/>
      <c r="AM27" s="335"/>
      <c r="AN27" s="335"/>
      <c r="AO27" s="335"/>
      <c r="AP27" s="335"/>
      <c r="AQ27" s="335"/>
      <c r="AR27" s="335"/>
      <c r="AS27" s="335"/>
      <c r="AT27" s="335"/>
      <c r="AU27" s="335"/>
      <c r="AV27" s="335"/>
      <c r="AW27" s="335"/>
      <c r="AX27" s="334" t="s">
        <v>658</v>
      </c>
      <c r="AY27" s="334">
        <v>2532972</v>
      </c>
      <c r="BA27" s="31" t="s">
        <v>93</v>
      </c>
      <c r="BB27" s="5">
        <v>58314</v>
      </c>
      <c r="BC27" s="5">
        <v>0</v>
      </c>
      <c r="BD27" s="5">
        <v>0</v>
      </c>
      <c r="BE27" s="5">
        <v>0</v>
      </c>
      <c r="BF27" s="5">
        <v>0</v>
      </c>
      <c r="BG27" s="5">
        <v>0</v>
      </c>
      <c r="BH27" s="5">
        <v>8650687</v>
      </c>
      <c r="BI27" s="5">
        <v>0</v>
      </c>
      <c r="BJ27" s="5">
        <v>69045</v>
      </c>
      <c r="BK27" s="5">
        <v>0</v>
      </c>
      <c r="BL27" s="5">
        <v>1385018</v>
      </c>
      <c r="BM27" s="5">
        <v>0</v>
      </c>
    </row>
    <row r="28" spans="1:65" x14ac:dyDescent="0.25">
      <c r="A28" s="338" t="s">
        <v>1987</v>
      </c>
      <c r="B28" s="339">
        <v>48095</v>
      </c>
      <c r="C28" s="339">
        <v>57212</v>
      </c>
      <c r="D28" s="339">
        <v>68650</v>
      </c>
      <c r="E28" s="339">
        <v>1716951</v>
      </c>
      <c r="F28" s="339">
        <v>71132</v>
      </c>
      <c r="G28" s="339">
        <v>90094</v>
      </c>
      <c r="H28" s="339">
        <v>29686</v>
      </c>
      <c r="I28" s="339">
        <v>83961</v>
      </c>
      <c r="J28" s="339">
        <v>46173</v>
      </c>
      <c r="K28" s="339">
        <v>22602</v>
      </c>
      <c r="L28" s="339">
        <v>67785</v>
      </c>
      <c r="M28" s="339">
        <v>1933948</v>
      </c>
      <c r="N28" s="335">
        <f t="shared" si="0"/>
        <v>4236289</v>
      </c>
      <c r="R28" s="335"/>
      <c r="S28" s="335"/>
      <c r="T28" s="335"/>
      <c r="U28" s="335"/>
      <c r="V28" s="335"/>
      <c r="W28" s="334" t="s">
        <v>664</v>
      </c>
      <c r="X28" s="334">
        <v>82836</v>
      </c>
      <c r="Y28" s="335"/>
      <c r="Z28" s="334" t="s">
        <v>1983</v>
      </c>
      <c r="AA28" s="334">
        <v>1696558</v>
      </c>
      <c r="AB28" s="335"/>
      <c r="AC28" s="335"/>
      <c r="AD28" s="335"/>
      <c r="AE28" s="335"/>
      <c r="AF28" s="334" t="s">
        <v>651</v>
      </c>
      <c r="AG28" s="334">
        <v>71820</v>
      </c>
      <c r="AH28" s="335"/>
      <c r="AI28" s="335"/>
      <c r="AJ28" s="335"/>
      <c r="AK28" s="335"/>
      <c r="AL28" s="335"/>
      <c r="AM28" s="335"/>
      <c r="AN28" s="335"/>
      <c r="AO28" s="335"/>
      <c r="AP28" s="335"/>
      <c r="AQ28" s="335"/>
      <c r="AR28" s="335"/>
      <c r="AS28" s="335"/>
      <c r="AT28" s="335"/>
      <c r="AU28" s="335"/>
      <c r="AV28" s="335"/>
      <c r="AW28" s="335"/>
      <c r="AX28" s="334" t="s">
        <v>659</v>
      </c>
      <c r="AY28" s="334">
        <v>3210054</v>
      </c>
      <c r="BA28" s="31" t="s">
        <v>179</v>
      </c>
      <c r="BB28" s="5">
        <v>0</v>
      </c>
      <c r="BC28" s="5">
        <v>35800</v>
      </c>
      <c r="BD28" s="5">
        <v>0</v>
      </c>
      <c r="BE28" s="5">
        <v>1214127</v>
      </c>
      <c r="BF28" s="5">
        <v>0</v>
      </c>
      <c r="BG28" s="5">
        <v>60899</v>
      </c>
      <c r="BH28" s="5">
        <v>0</v>
      </c>
      <c r="BI28" s="5">
        <v>0</v>
      </c>
      <c r="BJ28" s="5">
        <v>0</v>
      </c>
      <c r="BK28" s="5">
        <v>0</v>
      </c>
      <c r="BL28" s="5">
        <v>0</v>
      </c>
      <c r="BM28" s="5">
        <v>0</v>
      </c>
    </row>
    <row r="29" spans="1:65" x14ac:dyDescent="0.25">
      <c r="A29" s="338" t="s">
        <v>1990</v>
      </c>
      <c r="B29" s="339">
        <v>51240</v>
      </c>
      <c r="C29" s="339">
        <v>23082</v>
      </c>
      <c r="D29" s="339">
        <v>72047</v>
      </c>
      <c r="E29" s="339">
        <v>1347817</v>
      </c>
      <c r="F29" s="339">
        <v>73962</v>
      </c>
      <c r="G29" s="339">
        <v>88507</v>
      </c>
      <c r="H29" s="339">
        <v>33208</v>
      </c>
      <c r="I29" s="339">
        <v>89845</v>
      </c>
      <c r="J29" s="339">
        <v>49632</v>
      </c>
      <c r="K29" s="339">
        <v>47838</v>
      </c>
      <c r="L29" s="339">
        <v>71496</v>
      </c>
      <c r="M29" s="339">
        <v>5793035</v>
      </c>
      <c r="N29" s="335">
        <f t="shared" si="0"/>
        <v>7741709</v>
      </c>
      <c r="R29" s="335"/>
      <c r="S29" s="335"/>
      <c r="T29" s="335"/>
      <c r="U29" s="335"/>
      <c r="V29" s="335"/>
      <c r="W29" s="334" t="s">
        <v>1994</v>
      </c>
      <c r="X29" s="334">
        <v>83495</v>
      </c>
      <c r="Y29" s="335"/>
      <c r="Z29" s="334" t="s">
        <v>1987</v>
      </c>
      <c r="AA29" s="334">
        <v>1716951</v>
      </c>
      <c r="AB29" s="335"/>
      <c r="AC29" s="335"/>
      <c r="AD29" s="335"/>
      <c r="AE29" s="335"/>
      <c r="AF29" s="334" t="s">
        <v>1991</v>
      </c>
      <c r="AG29" s="334">
        <v>95358</v>
      </c>
      <c r="AH29" s="335"/>
      <c r="AI29" s="335"/>
      <c r="AJ29" s="335"/>
      <c r="AK29" s="335"/>
      <c r="AL29" s="335"/>
      <c r="AM29" s="335"/>
      <c r="AN29" s="335"/>
      <c r="AO29" s="335"/>
      <c r="AP29" s="335"/>
      <c r="AQ29" s="335"/>
      <c r="AR29" s="335"/>
      <c r="AS29" s="335"/>
      <c r="AT29" s="335"/>
      <c r="AU29" s="335"/>
      <c r="AV29" s="335"/>
      <c r="AW29" s="335"/>
      <c r="AX29" s="334" t="s">
        <v>650</v>
      </c>
      <c r="AY29" s="334">
        <v>2428793</v>
      </c>
      <c r="BA29" s="31" t="s">
        <v>307</v>
      </c>
      <c r="BB29" s="5">
        <v>0</v>
      </c>
      <c r="BC29" s="5">
        <v>0</v>
      </c>
      <c r="BD29" s="5">
        <v>87334</v>
      </c>
      <c r="BE29" s="5">
        <v>0</v>
      </c>
      <c r="BF29" s="5">
        <v>0</v>
      </c>
      <c r="BG29" s="5">
        <v>0</v>
      </c>
      <c r="BH29" s="5">
        <v>0</v>
      </c>
      <c r="BI29" s="5">
        <v>0</v>
      </c>
      <c r="BJ29" s="5">
        <v>0</v>
      </c>
      <c r="BK29" s="5">
        <v>0</v>
      </c>
      <c r="BL29" s="5">
        <v>0</v>
      </c>
      <c r="BM29" s="5">
        <v>4616784</v>
      </c>
    </row>
    <row r="30" spans="1:65" x14ac:dyDescent="0.25">
      <c r="A30" s="338" t="s">
        <v>625</v>
      </c>
      <c r="B30" s="339">
        <v>54385</v>
      </c>
      <c r="C30" s="339">
        <v>59014</v>
      </c>
      <c r="D30" s="339">
        <v>59945</v>
      </c>
      <c r="E30" s="339">
        <v>89229</v>
      </c>
      <c r="F30" s="339">
        <v>76793</v>
      </c>
      <c r="G30" s="339">
        <v>80207</v>
      </c>
      <c r="H30" s="339">
        <v>36730</v>
      </c>
      <c r="I30" s="339">
        <v>88275</v>
      </c>
      <c r="J30" s="339">
        <v>53092</v>
      </c>
      <c r="K30" s="339">
        <v>63268</v>
      </c>
      <c r="L30" s="339">
        <v>75207</v>
      </c>
      <c r="M30" s="339">
        <v>2178761</v>
      </c>
      <c r="N30" s="335">
        <f t="shared" si="0"/>
        <v>2914906</v>
      </c>
      <c r="R30" s="335"/>
      <c r="S30" s="335"/>
      <c r="T30" s="335"/>
      <c r="U30" s="335"/>
      <c r="V30" s="335"/>
      <c r="W30" s="335"/>
      <c r="X30" s="335"/>
      <c r="Y30" s="335"/>
      <c r="Z30" s="334" t="s">
        <v>1990</v>
      </c>
      <c r="AA30" s="334">
        <v>1347817</v>
      </c>
      <c r="AB30" s="335"/>
      <c r="AC30" s="335"/>
      <c r="AD30" s="335"/>
      <c r="AE30" s="335"/>
      <c r="AF30" s="334" t="s">
        <v>1992</v>
      </c>
      <c r="AG30" s="334">
        <v>96558</v>
      </c>
      <c r="AH30" s="335"/>
      <c r="AI30" s="335"/>
      <c r="AJ30" s="335"/>
      <c r="AK30" s="335"/>
      <c r="AL30" s="335"/>
      <c r="AM30" s="335"/>
      <c r="AN30" s="335"/>
      <c r="AO30" s="335"/>
      <c r="AP30" s="335"/>
      <c r="AQ30" s="335"/>
      <c r="AR30" s="335"/>
      <c r="AS30" s="335"/>
      <c r="AT30" s="335"/>
      <c r="AU30" s="335"/>
      <c r="AV30" s="335"/>
      <c r="AW30" s="335"/>
      <c r="AX30" s="334" t="s">
        <v>660</v>
      </c>
      <c r="AY30" s="334">
        <v>7367846</v>
      </c>
      <c r="BA30" s="31" t="s">
        <v>154</v>
      </c>
      <c r="BB30" s="5">
        <v>0</v>
      </c>
      <c r="BC30" s="5">
        <v>0</v>
      </c>
      <c r="BD30" s="5">
        <v>0</v>
      </c>
      <c r="BE30" s="5">
        <v>1761958</v>
      </c>
      <c r="BF30" s="5">
        <v>0</v>
      </c>
      <c r="BG30" s="5">
        <v>0</v>
      </c>
      <c r="BH30" s="5">
        <v>0</v>
      </c>
      <c r="BI30" s="5">
        <v>0</v>
      </c>
      <c r="BJ30" s="5">
        <v>0</v>
      </c>
      <c r="BK30" s="5">
        <v>0</v>
      </c>
      <c r="BL30" s="5">
        <v>0</v>
      </c>
      <c r="BM30" s="5">
        <v>0</v>
      </c>
    </row>
    <row r="31" spans="1:65" x14ac:dyDescent="0.25">
      <c r="A31" s="338" t="s">
        <v>649</v>
      </c>
      <c r="B31" s="339">
        <v>57530</v>
      </c>
      <c r="C31" s="339">
        <v>62002</v>
      </c>
      <c r="D31" s="339">
        <v>65112</v>
      </c>
      <c r="E31" s="339">
        <v>92845</v>
      </c>
      <c r="F31" s="339">
        <v>79623</v>
      </c>
      <c r="G31" s="339">
        <v>69319</v>
      </c>
      <c r="H31" s="339">
        <v>40253</v>
      </c>
      <c r="I31" s="339">
        <v>97877</v>
      </c>
      <c r="J31" s="339">
        <v>56551</v>
      </c>
      <c r="K31" s="339">
        <v>57240</v>
      </c>
      <c r="L31" s="339">
        <v>78918</v>
      </c>
      <c r="M31" s="339">
        <v>8205935</v>
      </c>
      <c r="N31" s="335">
        <f t="shared" si="0"/>
        <v>8963205</v>
      </c>
      <c r="R31" s="335"/>
      <c r="S31" s="335"/>
      <c r="T31" s="335"/>
      <c r="U31" s="335"/>
      <c r="V31" s="335"/>
      <c r="W31" s="335"/>
      <c r="X31" s="335"/>
      <c r="Y31" s="335"/>
      <c r="Z31" s="335"/>
      <c r="AA31" s="335"/>
      <c r="AB31" s="335"/>
      <c r="AC31" s="335"/>
      <c r="AD31" s="335"/>
      <c r="AE31" s="335"/>
      <c r="AF31" s="334" t="s">
        <v>1993</v>
      </c>
      <c r="AG31" s="334">
        <v>82629</v>
      </c>
      <c r="AH31" s="335"/>
      <c r="AI31" s="335"/>
      <c r="AJ31" s="335"/>
      <c r="AK31" s="335"/>
      <c r="AL31" s="335"/>
      <c r="AM31" s="335"/>
      <c r="AN31" s="335"/>
      <c r="AO31" s="335"/>
      <c r="AP31" s="335"/>
      <c r="AQ31" s="335"/>
      <c r="AR31" s="335"/>
      <c r="AS31" s="335"/>
      <c r="AT31" s="335"/>
      <c r="AU31" s="335"/>
      <c r="AV31" s="335"/>
      <c r="AW31" s="335"/>
      <c r="AX31" s="334" t="s">
        <v>661</v>
      </c>
      <c r="AY31" s="334">
        <v>7359289</v>
      </c>
      <c r="BA31" s="31" t="s">
        <v>167</v>
      </c>
      <c r="BB31" s="5">
        <v>0</v>
      </c>
      <c r="BC31" s="5">
        <v>0</v>
      </c>
      <c r="BD31" s="5">
        <v>0</v>
      </c>
      <c r="BE31" s="5">
        <v>1734094</v>
      </c>
      <c r="BF31" s="5">
        <v>0</v>
      </c>
      <c r="BG31" s="5">
        <v>67018</v>
      </c>
      <c r="BH31" s="5">
        <v>0</v>
      </c>
      <c r="BI31" s="5">
        <v>0</v>
      </c>
      <c r="BJ31" s="5">
        <v>0</v>
      </c>
      <c r="BK31" s="5">
        <v>0</v>
      </c>
      <c r="BL31" s="5">
        <v>0</v>
      </c>
      <c r="BM31" s="5">
        <v>0</v>
      </c>
    </row>
    <row r="32" spans="1:65" x14ac:dyDescent="0.25">
      <c r="A32" s="338" t="s">
        <v>651</v>
      </c>
      <c r="B32" s="339">
        <v>60675</v>
      </c>
      <c r="C32" s="339">
        <v>64990</v>
      </c>
      <c r="D32" s="339">
        <v>61019</v>
      </c>
      <c r="E32" s="339">
        <v>96462</v>
      </c>
      <c r="F32" s="339">
        <v>21254</v>
      </c>
      <c r="G32" s="339">
        <v>71820</v>
      </c>
      <c r="H32" s="339">
        <v>43775</v>
      </c>
      <c r="I32" s="339">
        <v>87837</v>
      </c>
      <c r="J32" s="339">
        <v>60011</v>
      </c>
      <c r="K32" s="339">
        <v>21440</v>
      </c>
      <c r="L32" s="339">
        <v>82630</v>
      </c>
      <c r="M32" s="339">
        <v>4112179</v>
      </c>
      <c r="N32" s="335">
        <f t="shared" si="0"/>
        <v>4784092</v>
      </c>
      <c r="R32" s="335"/>
      <c r="S32" s="335"/>
      <c r="T32" s="335"/>
      <c r="U32" s="335"/>
      <c r="V32" s="335"/>
      <c r="W32" s="335"/>
      <c r="X32" s="335"/>
      <c r="Y32" s="335"/>
      <c r="Z32" s="335"/>
      <c r="AA32" s="335"/>
      <c r="AB32" s="335"/>
      <c r="AC32" s="335"/>
      <c r="AD32" s="335"/>
      <c r="AE32" s="335"/>
      <c r="AF32" s="334" t="s">
        <v>658</v>
      </c>
      <c r="AG32" s="334">
        <v>76714</v>
      </c>
      <c r="AH32" s="335"/>
      <c r="AI32" s="335"/>
      <c r="AJ32" s="335"/>
      <c r="AK32" s="335"/>
      <c r="AL32" s="335"/>
      <c r="AM32" s="335"/>
      <c r="AN32" s="335"/>
      <c r="AO32" s="335"/>
      <c r="AP32" s="335"/>
      <c r="AQ32" s="335"/>
      <c r="AR32" s="335"/>
      <c r="AS32" s="335"/>
      <c r="AT32" s="335"/>
      <c r="AU32" s="335"/>
      <c r="AV32" s="335"/>
      <c r="AW32" s="335"/>
      <c r="AX32" s="334" t="s">
        <v>626</v>
      </c>
      <c r="AY32" s="334">
        <v>6293303</v>
      </c>
      <c r="BA32" s="31" t="s">
        <v>238</v>
      </c>
      <c r="BB32" s="5">
        <v>0</v>
      </c>
      <c r="BC32" s="5">
        <v>0</v>
      </c>
      <c r="BD32" s="5">
        <v>65112</v>
      </c>
      <c r="BE32" s="5">
        <v>0</v>
      </c>
      <c r="BF32" s="5">
        <v>0</v>
      </c>
      <c r="BG32" s="5">
        <v>69319</v>
      </c>
      <c r="BH32" s="5">
        <v>0</v>
      </c>
      <c r="BI32" s="5">
        <v>97877</v>
      </c>
      <c r="BJ32" s="5">
        <v>0</v>
      </c>
      <c r="BK32" s="5">
        <v>57240</v>
      </c>
      <c r="BL32" s="5">
        <v>0</v>
      </c>
      <c r="BM32" s="5">
        <v>8205935</v>
      </c>
    </row>
    <row r="33" spans="1:65" x14ac:dyDescent="0.25">
      <c r="A33" s="338" t="s">
        <v>1991</v>
      </c>
      <c r="B33" s="339">
        <v>63820</v>
      </c>
      <c r="C33" s="339">
        <v>67977</v>
      </c>
      <c r="D33" s="339">
        <v>58408</v>
      </c>
      <c r="E33" s="339">
        <v>100079</v>
      </c>
      <c r="F33" s="339">
        <v>24084</v>
      </c>
      <c r="G33" s="339">
        <v>95358</v>
      </c>
      <c r="H33" s="339">
        <v>47298</v>
      </c>
      <c r="I33" s="339">
        <v>84711</v>
      </c>
      <c r="J33" s="339">
        <v>63470</v>
      </c>
      <c r="K33" s="339">
        <v>16893</v>
      </c>
      <c r="L33" s="339">
        <v>86341</v>
      </c>
      <c r="M33" s="339">
        <v>4885438</v>
      </c>
      <c r="N33" s="335">
        <f t="shared" si="0"/>
        <v>5593877</v>
      </c>
      <c r="R33" s="335"/>
      <c r="S33" s="335"/>
      <c r="T33" s="335"/>
      <c r="U33" s="335"/>
      <c r="V33" s="335"/>
      <c r="W33" s="335"/>
      <c r="X33" s="335"/>
      <c r="Y33" s="335"/>
      <c r="Z33" s="335"/>
      <c r="AA33" s="335"/>
      <c r="AB33" s="335"/>
      <c r="AC33" s="335"/>
      <c r="AD33" s="335"/>
      <c r="AE33" s="335"/>
      <c r="AF33" s="335"/>
      <c r="AG33" s="335"/>
      <c r="AH33" s="335"/>
      <c r="AI33" s="335"/>
      <c r="AJ33" s="335"/>
      <c r="AK33" s="335"/>
      <c r="AL33" s="335"/>
      <c r="AM33" s="335"/>
      <c r="AN33" s="335"/>
      <c r="AO33" s="335"/>
      <c r="AP33" s="335"/>
      <c r="AQ33" s="335"/>
      <c r="AR33" s="335"/>
      <c r="AS33" s="335"/>
      <c r="AT33" s="335"/>
      <c r="AU33" s="335"/>
      <c r="AV33" s="335"/>
      <c r="AW33" s="335"/>
      <c r="AX33" s="334" t="s">
        <v>663</v>
      </c>
      <c r="AY33" s="334">
        <v>4616784</v>
      </c>
      <c r="BA33" s="31" t="s">
        <v>341</v>
      </c>
      <c r="BB33" s="5">
        <v>0</v>
      </c>
      <c r="BC33" s="5">
        <v>0</v>
      </c>
      <c r="BD33" s="5">
        <v>0</v>
      </c>
      <c r="BE33" s="5">
        <v>0</v>
      </c>
      <c r="BF33" s="5">
        <v>49185</v>
      </c>
      <c r="BG33" s="5">
        <v>0</v>
      </c>
      <c r="BH33" s="5">
        <v>0</v>
      </c>
      <c r="BI33" s="5">
        <v>0</v>
      </c>
      <c r="BJ33" s="5">
        <v>0</v>
      </c>
      <c r="BK33" s="5">
        <v>0</v>
      </c>
      <c r="BL33" s="5">
        <v>0</v>
      </c>
      <c r="BM33" s="5">
        <v>9023395</v>
      </c>
    </row>
    <row r="34" spans="1:65" x14ac:dyDescent="0.25">
      <c r="A34" s="338" t="s">
        <v>1992</v>
      </c>
      <c r="B34" s="339">
        <v>66965</v>
      </c>
      <c r="C34" s="339">
        <v>70965</v>
      </c>
      <c r="D34" s="339">
        <v>61894</v>
      </c>
      <c r="E34" s="339">
        <v>25495</v>
      </c>
      <c r="F34" s="339">
        <v>26915</v>
      </c>
      <c r="G34" s="339">
        <v>96558</v>
      </c>
      <c r="H34" s="339">
        <v>50820</v>
      </c>
      <c r="I34" s="339">
        <v>92975</v>
      </c>
      <c r="J34" s="339">
        <v>66930</v>
      </c>
      <c r="K34" s="339">
        <v>53566</v>
      </c>
      <c r="L34" s="339">
        <v>90052</v>
      </c>
      <c r="M34" s="339">
        <v>6690596</v>
      </c>
      <c r="N34" s="335">
        <f t="shared" si="0"/>
        <v>7393731</v>
      </c>
      <c r="R34" s="335"/>
      <c r="S34" s="335"/>
      <c r="T34" s="335"/>
      <c r="U34" s="335"/>
      <c r="V34" s="335"/>
      <c r="W34" s="335"/>
      <c r="X34" s="335"/>
      <c r="Y34" s="335"/>
      <c r="Z34" s="335"/>
      <c r="AA34" s="335"/>
      <c r="AB34" s="335"/>
      <c r="AC34" s="335"/>
      <c r="AD34" s="335"/>
      <c r="AE34" s="335"/>
      <c r="AF34" s="335"/>
      <c r="AG34" s="335"/>
      <c r="AH34" s="335"/>
      <c r="AI34" s="335"/>
      <c r="AJ34" s="335"/>
      <c r="AK34" s="335"/>
      <c r="AL34" s="335"/>
      <c r="AM34" s="335"/>
      <c r="AN34" s="335"/>
      <c r="AO34" s="335"/>
      <c r="AP34" s="335"/>
      <c r="AQ34" s="335"/>
      <c r="AR34" s="335"/>
      <c r="AS34" s="335"/>
      <c r="AT34" s="335"/>
      <c r="AU34" s="335"/>
      <c r="AV34" s="335"/>
      <c r="AW34" s="335"/>
      <c r="AX34" s="334" t="s">
        <v>664</v>
      </c>
      <c r="AY34" s="334">
        <v>5197493</v>
      </c>
      <c r="BA34" s="31" t="s">
        <v>330</v>
      </c>
      <c r="BB34" s="5">
        <v>0</v>
      </c>
      <c r="BC34" s="5">
        <v>0</v>
      </c>
      <c r="BD34" s="5">
        <v>0</v>
      </c>
      <c r="BE34" s="5">
        <v>0</v>
      </c>
      <c r="BF34" s="5">
        <v>0</v>
      </c>
      <c r="BG34" s="5">
        <v>0</v>
      </c>
      <c r="BH34" s="5">
        <v>0</v>
      </c>
      <c r="BI34" s="5">
        <v>0</v>
      </c>
      <c r="BJ34" s="5">
        <v>0</v>
      </c>
      <c r="BK34" s="5">
        <v>0</v>
      </c>
      <c r="BL34" s="5">
        <v>0</v>
      </c>
      <c r="BM34" s="5">
        <v>9340317</v>
      </c>
    </row>
    <row r="35" spans="1:65" x14ac:dyDescent="0.25">
      <c r="A35" s="338" t="s">
        <v>1993</v>
      </c>
      <c r="B35" s="339">
        <v>70110</v>
      </c>
      <c r="C35" s="339">
        <v>73953</v>
      </c>
      <c r="D35" s="339">
        <v>84797</v>
      </c>
      <c r="E35" s="339">
        <v>29112</v>
      </c>
      <c r="F35" s="339">
        <v>29745</v>
      </c>
      <c r="G35" s="339">
        <v>82629</v>
      </c>
      <c r="H35" s="339">
        <v>54342</v>
      </c>
      <c r="I35" s="339">
        <v>56255</v>
      </c>
      <c r="J35" s="339">
        <v>70389</v>
      </c>
      <c r="K35" s="339">
        <v>15909</v>
      </c>
      <c r="L35" s="339">
        <v>93763</v>
      </c>
      <c r="M35" s="339">
        <v>4688677</v>
      </c>
      <c r="N35" s="335">
        <f t="shared" si="0"/>
        <v>5349681</v>
      </c>
      <c r="R35" s="335"/>
      <c r="S35" s="335"/>
      <c r="T35" s="335"/>
      <c r="U35" s="335"/>
      <c r="V35" s="335"/>
      <c r="W35" s="335"/>
      <c r="X35" s="335"/>
      <c r="Y35" s="335"/>
      <c r="Z35" s="335"/>
      <c r="AA35" s="335"/>
      <c r="AB35" s="335"/>
      <c r="AC35" s="335"/>
      <c r="AD35" s="335"/>
      <c r="AE35" s="335"/>
      <c r="AF35" s="335"/>
      <c r="AG35" s="335"/>
      <c r="AH35" s="335"/>
      <c r="AI35" s="335"/>
      <c r="AJ35" s="335"/>
      <c r="AK35" s="335"/>
      <c r="AL35" s="335"/>
      <c r="AM35" s="335"/>
      <c r="AN35" s="335"/>
      <c r="AO35" s="335"/>
      <c r="AP35" s="335"/>
      <c r="AQ35" s="335"/>
      <c r="AR35" s="335"/>
      <c r="AS35" s="335"/>
      <c r="AT35" s="335"/>
      <c r="AU35" s="335"/>
      <c r="AV35" s="335"/>
      <c r="AW35" s="335"/>
      <c r="AX35" s="334" t="s">
        <v>1994</v>
      </c>
      <c r="AY35" s="334">
        <v>2295897</v>
      </c>
      <c r="BA35" s="31" t="s">
        <v>215</v>
      </c>
      <c r="BB35" s="5">
        <v>0</v>
      </c>
      <c r="BC35" s="5">
        <v>23527</v>
      </c>
      <c r="BD35" s="5">
        <v>0</v>
      </c>
      <c r="BE35" s="5">
        <v>1696558</v>
      </c>
      <c r="BF35" s="5">
        <v>0</v>
      </c>
      <c r="BG35" s="5">
        <v>73514</v>
      </c>
      <c r="BH35" s="5">
        <v>0</v>
      </c>
      <c r="BI35" s="5">
        <v>88031</v>
      </c>
      <c r="BJ35" s="5">
        <v>0</v>
      </c>
      <c r="BK35" s="5">
        <v>28264</v>
      </c>
      <c r="BL35" s="5">
        <v>0</v>
      </c>
      <c r="BM35" s="5">
        <v>5310108</v>
      </c>
    </row>
    <row r="36" spans="1:65" x14ac:dyDescent="0.25">
      <c r="A36" s="338" t="s">
        <v>658</v>
      </c>
      <c r="B36" s="339">
        <v>73255</v>
      </c>
      <c r="C36" s="339">
        <v>76941</v>
      </c>
      <c r="D36" s="339">
        <v>68302</v>
      </c>
      <c r="E36" s="339">
        <v>32729</v>
      </c>
      <c r="F36" s="339">
        <v>32576</v>
      </c>
      <c r="G36" s="339">
        <v>76714</v>
      </c>
      <c r="H36" s="339">
        <v>57865</v>
      </c>
      <c r="I36" s="339">
        <v>59400</v>
      </c>
      <c r="J36" s="339">
        <v>73849</v>
      </c>
      <c r="K36" s="339">
        <v>68880</v>
      </c>
      <c r="L36" s="339">
        <v>97474</v>
      </c>
      <c r="M36" s="339">
        <v>2532972</v>
      </c>
      <c r="N36" s="335">
        <f t="shared" si="0"/>
        <v>3250957</v>
      </c>
      <c r="R36" s="335"/>
      <c r="S36" s="335"/>
      <c r="T36" s="335"/>
      <c r="U36" s="335"/>
      <c r="V36" s="335"/>
      <c r="W36" s="335"/>
      <c r="X36" s="335"/>
      <c r="Y36" s="335"/>
      <c r="Z36" s="335"/>
      <c r="AA36" s="335"/>
      <c r="AB36" s="335"/>
      <c r="AC36" s="335"/>
      <c r="AD36" s="335"/>
      <c r="AE36" s="335"/>
      <c r="AF36" s="335"/>
      <c r="AG36" s="335"/>
      <c r="AH36" s="335"/>
      <c r="AI36" s="335"/>
      <c r="AJ36" s="335"/>
      <c r="AK36" s="335"/>
      <c r="AL36" s="335"/>
      <c r="AM36" s="335"/>
      <c r="AN36" s="335"/>
      <c r="AO36" s="335"/>
      <c r="AP36" s="335"/>
      <c r="AQ36" s="335"/>
      <c r="AR36" s="335"/>
      <c r="AS36" s="335"/>
      <c r="AT36" s="335"/>
      <c r="AU36" s="335"/>
      <c r="AV36" s="335"/>
      <c r="AW36" s="335"/>
      <c r="AX36" s="334" t="s">
        <v>642</v>
      </c>
      <c r="AY36" s="334">
        <v>2181275</v>
      </c>
      <c r="BA36" s="31" t="s">
        <v>347</v>
      </c>
      <c r="BB36" s="5">
        <v>0</v>
      </c>
      <c r="BC36" s="5">
        <v>0</v>
      </c>
      <c r="BD36" s="5">
        <v>0</v>
      </c>
      <c r="BE36" s="5">
        <v>0</v>
      </c>
      <c r="BF36" s="5">
        <v>33440</v>
      </c>
      <c r="BG36" s="5">
        <v>0</v>
      </c>
      <c r="BH36" s="5">
        <v>0</v>
      </c>
      <c r="BI36" s="5">
        <v>0</v>
      </c>
      <c r="BJ36" s="5">
        <v>0</v>
      </c>
      <c r="BK36" s="5">
        <v>0</v>
      </c>
      <c r="BL36" s="5">
        <v>0</v>
      </c>
      <c r="BM36" s="5">
        <v>7849025</v>
      </c>
    </row>
    <row r="37" spans="1:65" x14ac:dyDescent="0.25">
      <c r="A37" s="338" t="s">
        <v>659</v>
      </c>
      <c r="B37" s="339">
        <v>76400</v>
      </c>
      <c r="C37" s="339">
        <v>79928</v>
      </c>
      <c r="D37" s="339">
        <v>62528</v>
      </c>
      <c r="E37" s="339">
        <v>36346</v>
      </c>
      <c r="F37" s="339">
        <v>35406</v>
      </c>
      <c r="G37" s="339">
        <v>49429</v>
      </c>
      <c r="H37" s="339">
        <v>61387</v>
      </c>
      <c r="I37" s="339">
        <v>62545</v>
      </c>
      <c r="J37" s="339">
        <v>77308</v>
      </c>
      <c r="K37" s="339">
        <v>71774</v>
      </c>
      <c r="L37" s="339">
        <v>101185</v>
      </c>
      <c r="M37" s="339">
        <v>3210054</v>
      </c>
      <c r="N37" s="335">
        <f t="shared" si="0"/>
        <v>3924290</v>
      </c>
      <c r="R37" s="335"/>
      <c r="S37" s="335"/>
      <c r="T37" s="335"/>
      <c r="U37" s="335"/>
      <c r="V37" s="335"/>
      <c r="W37" s="335"/>
      <c r="X37" s="335"/>
      <c r="Y37" s="335"/>
      <c r="Z37" s="335"/>
      <c r="AA37" s="335"/>
      <c r="AB37" s="335"/>
      <c r="AC37" s="335"/>
      <c r="AD37" s="335"/>
      <c r="AE37" s="335"/>
      <c r="AF37" s="335"/>
      <c r="AG37" s="335"/>
      <c r="AH37" s="335"/>
      <c r="AI37" s="335"/>
      <c r="AJ37" s="335"/>
      <c r="AK37" s="335"/>
      <c r="AL37" s="335"/>
      <c r="AM37" s="335"/>
      <c r="AN37" s="335"/>
      <c r="AO37" s="335"/>
      <c r="AP37" s="335"/>
      <c r="AQ37" s="335"/>
      <c r="AR37" s="335"/>
      <c r="AS37" s="335"/>
      <c r="AT37" s="335"/>
      <c r="AU37" s="335"/>
      <c r="AV37" s="335"/>
      <c r="AW37" s="335"/>
      <c r="AX37" s="334" t="s">
        <v>1995</v>
      </c>
      <c r="AY37" s="334">
        <v>9340317</v>
      </c>
      <c r="BA37" s="31" t="s">
        <v>270</v>
      </c>
      <c r="BB37" s="5">
        <v>0</v>
      </c>
      <c r="BC37" s="5">
        <v>0</v>
      </c>
      <c r="BD37" s="5">
        <v>68302</v>
      </c>
      <c r="BE37" s="5">
        <v>0</v>
      </c>
      <c r="BF37" s="5">
        <v>0</v>
      </c>
      <c r="BG37" s="5">
        <v>76714</v>
      </c>
      <c r="BH37" s="5">
        <v>0</v>
      </c>
      <c r="BI37" s="5">
        <v>0</v>
      </c>
      <c r="BJ37" s="5">
        <v>0</v>
      </c>
      <c r="BK37" s="5">
        <v>0</v>
      </c>
      <c r="BL37" s="5">
        <v>0</v>
      </c>
      <c r="BM37" s="5">
        <v>2532972</v>
      </c>
    </row>
    <row r="38" spans="1:65" x14ac:dyDescent="0.25">
      <c r="A38" s="338" t="s">
        <v>650</v>
      </c>
      <c r="B38" s="339">
        <v>79545</v>
      </c>
      <c r="C38" s="339">
        <v>82916</v>
      </c>
      <c r="D38" s="339">
        <v>87181</v>
      </c>
      <c r="E38" s="339">
        <v>39963</v>
      </c>
      <c r="F38" s="339">
        <v>38237</v>
      </c>
      <c r="G38" s="339">
        <v>52731</v>
      </c>
      <c r="H38" s="339">
        <v>64910</v>
      </c>
      <c r="I38" s="339">
        <v>65690</v>
      </c>
      <c r="J38" s="339">
        <v>80768</v>
      </c>
      <c r="K38" s="339">
        <v>74667</v>
      </c>
      <c r="L38" s="339">
        <v>104896</v>
      </c>
      <c r="M38" s="339">
        <v>2428793</v>
      </c>
      <c r="N38" s="335">
        <f t="shared" si="0"/>
        <v>3200297</v>
      </c>
      <c r="R38" s="335"/>
      <c r="S38" s="335"/>
      <c r="T38" s="335"/>
      <c r="U38" s="335"/>
      <c r="V38" s="335"/>
      <c r="W38" s="335"/>
      <c r="X38" s="335"/>
      <c r="Y38" s="335"/>
      <c r="Z38" s="335"/>
      <c r="AA38" s="335"/>
      <c r="AB38" s="335"/>
      <c r="AC38" s="335"/>
      <c r="AD38" s="335"/>
      <c r="AE38" s="335"/>
      <c r="AF38" s="335"/>
      <c r="AG38" s="335"/>
      <c r="AH38" s="335"/>
      <c r="AI38" s="335"/>
      <c r="AJ38" s="335"/>
      <c r="AK38" s="335"/>
      <c r="AL38" s="335"/>
      <c r="AM38" s="335"/>
      <c r="AN38" s="335"/>
      <c r="AO38" s="335"/>
      <c r="AP38" s="335"/>
      <c r="AQ38" s="335"/>
      <c r="AR38" s="335"/>
      <c r="AS38" s="335"/>
      <c r="AT38" s="335"/>
      <c r="AU38" s="335"/>
      <c r="AV38" s="335"/>
      <c r="AW38" s="335"/>
      <c r="AX38" s="334" t="s">
        <v>1981</v>
      </c>
      <c r="AY38" s="334">
        <v>8829997</v>
      </c>
      <c r="BA38" s="31" t="s">
        <v>68</v>
      </c>
      <c r="BB38" s="5">
        <v>54318</v>
      </c>
      <c r="BC38" s="5">
        <v>0</v>
      </c>
      <c r="BD38" s="5">
        <v>0</v>
      </c>
      <c r="BE38" s="5">
        <v>0</v>
      </c>
      <c r="BF38" s="5">
        <v>0</v>
      </c>
      <c r="BG38" s="5">
        <v>0</v>
      </c>
      <c r="BH38" s="5">
        <v>0</v>
      </c>
      <c r="BI38" s="5">
        <v>0</v>
      </c>
      <c r="BJ38" s="5">
        <v>0</v>
      </c>
      <c r="BK38" s="5">
        <v>0</v>
      </c>
      <c r="BL38" s="5">
        <v>1487530</v>
      </c>
      <c r="BM38" s="5">
        <v>0</v>
      </c>
    </row>
    <row r="39" spans="1:65" x14ac:dyDescent="0.25">
      <c r="A39" s="338" t="s">
        <v>660</v>
      </c>
      <c r="B39" s="339">
        <v>82690</v>
      </c>
      <c r="C39" s="339">
        <v>21304</v>
      </c>
      <c r="D39" s="339">
        <v>77830</v>
      </c>
      <c r="E39" s="339">
        <v>43579</v>
      </c>
      <c r="F39" s="339">
        <v>41067</v>
      </c>
      <c r="G39" s="339">
        <v>56033</v>
      </c>
      <c r="H39" s="339">
        <v>68432</v>
      </c>
      <c r="I39" s="339">
        <v>68835</v>
      </c>
      <c r="J39" s="339">
        <v>84227</v>
      </c>
      <c r="K39" s="339">
        <v>77561</v>
      </c>
      <c r="L39" s="339">
        <v>28367</v>
      </c>
      <c r="M39" s="339">
        <v>7367846</v>
      </c>
      <c r="N39" s="335">
        <f t="shared" si="0"/>
        <v>8017771</v>
      </c>
      <c r="R39" s="335"/>
      <c r="S39" s="335"/>
      <c r="T39" s="335"/>
      <c r="U39" s="335"/>
      <c r="V39" s="335"/>
      <c r="W39" s="335"/>
      <c r="X39" s="335"/>
      <c r="Y39" s="335"/>
      <c r="Z39" s="335"/>
      <c r="AA39" s="335"/>
      <c r="AB39" s="335"/>
      <c r="AC39" s="335"/>
      <c r="AD39" s="335"/>
      <c r="AE39" s="335"/>
      <c r="AF39" s="335"/>
      <c r="AG39" s="335"/>
      <c r="AH39" s="335"/>
      <c r="AI39" s="335"/>
      <c r="AJ39" s="335"/>
      <c r="AK39" s="335"/>
      <c r="AL39" s="335"/>
      <c r="AM39" s="335"/>
      <c r="AN39" s="335"/>
      <c r="AO39" s="335"/>
      <c r="AP39" s="335"/>
      <c r="AQ39" s="335"/>
      <c r="AR39" s="335"/>
      <c r="AS39" s="335"/>
      <c r="AT39" s="335"/>
      <c r="AU39" s="335"/>
      <c r="AV39" s="335"/>
      <c r="AW39" s="335"/>
      <c r="AX39" s="334" t="s">
        <v>1984</v>
      </c>
      <c r="AY39" s="334">
        <v>9023395</v>
      </c>
      <c r="BA39" s="31" t="s">
        <v>264</v>
      </c>
      <c r="BB39" s="5">
        <v>0</v>
      </c>
      <c r="BC39" s="5">
        <v>0</v>
      </c>
      <c r="BD39" s="5">
        <v>84797</v>
      </c>
      <c r="BE39" s="5">
        <v>0</v>
      </c>
      <c r="BF39" s="5">
        <v>0</v>
      </c>
      <c r="BG39" s="5">
        <v>82629</v>
      </c>
      <c r="BH39" s="5">
        <v>0</v>
      </c>
      <c r="BI39" s="5">
        <v>0</v>
      </c>
      <c r="BJ39" s="5">
        <v>0</v>
      </c>
      <c r="BK39" s="5">
        <v>15909</v>
      </c>
      <c r="BL39" s="5">
        <v>0</v>
      </c>
      <c r="BM39" s="5">
        <v>4688677</v>
      </c>
    </row>
    <row r="40" spans="1:65" x14ac:dyDescent="0.25">
      <c r="A40" s="338" t="s">
        <v>661</v>
      </c>
      <c r="B40" s="339">
        <v>85835</v>
      </c>
      <c r="C40" s="339">
        <v>24292</v>
      </c>
      <c r="D40" s="339">
        <v>77641</v>
      </c>
      <c r="E40" s="339">
        <v>47196</v>
      </c>
      <c r="F40" s="339">
        <v>43898</v>
      </c>
      <c r="G40" s="339">
        <v>59336</v>
      </c>
      <c r="H40" s="339">
        <v>71954</v>
      </c>
      <c r="I40" s="339">
        <v>71980</v>
      </c>
      <c r="J40" s="339">
        <v>87687</v>
      </c>
      <c r="K40" s="339">
        <v>80454</v>
      </c>
      <c r="L40" s="339">
        <v>32078</v>
      </c>
      <c r="M40" s="339">
        <v>7359289</v>
      </c>
      <c r="N40" s="335">
        <f t="shared" si="0"/>
        <v>8041640</v>
      </c>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4" t="s">
        <v>669</v>
      </c>
      <c r="AY40" s="334">
        <v>7849025</v>
      </c>
      <c r="BA40" s="31" t="s">
        <v>276</v>
      </c>
      <c r="BB40" s="5">
        <v>0</v>
      </c>
      <c r="BC40" s="5">
        <v>0</v>
      </c>
      <c r="BD40" s="5">
        <v>62528</v>
      </c>
      <c r="BE40" s="5">
        <v>0</v>
      </c>
      <c r="BF40" s="5">
        <v>0</v>
      </c>
      <c r="BG40" s="5">
        <v>0</v>
      </c>
      <c r="BH40" s="5">
        <v>0</v>
      </c>
      <c r="BI40" s="5">
        <v>0</v>
      </c>
      <c r="BJ40" s="5">
        <v>0</v>
      </c>
      <c r="BK40" s="5">
        <v>0</v>
      </c>
      <c r="BL40" s="5">
        <v>0</v>
      </c>
      <c r="BM40" s="5">
        <v>3210054</v>
      </c>
    </row>
    <row r="41" spans="1:65" x14ac:dyDescent="0.25">
      <c r="A41" s="338" t="s">
        <v>626</v>
      </c>
      <c r="B41" s="339">
        <v>88980</v>
      </c>
      <c r="C41" s="339">
        <v>27279</v>
      </c>
      <c r="D41" s="339">
        <v>83751</v>
      </c>
      <c r="E41" s="339">
        <v>50813</v>
      </c>
      <c r="F41" s="339">
        <v>46728</v>
      </c>
      <c r="G41" s="339">
        <v>62638</v>
      </c>
      <c r="H41" s="339">
        <v>75477</v>
      </c>
      <c r="I41" s="339">
        <v>75125</v>
      </c>
      <c r="J41" s="339">
        <v>91146</v>
      </c>
      <c r="K41" s="339">
        <v>20787</v>
      </c>
      <c r="L41" s="339">
        <v>35789</v>
      </c>
      <c r="M41" s="339">
        <v>6293303</v>
      </c>
      <c r="N41" s="335">
        <f t="shared" si="0"/>
        <v>6951816</v>
      </c>
      <c r="R41" s="335"/>
      <c r="S41" s="335"/>
      <c r="T41" s="335"/>
      <c r="U41" s="335"/>
      <c r="V41" s="335"/>
      <c r="W41" s="335"/>
      <c r="X41" s="335"/>
      <c r="Y41" s="335"/>
      <c r="Z41" s="335"/>
      <c r="AA41" s="335"/>
      <c r="AB41" s="335"/>
      <c r="AC41" s="335"/>
      <c r="AD41" s="335"/>
      <c r="AE41" s="335"/>
      <c r="AF41" s="335"/>
      <c r="AG41" s="335"/>
      <c r="AH41" s="335"/>
      <c r="AI41" s="335"/>
      <c r="AJ41" s="335"/>
      <c r="AK41" s="335"/>
      <c r="AL41" s="335"/>
      <c r="AM41" s="335"/>
      <c r="AN41" s="335"/>
      <c r="AO41" s="335"/>
      <c r="AP41" s="335"/>
      <c r="AQ41" s="335"/>
      <c r="AR41" s="335"/>
      <c r="AS41" s="335"/>
      <c r="AT41" s="335"/>
      <c r="AU41" s="335"/>
      <c r="AV41" s="335"/>
      <c r="AW41" s="335"/>
      <c r="AX41" s="334" t="s">
        <v>652</v>
      </c>
      <c r="AY41" s="334">
        <v>7270855</v>
      </c>
      <c r="BA41" s="31" t="s">
        <v>203</v>
      </c>
      <c r="BB41" s="5">
        <v>0</v>
      </c>
      <c r="BC41" s="5">
        <v>15496</v>
      </c>
      <c r="BD41" s="5">
        <v>0</v>
      </c>
      <c r="BE41" s="5">
        <v>403933</v>
      </c>
      <c r="BF41" s="5">
        <v>0</v>
      </c>
      <c r="BG41" s="5">
        <v>85185</v>
      </c>
      <c r="BH41" s="5">
        <v>0</v>
      </c>
      <c r="BI41" s="5">
        <v>83898</v>
      </c>
      <c r="BJ41" s="5">
        <v>0</v>
      </c>
      <c r="BK41" s="5">
        <v>0</v>
      </c>
      <c r="BL41" s="5">
        <v>0</v>
      </c>
      <c r="BM41" s="5">
        <v>1957931</v>
      </c>
    </row>
    <row r="42" spans="1:65" x14ac:dyDescent="0.25">
      <c r="A42" s="338" t="s">
        <v>663</v>
      </c>
      <c r="B42" s="339">
        <v>24125</v>
      </c>
      <c r="C42" s="339">
        <v>30267</v>
      </c>
      <c r="D42" s="339">
        <v>87334</v>
      </c>
      <c r="E42" s="339">
        <v>54429</v>
      </c>
      <c r="F42" s="339">
        <v>49559</v>
      </c>
      <c r="G42" s="339">
        <v>65940</v>
      </c>
      <c r="H42" s="339">
        <v>78999</v>
      </c>
      <c r="I42" s="339">
        <v>78270</v>
      </c>
      <c r="J42" s="339">
        <v>94606</v>
      </c>
      <c r="K42" s="339">
        <v>23681</v>
      </c>
      <c r="L42" s="339">
        <v>39501</v>
      </c>
      <c r="M42" s="339">
        <v>4616784</v>
      </c>
      <c r="N42" s="335">
        <f t="shared" si="0"/>
        <v>5243495</v>
      </c>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4" t="s">
        <v>632</v>
      </c>
      <c r="AY42" s="334">
        <v>1728233</v>
      </c>
      <c r="BA42" s="31" t="s">
        <v>335</v>
      </c>
      <c r="BB42" s="5">
        <v>0</v>
      </c>
      <c r="BC42" s="5">
        <v>0</v>
      </c>
      <c r="BD42" s="5">
        <v>0</v>
      </c>
      <c r="BE42" s="5">
        <v>0</v>
      </c>
      <c r="BF42" s="5">
        <v>31813</v>
      </c>
      <c r="BG42" s="5">
        <v>0</v>
      </c>
      <c r="BH42" s="5">
        <v>0</v>
      </c>
      <c r="BI42" s="5">
        <v>0</v>
      </c>
      <c r="BJ42" s="5">
        <v>0</v>
      </c>
      <c r="BK42" s="5">
        <v>0</v>
      </c>
      <c r="BL42" s="5">
        <v>0</v>
      </c>
      <c r="BM42" s="5">
        <v>8829997</v>
      </c>
    </row>
    <row r="43" spans="1:65" x14ac:dyDescent="0.25">
      <c r="A43" s="338" t="s">
        <v>664</v>
      </c>
      <c r="B43" s="339">
        <v>27270</v>
      </c>
      <c r="C43" s="339">
        <v>33255</v>
      </c>
      <c r="D43" s="339">
        <v>82836</v>
      </c>
      <c r="E43" s="339">
        <v>58046</v>
      </c>
      <c r="F43" s="339">
        <v>52389</v>
      </c>
      <c r="G43" s="339">
        <v>69242</v>
      </c>
      <c r="H43" s="339">
        <v>82522</v>
      </c>
      <c r="I43" s="339">
        <v>81415</v>
      </c>
      <c r="J43" s="339">
        <v>98065</v>
      </c>
      <c r="K43" s="339">
        <v>26574</v>
      </c>
      <c r="L43" s="339">
        <v>43212</v>
      </c>
      <c r="M43" s="339">
        <v>5197493</v>
      </c>
      <c r="N43" s="335">
        <f t="shared" si="0"/>
        <v>5852319</v>
      </c>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BA43" s="31" t="s">
        <v>161</v>
      </c>
      <c r="BB43" s="5">
        <v>0</v>
      </c>
      <c r="BC43" s="5">
        <v>0</v>
      </c>
      <c r="BD43" s="5">
        <v>0</v>
      </c>
      <c r="BE43" s="5">
        <v>1409859</v>
      </c>
      <c r="BF43" s="5">
        <v>0</v>
      </c>
      <c r="BG43" s="5">
        <v>0</v>
      </c>
      <c r="BH43" s="5">
        <v>0</v>
      </c>
      <c r="BI43" s="5">
        <v>0</v>
      </c>
      <c r="BJ43" s="5">
        <v>0</v>
      </c>
      <c r="BK43" s="5">
        <v>0</v>
      </c>
      <c r="BL43" s="5">
        <v>0</v>
      </c>
      <c r="BM43" s="5">
        <v>0</v>
      </c>
    </row>
    <row r="44" spans="1:65" x14ac:dyDescent="0.25">
      <c r="A44" s="338" t="s">
        <v>1994</v>
      </c>
      <c r="B44" s="339">
        <v>30415</v>
      </c>
      <c r="C44" s="339">
        <v>36243</v>
      </c>
      <c r="D44" s="339">
        <v>83495</v>
      </c>
      <c r="E44" s="339">
        <v>61663</v>
      </c>
      <c r="F44" s="339">
        <v>55220</v>
      </c>
      <c r="G44" s="339">
        <v>72545</v>
      </c>
      <c r="H44" s="339">
        <v>86044</v>
      </c>
      <c r="I44" s="339">
        <v>84560</v>
      </c>
      <c r="J44" s="339">
        <v>26725</v>
      </c>
      <c r="K44" s="339">
        <v>29468</v>
      </c>
      <c r="L44" s="339">
        <v>46923</v>
      </c>
      <c r="M44" s="339">
        <v>2295897</v>
      </c>
      <c r="N44" s="335">
        <f t="shared" si="0"/>
        <v>2909198</v>
      </c>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BA44" s="31" t="s">
        <v>61</v>
      </c>
      <c r="BB44" s="5">
        <v>58393</v>
      </c>
      <c r="BC44" s="5">
        <v>0</v>
      </c>
      <c r="BD44" s="5">
        <v>0</v>
      </c>
      <c r="BE44" s="5">
        <v>0</v>
      </c>
      <c r="BF44" s="5">
        <v>0</v>
      </c>
      <c r="BG44" s="5">
        <v>0</v>
      </c>
      <c r="BH44" s="5">
        <v>0</v>
      </c>
      <c r="BI44" s="5">
        <v>0</v>
      </c>
      <c r="BJ44" s="5">
        <v>0</v>
      </c>
      <c r="BK44" s="5">
        <v>0</v>
      </c>
      <c r="BL44" s="5">
        <v>0</v>
      </c>
      <c r="BM44" s="5">
        <v>0</v>
      </c>
    </row>
    <row r="45" spans="1:65" x14ac:dyDescent="0.25">
      <c r="A45" s="338" t="s">
        <v>642</v>
      </c>
      <c r="B45" s="339">
        <v>33560</v>
      </c>
      <c r="C45" s="339">
        <v>39230</v>
      </c>
      <c r="D45" s="339">
        <v>52952</v>
      </c>
      <c r="E45" s="339">
        <v>65280</v>
      </c>
      <c r="F45" s="339">
        <v>58050</v>
      </c>
      <c r="G45" s="339">
        <v>75847</v>
      </c>
      <c r="H45" s="339">
        <v>89566</v>
      </c>
      <c r="I45" s="339">
        <v>87705</v>
      </c>
      <c r="J45" s="339">
        <v>30184</v>
      </c>
      <c r="K45" s="339">
        <v>32361</v>
      </c>
      <c r="L45" s="339">
        <v>50634</v>
      </c>
      <c r="M45" s="339">
        <v>2181275</v>
      </c>
      <c r="N45" s="335">
        <f t="shared" si="0"/>
        <v>2796644</v>
      </c>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BA45" s="31" t="s">
        <v>192</v>
      </c>
      <c r="BB45" s="5">
        <v>0</v>
      </c>
      <c r="BC45" s="5">
        <v>66554</v>
      </c>
      <c r="BD45" s="5">
        <v>0</v>
      </c>
      <c r="BE45" s="5">
        <v>383686</v>
      </c>
      <c r="BF45" s="5">
        <v>0</v>
      </c>
      <c r="BG45" s="5">
        <v>80626</v>
      </c>
      <c r="BH45" s="5">
        <v>0</v>
      </c>
      <c r="BI45" s="5">
        <v>0</v>
      </c>
      <c r="BJ45" s="5">
        <v>0</v>
      </c>
      <c r="BK45" s="5">
        <v>0</v>
      </c>
      <c r="BL45" s="5">
        <v>0</v>
      </c>
      <c r="BM45" s="5">
        <v>0</v>
      </c>
    </row>
    <row r="46" spans="1:65" x14ac:dyDescent="0.25">
      <c r="A46" s="338" t="s">
        <v>1995</v>
      </c>
      <c r="B46" s="339">
        <v>36705</v>
      </c>
      <c r="C46" s="339">
        <v>42218</v>
      </c>
      <c r="D46" s="339">
        <v>56349</v>
      </c>
      <c r="E46" s="339">
        <v>68897</v>
      </c>
      <c r="F46" s="339">
        <v>60881</v>
      </c>
      <c r="G46" s="339">
        <v>79149</v>
      </c>
      <c r="H46" s="339">
        <v>93089</v>
      </c>
      <c r="I46" s="339">
        <v>22850</v>
      </c>
      <c r="J46" s="339">
        <v>33644</v>
      </c>
      <c r="K46" s="339">
        <v>35254</v>
      </c>
      <c r="L46" s="339">
        <v>54345</v>
      </c>
      <c r="M46" s="339">
        <v>9340317</v>
      </c>
      <c r="N46" s="335">
        <f t="shared" si="0"/>
        <v>9923698</v>
      </c>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BA46" s="31" t="s">
        <v>257</v>
      </c>
      <c r="BB46" s="5">
        <v>0</v>
      </c>
      <c r="BC46" s="5">
        <v>0</v>
      </c>
      <c r="BD46" s="5">
        <v>61894</v>
      </c>
      <c r="BE46" s="5">
        <v>0</v>
      </c>
      <c r="BF46" s="5">
        <v>0</v>
      </c>
      <c r="BG46" s="5">
        <v>96558</v>
      </c>
      <c r="BH46" s="5">
        <v>0</v>
      </c>
      <c r="BI46" s="5">
        <v>92975</v>
      </c>
      <c r="BJ46" s="5">
        <v>0</v>
      </c>
      <c r="BK46" s="5">
        <v>53566</v>
      </c>
      <c r="BL46" s="5">
        <v>0</v>
      </c>
      <c r="BM46" s="5">
        <v>6690596</v>
      </c>
    </row>
    <row r="47" spans="1:65" x14ac:dyDescent="0.25">
      <c r="A47" s="338" t="s">
        <v>1981</v>
      </c>
      <c r="B47" s="339">
        <v>39850</v>
      </c>
      <c r="C47" s="339">
        <v>45206</v>
      </c>
      <c r="D47" s="339">
        <v>59746</v>
      </c>
      <c r="E47" s="339">
        <v>72513</v>
      </c>
      <c r="F47" s="339">
        <v>31813</v>
      </c>
      <c r="G47" s="339">
        <v>82451</v>
      </c>
      <c r="H47" s="339">
        <v>96611</v>
      </c>
      <c r="I47" s="339">
        <v>25995</v>
      </c>
      <c r="J47" s="339">
        <v>37103</v>
      </c>
      <c r="K47" s="339">
        <v>38148</v>
      </c>
      <c r="L47" s="339">
        <v>58056</v>
      </c>
      <c r="M47" s="339">
        <v>8829997</v>
      </c>
      <c r="N47" s="335">
        <f t="shared" si="0"/>
        <v>9417489</v>
      </c>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BA47" s="31" t="s">
        <v>289</v>
      </c>
      <c r="BB47" s="5">
        <v>0</v>
      </c>
      <c r="BC47" s="5">
        <v>0</v>
      </c>
      <c r="BD47" s="5">
        <v>77830</v>
      </c>
      <c r="BE47" s="5">
        <v>0</v>
      </c>
      <c r="BF47" s="5">
        <v>0</v>
      </c>
      <c r="BG47" s="5">
        <v>0</v>
      </c>
      <c r="BH47" s="5">
        <v>0</v>
      </c>
      <c r="BI47" s="5">
        <v>0</v>
      </c>
      <c r="BJ47" s="5">
        <v>0</v>
      </c>
      <c r="BK47" s="5">
        <v>0</v>
      </c>
      <c r="BL47" s="5">
        <v>0</v>
      </c>
      <c r="BM47" s="5">
        <v>7367846</v>
      </c>
    </row>
    <row r="48" spans="1:65" x14ac:dyDescent="0.25">
      <c r="A48" s="338" t="s">
        <v>1984</v>
      </c>
      <c r="B48" s="339">
        <v>42995</v>
      </c>
      <c r="C48" s="339">
        <v>48194</v>
      </c>
      <c r="D48" s="339">
        <v>63142</v>
      </c>
      <c r="E48" s="339">
        <v>76130</v>
      </c>
      <c r="F48" s="339">
        <v>49185</v>
      </c>
      <c r="G48" s="339">
        <v>85754</v>
      </c>
      <c r="H48" s="339">
        <v>100134</v>
      </c>
      <c r="I48" s="339">
        <v>29140</v>
      </c>
      <c r="J48" s="339">
        <v>40563</v>
      </c>
      <c r="K48" s="339">
        <v>41041</v>
      </c>
      <c r="L48" s="339">
        <v>61767</v>
      </c>
      <c r="M48" s="339">
        <v>9023395</v>
      </c>
      <c r="N48" s="335">
        <f t="shared" si="0"/>
        <v>9661440</v>
      </c>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BA48" s="31" t="s">
        <v>21</v>
      </c>
      <c r="BB48" s="5">
        <v>373239</v>
      </c>
      <c r="BC48" s="5">
        <v>368451</v>
      </c>
      <c r="BD48" s="5">
        <v>1102073</v>
      </c>
      <c r="BE48" s="5">
        <v>18617832</v>
      </c>
      <c r="BF48" s="5">
        <v>142979</v>
      </c>
      <c r="BG48" s="5">
        <v>1432640</v>
      </c>
      <c r="BH48" s="5">
        <v>18568248</v>
      </c>
      <c r="BI48" s="5">
        <v>977112</v>
      </c>
      <c r="BJ48" s="5">
        <v>1218944</v>
      </c>
      <c r="BK48" s="5">
        <v>327020</v>
      </c>
      <c r="BL48" s="5">
        <v>4244768</v>
      </c>
      <c r="BM48" s="5">
        <v>140613410</v>
      </c>
    </row>
    <row r="49" spans="1:51" x14ac:dyDescent="0.25">
      <c r="A49" s="338" t="s">
        <v>669</v>
      </c>
      <c r="B49" s="339">
        <v>46140</v>
      </c>
      <c r="C49" s="339">
        <v>51181</v>
      </c>
      <c r="D49" s="339">
        <v>66539</v>
      </c>
      <c r="E49" s="339">
        <v>79747</v>
      </c>
      <c r="F49" s="339">
        <v>33440</v>
      </c>
      <c r="G49" s="339">
        <v>89056</v>
      </c>
      <c r="H49" s="339">
        <v>27496</v>
      </c>
      <c r="I49" s="339">
        <v>32285</v>
      </c>
      <c r="J49" s="339">
        <v>44022</v>
      </c>
      <c r="K49" s="339">
        <v>43935</v>
      </c>
      <c r="L49" s="339">
        <v>65478</v>
      </c>
      <c r="M49" s="339">
        <v>7849025</v>
      </c>
      <c r="N49" s="335">
        <f t="shared" si="0"/>
        <v>8428344</v>
      </c>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row>
    <row r="50" spans="1:51" x14ac:dyDescent="0.25">
      <c r="A50" s="338" t="s">
        <v>652</v>
      </c>
      <c r="B50" s="339">
        <v>49285</v>
      </c>
      <c r="C50" s="339">
        <v>54169</v>
      </c>
      <c r="D50" s="339">
        <v>69935</v>
      </c>
      <c r="E50" s="339">
        <v>83364</v>
      </c>
      <c r="F50" s="339">
        <v>12942</v>
      </c>
      <c r="G50" s="339">
        <v>92358</v>
      </c>
      <c r="H50" s="339">
        <v>31018</v>
      </c>
      <c r="I50" s="339">
        <v>35430</v>
      </c>
      <c r="J50" s="339">
        <v>47482</v>
      </c>
      <c r="K50" s="339">
        <v>46828</v>
      </c>
      <c r="L50" s="339">
        <v>69189</v>
      </c>
      <c r="M50" s="339">
        <v>7270855</v>
      </c>
      <c r="N50" s="335">
        <f t="shared" si="0"/>
        <v>7862855</v>
      </c>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row>
    <row r="51" spans="1:51" x14ac:dyDescent="0.25">
      <c r="A51" s="338" t="s">
        <v>632</v>
      </c>
      <c r="B51" s="339">
        <v>52430</v>
      </c>
      <c r="C51" s="339">
        <v>57157</v>
      </c>
      <c r="D51" s="339">
        <v>73332</v>
      </c>
      <c r="E51" s="339">
        <v>86980</v>
      </c>
      <c r="F51" s="339">
        <v>15599</v>
      </c>
      <c r="G51" s="339">
        <v>24260</v>
      </c>
      <c r="H51" s="339">
        <v>34541</v>
      </c>
      <c r="I51" s="339">
        <v>38575</v>
      </c>
      <c r="J51" s="339">
        <v>50941</v>
      </c>
      <c r="K51" s="339">
        <v>49721</v>
      </c>
      <c r="L51" s="339">
        <v>72900</v>
      </c>
      <c r="M51" s="339">
        <v>1728233</v>
      </c>
      <c r="N51" s="335">
        <f t="shared" si="0"/>
        <v>2284669</v>
      </c>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row>
    <row r="52" spans="1:51" x14ac:dyDescent="0.25">
      <c r="A52" s="342" t="s">
        <v>1997</v>
      </c>
      <c r="B52" s="343">
        <f>SUM(B2:B51)</f>
        <v>2779794</v>
      </c>
      <c r="C52" s="348">
        <f t="shared" ref="C52:M52" si="1">SUM(C2:C51)</f>
        <v>2593423</v>
      </c>
      <c r="D52" s="348">
        <f t="shared" si="1"/>
        <v>3232184</v>
      </c>
      <c r="E52" s="348">
        <f t="shared" si="1"/>
        <v>20963149</v>
      </c>
      <c r="F52" s="348">
        <f t="shared" si="1"/>
        <v>2406018</v>
      </c>
      <c r="G52" s="348">
        <f t="shared" si="1"/>
        <v>3416167</v>
      </c>
      <c r="H52" s="348">
        <f t="shared" si="1"/>
        <v>21509822</v>
      </c>
      <c r="I52" s="348">
        <f t="shared" si="1"/>
        <v>3198002</v>
      </c>
      <c r="J52" s="348">
        <f t="shared" si="1"/>
        <v>3924103</v>
      </c>
      <c r="K52" s="348">
        <f t="shared" si="1"/>
        <v>2344874</v>
      </c>
      <c r="L52" s="348">
        <f t="shared" si="1"/>
        <v>7202823</v>
      </c>
      <c r="M52" s="348">
        <f t="shared" si="1"/>
        <v>142294858</v>
      </c>
      <c r="N52" s="348">
        <f>SUM(N2:N51)</f>
        <v>215865217</v>
      </c>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row>
    <row r="53" spans="1:51" x14ac:dyDescent="0.2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row>
    <row r="54" spans="1:51" ht="19.5" thickBot="1" x14ac:dyDescent="0.35">
      <c r="A54" s="466" t="s">
        <v>999</v>
      </c>
      <c r="B54" s="466"/>
      <c r="C54" s="466"/>
      <c r="D54" s="466"/>
      <c r="E54" s="466"/>
      <c r="F54" s="466"/>
      <c r="G54" s="466"/>
      <c r="H54" s="466"/>
      <c r="I54" s="466"/>
      <c r="J54" s="466"/>
      <c r="K54" s="466"/>
      <c r="L54" s="466"/>
      <c r="M54" s="466"/>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row>
    <row r="55" spans="1:51" ht="15.75" thickTop="1" x14ac:dyDescent="0.2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row>
    <row r="56" spans="1:51" x14ac:dyDescent="0.25">
      <c r="A56" s="184" t="s">
        <v>1000</v>
      </c>
      <c r="B56" s="184"/>
      <c r="C56" s="184" t="s">
        <v>1001</v>
      </c>
      <c r="D56" s="184"/>
      <c r="E56" s="184" t="s">
        <v>1002</v>
      </c>
      <c r="F56" s="184"/>
      <c r="G56" s="184" t="s">
        <v>1003</v>
      </c>
      <c r="H56" s="184"/>
      <c r="I56" s="184" t="s">
        <v>1004</v>
      </c>
      <c r="J56" s="184"/>
      <c r="K56" s="184" t="s">
        <v>1005</v>
      </c>
      <c r="L56" s="184"/>
      <c r="M56" s="184" t="s">
        <v>1006</v>
      </c>
    </row>
    <row r="57" spans="1:51" ht="15.75" x14ac:dyDescent="0.25">
      <c r="A57" s="344">
        <f>SUM(B2:M51)</f>
        <v>215865217</v>
      </c>
      <c r="B57" s="185"/>
      <c r="C57" s="344">
        <f>IF(A57=0,"",A57/12)</f>
        <v>17988768.083333332</v>
      </c>
      <c r="D57" s="185"/>
      <c r="E57" s="345" t="str">
        <f>INDEX($A$2:$A$51,MATCH(MAX($N$2:$N$51),$N$2:$N$51,0))</f>
        <v>Mouse</v>
      </c>
      <c r="F57" s="185"/>
      <c r="G57" s="345" t="str">
        <f>INDEX($B$1:$M$1,MATCH(MAX($B$52:$M$52),$B$52:$M$52,0))</f>
        <v>December</v>
      </c>
      <c r="H57" s="185"/>
      <c r="I57" s="346">
        <f>COUNTIF($N$2:$N$51,"&gt;0")</f>
        <v>50</v>
      </c>
      <c r="J57" s="185"/>
      <c r="K57" s="344">
        <f>MAX($B$52:$M$52)</f>
        <v>142294858</v>
      </c>
      <c r="L57" s="185"/>
      <c r="M57" s="347" cm="1">
        <f t="array" ref="M57">IF(A57=0,"",SUM(LARGE($N$2:$N$51,{1,2,3}))/A57)</f>
        <v>0.14035848119060329</v>
      </c>
    </row>
    <row r="98" spans="1:27" x14ac:dyDescent="0.25">
      <c r="A98" s="186" t="s">
        <v>1007</v>
      </c>
      <c r="B98" s="186"/>
      <c r="C98" s="186"/>
      <c r="D98" s="186"/>
      <c r="E98" s="186"/>
      <c r="F98" s="186"/>
      <c r="G98" s="186"/>
      <c r="H98" s="186"/>
    </row>
    <row r="100" spans="1:27" x14ac:dyDescent="0.25">
      <c r="A100" s="349" t="s">
        <v>1008</v>
      </c>
      <c r="B100" s="349" t="str">
        <f t="shared" ref="B100:M100" si="2">B1</f>
        <v>January</v>
      </c>
      <c r="C100" s="349" t="str">
        <f t="shared" si="2"/>
        <v>February</v>
      </c>
      <c r="D100" s="349" t="str">
        <f t="shared" si="2"/>
        <v>March</v>
      </c>
      <c r="E100" s="349" t="str">
        <f t="shared" si="2"/>
        <v>April</v>
      </c>
      <c r="F100" s="349" t="str">
        <f t="shared" si="2"/>
        <v>May</v>
      </c>
      <c r="G100" s="349" t="str">
        <f t="shared" si="2"/>
        <v>June</v>
      </c>
      <c r="H100" s="349" t="str">
        <f t="shared" si="2"/>
        <v>July</v>
      </c>
      <c r="I100" s="349" t="str">
        <f t="shared" si="2"/>
        <v>August</v>
      </c>
      <c r="J100" s="349" t="str">
        <f t="shared" si="2"/>
        <v>September</v>
      </c>
      <c r="K100" s="349" t="str">
        <f t="shared" si="2"/>
        <v>October</v>
      </c>
      <c r="L100" s="349" t="str">
        <f t="shared" si="2"/>
        <v>November</v>
      </c>
      <c r="M100" s="349" t="str">
        <f t="shared" si="2"/>
        <v>December</v>
      </c>
      <c r="N100" s="187"/>
      <c r="O100" s="187" t="s">
        <v>1008</v>
      </c>
      <c r="P100" s="187" t="str">
        <f t="shared" ref="P100:AA100" si="3">B1</f>
        <v>January</v>
      </c>
      <c r="Q100" s="187" t="str">
        <f t="shared" si="3"/>
        <v>February</v>
      </c>
      <c r="R100" s="187" t="str">
        <f t="shared" si="3"/>
        <v>March</v>
      </c>
      <c r="S100" s="187" t="str">
        <f t="shared" si="3"/>
        <v>April</v>
      </c>
      <c r="T100" s="187" t="str">
        <f t="shared" si="3"/>
        <v>May</v>
      </c>
      <c r="U100" s="187" t="str">
        <f t="shared" si="3"/>
        <v>June</v>
      </c>
      <c r="V100" s="187" t="str">
        <f t="shared" si="3"/>
        <v>July</v>
      </c>
      <c r="W100" s="187" t="str">
        <f t="shared" si="3"/>
        <v>August</v>
      </c>
      <c r="X100" s="187" t="str">
        <f t="shared" si="3"/>
        <v>September</v>
      </c>
      <c r="Y100" s="187" t="str">
        <f t="shared" si="3"/>
        <v>October</v>
      </c>
      <c r="Z100" s="187" t="str">
        <f t="shared" si="3"/>
        <v>November</v>
      </c>
      <c r="AA100" s="187" t="str">
        <f t="shared" si="3"/>
        <v>December</v>
      </c>
    </row>
    <row r="101" spans="1:27" x14ac:dyDescent="0.25">
      <c r="A101" s="43" t="s">
        <v>1009</v>
      </c>
      <c r="B101" s="350">
        <f t="shared" ref="B101:M101" si="4">SUM(B2:B51)</f>
        <v>2779794</v>
      </c>
      <c r="C101" s="350">
        <f t="shared" si="4"/>
        <v>2593423</v>
      </c>
      <c r="D101" s="350">
        <f t="shared" si="4"/>
        <v>3232184</v>
      </c>
      <c r="E101" s="350">
        <f t="shared" si="4"/>
        <v>20963149</v>
      </c>
      <c r="F101" s="350">
        <f t="shared" si="4"/>
        <v>2406018</v>
      </c>
      <c r="G101" s="350">
        <f t="shared" si="4"/>
        <v>3416167</v>
      </c>
      <c r="H101" s="350">
        <f t="shared" si="4"/>
        <v>21509822</v>
      </c>
      <c r="I101" s="350">
        <f t="shared" si="4"/>
        <v>3198002</v>
      </c>
      <c r="J101" s="350">
        <f t="shared" si="4"/>
        <v>3924103</v>
      </c>
      <c r="K101" s="350">
        <f t="shared" si="4"/>
        <v>2344874</v>
      </c>
      <c r="L101" s="350">
        <f t="shared" si="4"/>
        <v>7202823</v>
      </c>
      <c r="M101" s="350">
        <f t="shared" si="4"/>
        <v>142294858</v>
      </c>
      <c r="N101" s="189"/>
      <c r="O101" s="189" t="s">
        <v>1013</v>
      </c>
      <c r="P101" s="189">
        <f t="shared" ref="P101:AA101" si="5">COUNTIF(B2:B51,"&gt;0")</f>
        <v>50</v>
      </c>
      <c r="Q101" s="189">
        <f t="shared" si="5"/>
        <v>50</v>
      </c>
      <c r="R101" s="189">
        <f t="shared" si="5"/>
        <v>50</v>
      </c>
      <c r="S101" s="189">
        <f t="shared" si="5"/>
        <v>50</v>
      </c>
      <c r="T101" s="189">
        <f t="shared" si="5"/>
        <v>50</v>
      </c>
      <c r="U101" s="189">
        <f t="shared" si="5"/>
        <v>50</v>
      </c>
      <c r="V101" s="189">
        <f t="shared" si="5"/>
        <v>50</v>
      </c>
      <c r="W101" s="189">
        <f t="shared" si="5"/>
        <v>50</v>
      </c>
      <c r="X101" s="189">
        <f t="shared" si="5"/>
        <v>50</v>
      </c>
      <c r="Y101" s="189">
        <f t="shared" si="5"/>
        <v>50</v>
      </c>
      <c r="Z101" s="189">
        <f t="shared" si="5"/>
        <v>50</v>
      </c>
      <c r="AA101" s="189">
        <f t="shared" si="5"/>
        <v>50</v>
      </c>
    </row>
    <row r="105" spans="1:27" x14ac:dyDescent="0.25">
      <c r="A105" s="187" t="s">
        <v>1010</v>
      </c>
      <c r="B105" s="187" t="s">
        <v>1009</v>
      </c>
      <c r="C105" s="187"/>
      <c r="D105" s="187" t="s">
        <v>1011</v>
      </c>
      <c r="E105" s="187" t="s">
        <v>1009</v>
      </c>
      <c r="F105" s="187"/>
      <c r="G105" s="187" t="s">
        <v>1012</v>
      </c>
      <c r="H105" s="187" t="s">
        <v>1009</v>
      </c>
      <c r="I105" s="187"/>
      <c r="J105" s="187" t="s">
        <v>1008</v>
      </c>
      <c r="K105" s="187" t="s">
        <v>1014</v>
      </c>
    </row>
    <row r="106" spans="1:27" x14ac:dyDescent="0.25">
      <c r="A106" t="str">
        <f t="shared" ref="A106:A137" si="6">A2</f>
        <v>TV</v>
      </c>
      <c r="B106" s="188">
        <f t="shared" ref="B106:B137" si="7">SUM(B2:M2)</f>
        <v>717603</v>
      </c>
      <c r="D106" t="str">
        <f>INDEX($A$106:$A$155,MATCH(LARGE($B$106:$B$155,ROWS($E$106:E106)),$B$106:$B$155,0))</f>
        <v>Mouse</v>
      </c>
      <c r="E106" s="188">
        <f>LARGE($B$106:$B$155,ROWS($E$106:E106))</f>
        <v>10713376</v>
      </c>
      <c r="G106" t="str">
        <f>D106</f>
        <v>Mouse</v>
      </c>
      <c r="H106" s="188">
        <f>E106</f>
        <v>10713376</v>
      </c>
      <c r="J106" s="331" t="str">
        <f>B100</f>
        <v>January</v>
      </c>
      <c r="K106" s="351">
        <f>B101</f>
        <v>2779794</v>
      </c>
    </row>
    <row r="107" spans="1:27" x14ac:dyDescent="0.25">
      <c r="A107" t="str">
        <f t="shared" si="6"/>
        <v>Stove</v>
      </c>
      <c r="B107" s="188">
        <f t="shared" si="7"/>
        <v>2114918</v>
      </c>
      <c r="D107" t="str">
        <f>INDEX($A$106:$A$155,MATCH(LARGE($B$106:$B$155,ROWS($E$106:E107)),$B$106:$B$155,0))</f>
        <v>Performance Enhancer</v>
      </c>
      <c r="E107" s="188">
        <f>LARGE($B$106:$B$155,ROWS($E$106:E107))</f>
        <v>9923698</v>
      </c>
      <c r="G107" t="str">
        <f t="shared" ref="G107:G110" si="8">D107</f>
        <v>Performance Enhancer</v>
      </c>
      <c r="H107" s="188">
        <f t="shared" ref="H107:H110" si="9">E107</f>
        <v>9923698</v>
      </c>
      <c r="J107" s="313" t="str">
        <f>C100</f>
        <v>February</v>
      </c>
      <c r="K107" s="327">
        <f>C101</f>
        <v>2593423</v>
      </c>
    </row>
    <row r="108" spans="1:27" x14ac:dyDescent="0.25">
      <c r="A108" t="str">
        <f t="shared" si="6"/>
        <v>Maths</v>
      </c>
      <c r="B108" s="188">
        <f t="shared" si="7"/>
        <v>3284815</v>
      </c>
      <c r="D108" t="str">
        <f>INDEX($A$106:$A$155,MATCH(LARGE($B$106:$B$155,ROWS($E$106:E108)),$B$106:$B$155,0))</f>
        <v>Paracetamol</v>
      </c>
      <c r="E108" s="188">
        <f>LARGE($B$106:$B$155,ROWS($E$106:E108))</f>
        <v>9661440</v>
      </c>
      <c r="G108" t="str">
        <f t="shared" si="8"/>
        <v>Paracetamol</v>
      </c>
      <c r="H108" s="188">
        <f t="shared" si="9"/>
        <v>9661440</v>
      </c>
      <c r="J108" s="331" t="str">
        <f>D100</f>
        <v>March</v>
      </c>
      <c r="K108" s="351">
        <f>D101</f>
        <v>3232184</v>
      </c>
    </row>
    <row r="109" spans="1:27" x14ac:dyDescent="0.25">
      <c r="A109" t="str">
        <f t="shared" si="6"/>
        <v>Laptop</v>
      </c>
      <c r="B109" s="188">
        <f t="shared" si="7"/>
        <v>3553547</v>
      </c>
      <c r="D109" t="str">
        <f>INDEX($A$106:$A$155,MATCH(LARGE($B$106:$B$155,ROWS($E$106:E109)),$B$106:$B$155,0))</f>
        <v>Toy Cars</v>
      </c>
      <c r="E109" s="188">
        <f>LARGE($B$106:$B$155,ROWS($E$106:E109))</f>
        <v>9417489</v>
      </c>
      <c r="G109" t="str">
        <f t="shared" si="8"/>
        <v>Toy Cars</v>
      </c>
      <c r="H109" s="188">
        <f t="shared" si="9"/>
        <v>9417489</v>
      </c>
      <c r="J109" s="313" t="str">
        <f>E100</f>
        <v>April</v>
      </c>
      <c r="K109" s="327">
        <f>E101</f>
        <v>20963149</v>
      </c>
    </row>
    <row r="110" spans="1:27" x14ac:dyDescent="0.25">
      <c r="A110" t="str">
        <f t="shared" si="6"/>
        <v>Cardboard</v>
      </c>
      <c r="B110" s="188">
        <f t="shared" si="7"/>
        <v>6811093</v>
      </c>
      <c r="D110" t="str">
        <f>INDEX($A$106:$A$155,MATCH(LARGE($B$106:$B$155,ROWS($E$106:E110)),$B$106:$B$155,0))</f>
        <v>Pencils</v>
      </c>
      <c r="E110" s="188">
        <f>LARGE($B$106:$B$155,ROWS($E$106:E110))</f>
        <v>8963205</v>
      </c>
      <c r="G110" t="str">
        <f t="shared" si="8"/>
        <v>Pencils</v>
      </c>
      <c r="H110" s="188">
        <f t="shared" si="9"/>
        <v>8963205</v>
      </c>
      <c r="J110" s="331" t="str">
        <f>F100</f>
        <v>May</v>
      </c>
      <c r="K110" s="351">
        <f>F101</f>
        <v>2406018</v>
      </c>
    </row>
    <row r="111" spans="1:27" x14ac:dyDescent="0.25">
      <c r="A111" t="str">
        <f t="shared" si="6"/>
        <v>Mouse</v>
      </c>
      <c r="B111" s="188">
        <f t="shared" si="7"/>
        <v>10713376</v>
      </c>
      <c r="D111" t="str">
        <f>INDEX($A$106:$A$155,MATCH(LARGE($B$106:$B$155,ROWS($E$106:E111)),$B$106:$B$155,0))</f>
        <v>Jackets</v>
      </c>
      <c r="E111" s="188">
        <f>LARGE($B$106:$B$155,ROWS($E$106:E111))</f>
        <v>8727467</v>
      </c>
      <c r="J111" s="313" t="str">
        <f>G100</f>
        <v>June</v>
      </c>
      <c r="K111" s="327">
        <f>G101</f>
        <v>3416167</v>
      </c>
    </row>
    <row r="112" spans="1:27" x14ac:dyDescent="0.25">
      <c r="A112" t="str">
        <f t="shared" si="6"/>
        <v>Copies</v>
      </c>
      <c r="B112" s="188">
        <f t="shared" si="7"/>
        <v>976821</v>
      </c>
      <c r="D112" t="str">
        <f>INDEX($A$106:$A$155,MATCH(LARGE($B$106:$B$155,ROWS($E$106:E112)),$B$106:$B$155,0))</f>
        <v>Shirts</v>
      </c>
      <c r="E112" s="188">
        <f>LARGE($B$106:$B$155,ROWS($E$106:E112))</f>
        <v>8428344</v>
      </c>
      <c r="J112" s="331" t="str">
        <f>H100</f>
        <v>July</v>
      </c>
      <c r="K112" s="351">
        <f>H101</f>
        <v>21509822</v>
      </c>
    </row>
    <row r="113" spans="1:11" x14ac:dyDescent="0.25">
      <c r="A113" t="str">
        <f t="shared" si="6"/>
        <v>Bikes</v>
      </c>
      <c r="B113" s="188">
        <f t="shared" si="7"/>
        <v>865049</v>
      </c>
      <c r="D113" t="str">
        <f>INDEX($A$106:$A$155,MATCH(LARGE($B$106:$B$155,ROWS($E$106:E113)),$B$106:$B$155,0))</f>
        <v>Leather Armor</v>
      </c>
      <c r="E113" s="188">
        <f>LARGE($B$106:$B$155,ROWS($E$106:E113))</f>
        <v>8041640</v>
      </c>
      <c r="J113" s="313" t="str">
        <f>I100</f>
        <v>August</v>
      </c>
      <c r="K113" s="327">
        <f>I101</f>
        <v>3198002</v>
      </c>
    </row>
    <row r="114" spans="1:11" x14ac:dyDescent="0.25">
      <c r="A114" t="str">
        <f t="shared" si="6"/>
        <v>Small Cars</v>
      </c>
      <c r="B114" s="188">
        <f t="shared" si="7"/>
        <v>738820</v>
      </c>
      <c r="D114" t="str">
        <f>INDEX($A$106:$A$155,MATCH(LARGE($B$106:$B$155,ROWS($E$106:E114)),$B$106:$B$155,0))</f>
        <v>Whey Protein</v>
      </c>
      <c r="E114" s="188">
        <f>LARGE($B$106:$B$155,ROWS($E$106:E114))</f>
        <v>8017771</v>
      </c>
      <c r="J114" s="331" t="str">
        <f>J100</f>
        <v>September</v>
      </c>
      <c r="K114" s="351">
        <f>J101</f>
        <v>3924103</v>
      </c>
    </row>
    <row r="115" spans="1:11" x14ac:dyDescent="0.25">
      <c r="A115" t="str">
        <f t="shared" si="6"/>
        <v>Sunscreen</v>
      </c>
      <c r="B115" s="188">
        <f t="shared" si="7"/>
        <v>779075</v>
      </c>
      <c r="D115" t="str">
        <f>INDEX($A$106:$A$155,MATCH(LARGE($B$106:$B$155,ROWS($E$106:E115)),$B$106:$B$155,0))</f>
        <v>Desktop</v>
      </c>
      <c r="E115" s="188">
        <f>LARGE($B$106:$B$155,ROWS($E$106:E115))</f>
        <v>7862855</v>
      </c>
      <c r="J115" s="313" t="str">
        <f>K100</f>
        <v>October</v>
      </c>
      <c r="K115" s="327">
        <f>K101</f>
        <v>2344874</v>
      </c>
    </row>
    <row r="116" spans="1:11" x14ac:dyDescent="0.25">
      <c r="A116" t="str">
        <f t="shared" si="6"/>
        <v>PC</v>
      </c>
      <c r="B116" s="188">
        <f t="shared" si="7"/>
        <v>819335</v>
      </c>
      <c r="J116" s="331" t="str">
        <f>L100</f>
        <v>November</v>
      </c>
      <c r="K116" s="351">
        <f>L101</f>
        <v>7202823</v>
      </c>
    </row>
    <row r="117" spans="1:11" x14ac:dyDescent="0.25">
      <c r="A117" t="str">
        <f t="shared" si="6"/>
        <v>Headphones</v>
      </c>
      <c r="B117" s="188">
        <f t="shared" si="7"/>
        <v>781389</v>
      </c>
      <c r="J117" s="313" t="str">
        <f>M100</f>
        <v>December</v>
      </c>
      <c r="K117" s="327">
        <f>M101</f>
        <v>142294858</v>
      </c>
    </row>
    <row r="118" spans="1:11" x14ac:dyDescent="0.25">
      <c r="A118" t="str">
        <f t="shared" si="6"/>
        <v>Cars</v>
      </c>
      <c r="B118" s="188">
        <f t="shared" si="7"/>
        <v>2409000</v>
      </c>
    </row>
    <row r="119" spans="1:11" x14ac:dyDescent="0.25">
      <c r="A119" t="str">
        <f t="shared" si="6"/>
        <v>Cream</v>
      </c>
      <c r="B119" s="188">
        <f t="shared" si="7"/>
        <v>1284967</v>
      </c>
    </row>
    <row r="120" spans="1:11" x14ac:dyDescent="0.25">
      <c r="A120" t="str">
        <f t="shared" si="6"/>
        <v>Cookers</v>
      </c>
      <c r="B120" s="188">
        <f t="shared" si="7"/>
        <v>1103916</v>
      </c>
    </row>
    <row r="121" spans="1:11" x14ac:dyDescent="0.25">
      <c r="A121" t="str">
        <f t="shared" si="6"/>
        <v>Pans</v>
      </c>
      <c r="B121" s="188">
        <f t="shared" si="7"/>
        <v>2416680</v>
      </c>
    </row>
    <row r="122" spans="1:11" x14ac:dyDescent="0.25">
      <c r="A122" t="str">
        <f t="shared" si="6"/>
        <v>T-Shirts</v>
      </c>
      <c r="B122" s="188">
        <f t="shared" si="7"/>
        <v>2036621</v>
      </c>
    </row>
    <row r="123" spans="1:11" x14ac:dyDescent="0.25">
      <c r="A123" t="str">
        <f t="shared" si="6"/>
        <v>Pants</v>
      </c>
      <c r="B123" s="188">
        <f t="shared" si="7"/>
        <v>2403124</v>
      </c>
    </row>
    <row r="124" spans="1:11" x14ac:dyDescent="0.25">
      <c r="A124" t="str">
        <f t="shared" si="6"/>
        <v>B.Com (Hons) Set</v>
      </c>
      <c r="B124" s="188">
        <f t="shared" si="7"/>
        <v>1211720</v>
      </c>
    </row>
    <row r="125" spans="1:11" x14ac:dyDescent="0.25">
      <c r="A125" t="str">
        <f t="shared" si="6"/>
        <v>Oven</v>
      </c>
      <c r="B125" s="188">
        <f t="shared" si="7"/>
        <v>1816827</v>
      </c>
    </row>
    <row r="126" spans="1:11" x14ac:dyDescent="0.25">
      <c r="A126" t="str">
        <f t="shared" si="6"/>
        <v>Lipstick</v>
      </c>
      <c r="B126" s="188">
        <f t="shared" si="7"/>
        <v>1504435</v>
      </c>
    </row>
    <row r="127" spans="1:11" x14ac:dyDescent="0.25">
      <c r="A127" t="str">
        <f t="shared" si="6"/>
        <v>Vicks</v>
      </c>
      <c r="B127" s="188">
        <f t="shared" si="7"/>
        <v>1022766</v>
      </c>
    </row>
    <row r="128" spans="1:11" x14ac:dyDescent="0.25">
      <c r="A128" t="str">
        <f t="shared" si="6"/>
        <v>Dolo</v>
      </c>
      <c r="B128" s="188">
        <f t="shared" si="7"/>
        <v>2565004</v>
      </c>
    </row>
    <row r="129" spans="1:2" x14ac:dyDescent="0.25">
      <c r="A129" t="str">
        <f t="shared" si="6"/>
        <v>Three Wheelers</v>
      </c>
      <c r="B129" s="188">
        <f t="shared" si="7"/>
        <v>2930980</v>
      </c>
    </row>
    <row r="130" spans="1:2" x14ac:dyDescent="0.25">
      <c r="A130" t="str">
        <f t="shared" si="6"/>
        <v>Jackets</v>
      </c>
      <c r="B130" s="188">
        <f t="shared" si="7"/>
        <v>8727467</v>
      </c>
    </row>
    <row r="131" spans="1:2" x14ac:dyDescent="0.25">
      <c r="A131" t="str">
        <f t="shared" si="6"/>
        <v>Puppets</v>
      </c>
      <c r="B131" s="188">
        <f t="shared" si="7"/>
        <v>7531457</v>
      </c>
    </row>
    <row r="132" spans="1:2" x14ac:dyDescent="0.25">
      <c r="A132" t="str">
        <f t="shared" si="6"/>
        <v>Dolls</v>
      </c>
      <c r="B132" s="188">
        <f t="shared" si="7"/>
        <v>4236289</v>
      </c>
    </row>
    <row r="133" spans="1:2" x14ac:dyDescent="0.25">
      <c r="A133" t="str">
        <f t="shared" si="6"/>
        <v>Makeup Kit</v>
      </c>
      <c r="B133" s="188">
        <f t="shared" si="7"/>
        <v>7741709</v>
      </c>
    </row>
    <row r="134" spans="1:2" x14ac:dyDescent="0.25">
      <c r="A134" t="str">
        <f t="shared" si="6"/>
        <v>Keyboard</v>
      </c>
      <c r="B134" s="188">
        <f t="shared" si="7"/>
        <v>2914906</v>
      </c>
    </row>
    <row r="135" spans="1:2" x14ac:dyDescent="0.25">
      <c r="A135" t="str">
        <f t="shared" si="6"/>
        <v>Pencils</v>
      </c>
      <c r="B135" s="188">
        <f t="shared" si="7"/>
        <v>8963205</v>
      </c>
    </row>
    <row r="136" spans="1:2" x14ac:dyDescent="0.25">
      <c r="A136" t="str">
        <f t="shared" si="6"/>
        <v>Jeans</v>
      </c>
      <c r="B136" s="188">
        <f t="shared" si="7"/>
        <v>4784092</v>
      </c>
    </row>
    <row r="137" spans="1:2" x14ac:dyDescent="0.25">
      <c r="A137" t="str">
        <f t="shared" si="6"/>
        <v>Magazines</v>
      </c>
      <c r="B137" s="188">
        <f t="shared" si="7"/>
        <v>5593877</v>
      </c>
    </row>
    <row r="138" spans="1:2" x14ac:dyDescent="0.25">
      <c r="A138" t="str">
        <f t="shared" ref="A138:A155" si="10">A34</f>
        <v>Vildagliptin 50/500</v>
      </c>
      <c r="B138" s="188">
        <f t="shared" ref="B138:B155" si="11">SUM(B34:M34)</f>
        <v>7393731</v>
      </c>
    </row>
    <row r="139" spans="1:2" x14ac:dyDescent="0.25">
      <c r="A139" t="str">
        <f t="shared" si="10"/>
        <v>Strepsils</v>
      </c>
      <c r="B139" s="188">
        <f t="shared" si="11"/>
        <v>5349681</v>
      </c>
    </row>
    <row r="140" spans="1:2" x14ac:dyDescent="0.25">
      <c r="A140" t="str">
        <f t="shared" si="10"/>
        <v>Slingshots</v>
      </c>
      <c r="B140" s="188">
        <f t="shared" si="11"/>
        <v>3250957</v>
      </c>
    </row>
    <row r="141" spans="1:2" x14ac:dyDescent="0.25">
      <c r="A141" t="str">
        <f t="shared" si="10"/>
        <v>Sword</v>
      </c>
      <c r="B141" s="188">
        <f t="shared" si="11"/>
        <v>3924290</v>
      </c>
    </row>
    <row r="142" spans="1:2" x14ac:dyDescent="0.25">
      <c r="A142" t="str">
        <f t="shared" si="10"/>
        <v>Creatine</v>
      </c>
      <c r="B142" s="188">
        <f t="shared" si="11"/>
        <v>3200297</v>
      </c>
    </row>
    <row r="143" spans="1:2" x14ac:dyDescent="0.25">
      <c r="A143" t="str">
        <f t="shared" si="10"/>
        <v>Whey Protein</v>
      </c>
      <c r="B143" s="188">
        <f t="shared" si="11"/>
        <v>8017771</v>
      </c>
    </row>
    <row r="144" spans="1:2" x14ac:dyDescent="0.25">
      <c r="A144" t="str">
        <f t="shared" si="10"/>
        <v>Leather Armor</v>
      </c>
      <c r="B144" s="188">
        <f t="shared" si="11"/>
        <v>8041640</v>
      </c>
    </row>
    <row r="145" spans="1:2" x14ac:dyDescent="0.25">
      <c r="A145" t="str">
        <f t="shared" si="10"/>
        <v>Auto</v>
      </c>
      <c r="B145" s="188">
        <f t="shared" si="11"/>
        <v>6951816</v>
      </c>
    </row>
    <row r="146" spans="1:2" x14ac:dyDescent="0.25">
      <c r="A146" t="str">
        <f t="shared" si="10"/>
        <v>Pajamas</v>
      </c>
      <c r="B146" s="188">
        <f t="shared" si="11"/>
        <v>5243495</v>
      </c>
    </row>
    <row r="147" spans="1:2" x14ac:dyDescent="0.25">
      <c r="A147" t="str">
        <f t="shared" si="10"/>
        <v>Lowers</v>
      </c>
      <c r="B147" s="188">
        <f t="shared" si="11"/>
        <v>5852319</v>
      </c>
    </row>
    <row r="148" spans="1:2" x14ac:dyDescent="0.25">
      <c r="A148" t="str">
        <f t="shared" si="10"/>
        <v>Monitor</v>
      </c>
      <c r="B148" s="188">
        <f t="shared" si="11"/>
        <v>2909198</v>
      </c>
    </row>
    <row r="149" spans="1:2" x14ac:dyDescent="0.25">
      <c r="A149" t="str">
        <f t="shared" si="10"/>
        <v>Colors</v>
      </c>
      <c r="B149" s="188">
        <f t="shared" si="11"/>
        <v>2796644</v>
      </c>
    </row>
    <row r="150" spans="1:2" x14ac:dyDescent="0.25">
      <c r="A150" t="str">
        <f t="shared" si="10"/>
        <v>Performance Enhancer</v>
      </c>
      <c r="B150" s="188">
        <f t="shared" si="11"/>
        <v>9923698</v>
      </c>
    </row>
    <row r="151" spans="1:2" x14ac:dyDescent="0.25">
      <c r="A151" t="str">
        <f t="shared" si="10"/>
        <v>Toy Cars</v>
      </c>
      <c r="B151" s="188">
        <f t="shared" si="11"/>
        <v>9417489</v>
      </c>
    </row>
    <row r="152" spans="1:2" x14ac:dyDescent="0.25">
      <c r="A152" t="str">
        <f t="shared" si="10"/>
        <v>Paracetamol</v>
      </c>
      <c r="B152" s="188">
        <f t="shared" si="11"/>
        <v>9661440</v>
      </c>
    </row>
    <row r="153" spans="1:2" x14ac:dyDescent="0.25">
      <c r="A153" t="str">
        <f t="shared" si="10"/>
        <v>Shirts</v>
      </c>
      <c r="B153" s="188">
        <f t="shared" si="11"/>
        <v>8428344</v>
      </c>
    </row>
    <row r="154" spans="1:2" x14ac:dyDescent="0.25">
      <c r="A154" t="str">
        <f t="shared" si="10"/>
        <v>Desktop</v>
      </c>
      <c r="B154" s="188">
        <f t="shared" si="11"/>
        <v>7862855</v>
      </c>
    </row>
    <row r="155" spans="1:2" x14ac:dyDescent="0.25">
      <c r="A155" t="str">
        <f t="shared" si="10"/>
        <v>Belts</v>
      </c>
      <c r="B155" s="188">
        <f t="shared" si="11"/>
        <v>2284669</v>
      </c>
    </row>
  </sheetData>
  <dataConsolidate function="max" topLabels="1">
    <dataRefs count="12">
      <dataRef ref="Q14:R21" sheet="data consolidate" r:id="rId2"/>
      <dataRef ref="T14:U23" sheet="data consolidate" r:id="rId3"/>
      <dataRef ref="W14:X29" sheet="data consolidate" r:id="rId4"/>
      <dataRef ref="Z14:AA30" sheet="data consolidate" r:id="rId5"/>
      <dataRef ref="AC14:AD19" sheet="data consolidate" r:id="rId6"/>
      <dataRef ref="AF14:AG32" sheet="data consolidate" r:id="rId7"/>
      <dataRef ref="AI14:AJ18" sheet="data consolidate" r:id="rId8"/>
      <dataRef ref="AL14:AM25" sheet="data consolidate" r:id="rId9"/>
      <dataRef ref="AO14:AP19" sheet="data consolidate" r:id="rId10"/>
      <dataRef ref="AR14:AS23" sheet="data consolidate" r:id="rId11"/>
      <dataRef ref="AU14:AV19" sheet="data consolidate" r:id="rId12"/>
      <dataRef ref="AX14:AY42" sheet="data consolidate" r:id="rId13"/>
    </dataRefs>
  </dataConsolidate>
  <mergeCells count="1">
    <mergeCell ref="A54:M54"/>
  </mergeCells>
  <dataValidations disablePrompts="1" count="1">
    <dataValidation type="list" allowBlank="1" showInputMessage="1" showErrorMessage="1" sqref="O4" xr:uid="{B6EE4D6D-C4C7-4C3B-A3BE-6481A5C9EC11}">
      <formula1>$A$2:$A$51</formula1>
    </dataValidation>
  </dataValidations>
  <pageMargins left="0.7" right="0.7" top="0.75" bottom="0.75" header="0.3" footer="0.3"/>
  <drawing r:id="rId1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7799-9140-44AC-89FA-B601F17B2A28}">
  <sheetPr codeName="Sheet15"/>
  <dimension ref="A1:BC175"/>
  <sheetViews>
    <sheetView showGridLines="0" topLeftCell="A109" zoomScale="90" zoomScaleNormal="90" workbookViewId="0">
      <selection activeCell="O115" sqref="O115"/>
    </sheetView>
  </sheetViews>
  <sheetFormatPr defaultRowHeight="15" x14ac:dyDescent="0.25"/>
  <cols>
    <col min="1" max="1" width="10.7109375" customWidth="1"/>
    <col min="2" max="2" width="14.85546875" customWidth="1"/>
    <col min="3" max="3" width="17.5703125" customWidth="1"/>
    <col min="4" max="4" width="16.7109375" customWidth="1"/>
    <col min="5" max="5" width="19" customWidth="1"/>
    <col min="6" max="6" width="18.28515625" customWidth="1"/>
    <col min="7" max="8" width="16" customWidth="1"/>
    <col min="9" max="9" width="20.5703125" customWidth="1"/>
    <col min="10" max="10" width="15.28515625" customWidth="1"/>
    <col min="11" max="11" width="19" customWidth="1"/>
    <col min="12" max="12" width="16" customWidth="1"/>
    <col min="13" max="13" width="16.7109375" customWidth="1"/>
    <col min="14" max="14" width="9.140625" customWidth="1"/>
    <col min="15" max="15" width="17.5703125" customWidth="1"/>
    <col min="16" max="16" width="9.140625" customWidth="1"/>
    <col min="17" max="17" width="17.5703125" customWidth="1"/>
    <col min="18" max="18" width="19.85546875" customWidth="1"/>
    <col min="19" max="19" width="21.28515625" customWidth="1"/>
    <col min="20" max="20" width="18.28515625" customWidth="1"/>
    <col min="22" max="22" width="16.5703125" bestFit="1" customWidth="1"/>
    <col min="23" max="23" width="9.42578125" bestFit="1" customWidth="1"/>
    <col min="24" max="24" width="9.5703125" bestFit="1" customWidth="1"/>
    <col min="25" max="25" width="13.42578125" bestFit="1" customWidth="1"/>
    <col min="26" max="28" width="9.7109375" bestFit="1" customWidth="1"/>
    <col min="29" max="29" width="13.85546875" bestFit="1" customWidth="1"/>
    <col min="30" max="31" width="9.7109375" bestFit="1" customWidth="1"/>
    <col min="32" max="32" width="3.140625" bestFit="1" customWidth="1"/>
    <col min="33" max="33" width="12" bestFit="1" customWidth="1"/>
    <col min="34" max="34" width="3.42578125" bestFit="1" customWidth="1"/>
    <col min="35" max="35" width="9.7109375" bestFit="1" customWidth="1"/>
    <col min="36" max="36" width="12" bestFit="1" customWidth="1"/>
    <col min="37" max="37" width="14.28515625" bestFit="1" customWidth="1"/>
    <col min="38" max="38" width="12" bestFit="1" customWidth="1"/>
    <col min="40" max="40" width="15.42578125" bestFit="1" customWidth="1"/>
    <col min="41" max="41" width="23.42578125" bestFit="1" customWidth="1"/>
    <col min="42" max="42" width="20.140625" bestFit="1" customWidth="1"/>
    <col min="43" max="43" width="15.42578125" bestFit="1" customWidth="1"/>
    <col min="44" max="44" width="14.28515625" bestFit="1" customWidth="1"/>
    <col min="45" max="45" width="13.85546875" bestFit="1" customWidth="1"/>
    <col min="46" max="46" width="20.5703125" bestFit="1" customWidth="1"/>
    <col min="47" max="47" width="13.85546875" bestFit="1" customWidth="1"/>
    <col min="48" max="48" width="15.85546875" bestFit="1" customWidth="1"/>
    <col min="49" max="49" width="9.7109375" bestFit="1" customWidth="1"/>
    <col min="50" max="50" width="12.140625" bestFit="1" customWidth="1"/>
    <col min="51" max="51" width="10" bestFit="1" customWidth="1"/>
    <col min="52" max="52" width="12.140625" bestFit="1" customWidth="1"/>
    <col min="53" max="53" width="18.42578125" bestFit="1" customWidth="1"/>
    <col min="54" max="54" width="21" bestFit="1" customWidth="1"/>
    <col min="55" max="56" width="15.140625" bestFit="1" customWidth="1"/>
  </cols>
  <sheetData>
    <row r="1" spans="1:55" ht="27.95" customHeight="1" x14ac:dyDescent="0.25">
      <c r="A1" s="467" t="s">
        <v>1946</v>
      </c>
      <c r="B1" s="468"/>
      <c r="C1" s="468"/>
      <c r="D1" s="468"/>
      <c r="E1" s="468"/>
      <c r="F1" s="468"/>
      <c r="G1" s="468"/>
      <c r="H1" s="468"/>
      <c r="I1" s="468"/>
      <c r="J1" s="468"/>
      <c r="K1" s="468"/>
      <c r="L1" s="468"/>
      <c r="M1" s="468"/>
      <c r="N1" s="468"/>
      <c r="O1" s="468"/>
      <c r="P1" s="468"/>
      <c r="Q1" s="468"/>
      <c r="R1" s="468"/>
      <c r="S1" s="468"/>
      <c r="T1" s="469"/>
      <c r="V1" s="167"/>
      <c r="W1" s="167"/>
      <c r="X1" s="167"/>
      <c r="Y1" s="167"/>
      <c r="Z1" s="167"/>
      <c r="AA1" s="167"/>
      <c r="AB1" s="167"/>
      <c r="AC1" s="167"/>
      <c r="AD1" s="167"/>
      <c r="AE1" s="167"/>
      <c r="AF1" s="167"/>
      <c r="AG1" s="167"/>
      <c r="AH1" s="167"/>
      <c r="AI1" s="167"/>
      <c r="AJ1" s="167"/>
      <c r="AK1" s="167"/>
      <c r="AL1" s="167"/>
      <c r="AM1" s="167"/>
      <c r="AN1" s="178"/>
      <c r="AO1" s="178"/>
      <c r="AP1" s="178"/>
      <c r="AQ1" s="178"/>
      <c r="AR1" s="178"/>
      <c r="AS1" s="178"/>
      <c r="AT1" s="178"/>
      <c r="AU1" s="178"/>
      <c r="AV1" s="178"/>
      <c r="AW1" s="178"/>
      <c r="AX1" s="178"/>
      <c r="AY1" s="178"/>
      <c r="AZ1" s="178"/>
      <c r="BA1" s="178"/>
      <c r="BB1" s="178"/>
      <c r="BC1" s="178"/>
    </row>
    <row r="2" spans="1:55" ht="32.1" customHeight="1" x14ac:dyDescent="0.25">
      <c r="A2" s="293" t="s">
        <v>582</v>
      </c>
      <c r="B2" s="294" t="s">
        <v>583</v>
      </c>
      <c r="C2" s="294" t="s">
        <v>584</v>
      </c>
      <c r="D2" s="294" t="s">
        <v>585</v>
      </c>
      <c r="E2" s="294" t="s">
        <v>894</v>
      </c>
      <c r="F2" s="294" t="s">
        <v>586</v>
      </c>
      <c r="G2" s="294" t="s">
        <v>587</v>
      </c>
      <c r="H2" s="294" t="s">
        <v>588</v>
      </c>
      <c r="I2" s="294" t="s">
        <v>956</v>
      </c>
      <c r="J2" s="294" t="s">
        <v>589</v>
      </c>
      <c r="K2" s="294" t="s">
        <v>590</v>
      </c>
      <c r="L2" s="294" t="s">
        <v>591</v>
      </c>
      <c r="M2" s="294" t="s">
        <v>592</v>
      </c>
      <c r="N2" s="294" t="s">
        <v>593</v>
      </c>
      <c r="O2" s="294" t="s">
        <v>594</v>
      </c>
      <c r="P2" s="294" t="s">
        <v>595</v>
      </c>
      <c r="Q2" s="294" t="s">
        <v>596</v>
      </c>
      <c r="R2" s="294" t="s">
        <v>597</v>
      </c>
      <c r="S2" s="294" t="s">
        <v>598</v>
      </c>
      <c r="T2" s="295" t="s">
        <v>599</v>
      </c>
      <c r="V2" s="167"/>
      <c r="W2" s="167"/>
      <c r="X2" s="167"/>
      <c r="Y2" s="167"/>
      <c r="Z2" s="167"/>
      <c r="AA2" s="167"/>
      <c r="AB2" s="167"/>
      <c r="AC2" s="167"/>
      <c r="AD2" s="167"/>
      <c r="AE2" s="167"/>
      <c r="AF2" s="167"/>
      <c r="AG2" s="167"/>
      <c r="AH2" s="167"/>
      <c r="AI2" s="167"/>
      <c r="AJ2" s="167"/>
      <c r="AK2" s="167"/>
      <c r="AL2" s="167"/>
      <c r="AM2" s="167"/>
      <c r="AN2" s="168" t="s">
        <v>17</v>
      </c>
      <c r="AO2" s="169" t="s">
        <v>600</v>
      </c>
      <c r="AP2" s="169" t="s">
        <v>601</v>
      </c>
      <c r="AQ2" s="169" t="s">
        <v>602</v>
      </c>
      <c r="AR2" s="169" t="s">
        <v>603</v>
      </c>
      <c r="AS2" s="169" t="s">
        <v>604</v>
      </c>
      <c r="AT2" s="169" t="s">
        <v>605</v>
      </c>
      <c r="AU2" s="169" t="s">
        <v>606</v>
      </c>
      <c r="AV2" s="169" t="s">
        <v>607</v>
      </c>
      <c r="AW2" s="169" t="s">
        <v>608</v>
      </c>
      <c r="AX2" s="169" t="s">
        <v>609</v>
      </c>
      <c r="AY2" s="169" t="s">
        <v>610</v>
      </c>
      <c r="AZ2" s="169" t="s">
        <v>611</v>
      </c>
      <c r="BA2" s="169" t="s">
        <v>612</v>
      </c>
      <c r="BB2" s="169" t="s">
        <v>613</v>
      </c>
      <c r="BC2" s="169" t="s">
        <v>614</v>
      </c>
    </row>
    <row r="3" spans="1:55" ht="18" customHeight="1" x14ac:dyDescent="0.25">
      <c r="A3" s="296">
        <v>1</v>
      </c>
      <c r="B3" s="297">
        <v>1000</v>
      </c>
      <c r="C3" s="298" t="s">
        <v>62</v>
      </c>
      <c r="D3" s="298" t="s">
        <v>615</v>
      </c>
      <c r="E3" s="298" t="s">
        <v>1883</v>
      </c>
      <c r="F3" s="299">
        <v>50000</v>
      </c>
      <c r="G3" s="299">
        <v>5000</v>
      </c>
      <c r="H3" s="299">
        <v>6000</v>
      </c>
      <c r="I3" s="299">
        <f>F3*1%</f>
        <v>500</v>
      </c>
      <c r="J3" s="299">
        <v>3000</v>
      </c>
      <c r="K3" s="299">
        <f>SUM(F3:J3)</f>
        <v>64500</v>
      </c>
      <c r="L3" s="299">
        <f>K3*10%</f>
        <v>6450</v>
      </c>
      <c r="M3" s="299">
        <f>K3*1.75%</f>
        <v>1128.75</v>
      </c>
      <c r="N3" s="300">
        <v>3</v>
      </c>
      <c r="O3" s="299">
        <f t="shared" ref="O3:O34" si="0">F3/26*N3</f>
        <v>5769.2307692307695</v>
      </c>
      <c r="P3" s="300">
        <v>15</v>
      </c>
      <c r="Q3" s="299">
        <f>F3/24/8*12</f>
        <v>3125</v>
      </c>
      <c r="R3" s="301">
        <f>K3-L3-M3-O3+Q3</f>
        <v>54277.019230769234</v>
      </c>
      <c r="S3" s="302">
        <v>646029.23076923098</v>
      </c>
      <c r="T3" s="303">
        <f>S3*12%</f>
        <v>77523.507692307714</v>
      </c>
      <c r="V3" s="170"/>
      <c r="W3" s="170"/>
      <c r="X3" s="167"/>
      <c r="Y3" s="167"/>
      <c r="Z3" s="167"/>
      <c r="AA3" s="167"/>
      <c r="AB3" s="167"/>
      <c r="AC3" s="167"/>
      <c r="AD3" s="167"/>
      <c r="AE3" s="167"/>
      <c r="AF3" s="167"/>
      <c r="AG3" s="167"/>
      <c r="AH3" s="167"/>
      <c r="AI3" s="167"/>
      <c r="AJ3" s="167"/>
      <c r="AK3" s="167"/>
      <c r="AL3" s="167"/>
      <c r="AM3" s="167"/>
      <c r="AN3" s="169" t="s">
        <v>85</v>
      </c>
      <c r="AO3" s="169">
        <v>1054</v>
      </c>
      <c r="AP3" s="171">
        <v>25000</v>
      </c>
      <c r="AQ3" s="171">
        <v>2500</v>
      </c>
      <c r="AR3" s="171">
        <v>3000</v>
      </c>
      <c r="AS3" s="171">
        <v>1500</v>
      </c>
      <c r="AT3" s="171">
        <v>32000</v>
      </c>
      <c r="AU3" s="171">
        <v>3200</v>
      </c>
      <c r="AV3" s="172">
        <v>560</v>
      </c>
      <c r="AW3" s="169">
        <v>3</v>
      </c>
      <c r="AX3" s="171">
        <v>2884.6153846153848</v>
      </c>
      <c r="AY3" s="169">
        <v>13</v>
      </c>
      <c r="AZ3" s="171">
        <v>1692.7083333333335</v>
      </c>
      <c r="BA3" s="172">
        <v>27048.092948717949</v>
      </c>
      <c r="BB3" s="172">
        <v>324577.11538461538</v>
      </c>
      <c r="BC3" s="172">
        <v>38949.253846153842</v>
      </c>
    </row>
    <row r="4" spans="1:55" ht="18" customHeight="1" x14ac:dyDescent="0.25">
      <c r="A4" s="304">
        <v>2</v>
      </c>
      <c r="B4" s="305">
        <v>1001</v>
      </c>
      <c r="C4" s="306" t="s">
        <v>69</v>
      </c>
      <c r="D4" s="306" t="s">
        <v>615</v>
      </c>
      <c r="E4" s="306" t="s">
        <v>1883</v>
      </c>
      <c r="F4" s="307">
        <v>40000</v>
      </c>
      <c r="G4" s="307">
        <v>4000</v>
      </c>
      <c r="H4" s="307">
        <v>4800</v>
      </c>
      <c r="I4" s="307">
        <f t="shared" ref="I4:I67" si="1">F4*1%</f>
        <v>400</v>
      </c>
      <c r="J4" s="307">
        <v>2400</v>
      </c>
      <c r="K4" s="307">
        <f t="shared" ref="K4:K12" si="2">SUM(F4:J4)</f>
        <v>51600</v>
      </c>
      <c r="L4" s="307">
        <f t="shared" ref="L4:L12" si="3">K4*10%</f>
        <v>5160</v>
      </c>
      <c r="M4" s="307">
        <f t="shared" ref="M4:M12" si="4">K4*1.75%</f>
        <v>903.00000000000011</v>
      </c>
      <c r="N4" s="308">
        <v>2</v>
      </c>
      <c r="O4" s="307">
        <f t="shared" si="0"/>
        <v>3076.9230769230771</v>
      </c>
      <c r="P4" s="308">
        <v>12</v>
      </c>
      <c r="Q4" s="307">
        <f>F4/24/8*12</f>
        <v>2500</v>
      </c>
      <c r="R4" s="301">
        <f t="shared" ref="R4:R67" si="5">K4-L4-M4-O4+Q4</f>
        <v>44960.076923076922</v>
      </c>
      <c r="S4" s="309">
        <v>535284.92307692301</v>
      </c>
      <c r="T4" s="310">
        <f t="shared" ref="T4:T67" si="6">S4*12%</f>
        <v>64234.190769230758</v>
      </c>
      <c r="V4" s="167"/>
      <c r="W4" s="173"/>
      <c r="X4" s="167"/>
      <c r="Y4" s="167"/>
      <c r="Z4" s="167"/>
      <c r="AA4" s="167"/>
      <c r="AB4" s="167"/>
      <c r="AC4" s="167"/>
      <c r="AD4" s="167"/>
      <c r="AE4" s="167"/>
      <c r="AF4" s="167"/>
      <c r="AG4" s="167"/>
      <c r="AH4" s="167"/>
      <c r="AI4" s="167"/>
      <c r="AJ4" s="167"/>
      <c r="AK4" s="167"/>
      <c r="AL4" s="167"/>
      <c r="AM4" s="167"/>
      <c r="AN4" s="169" t="s">
        <v>616</v>
      </c>
      <c r="AO4" s="169">
        <v>1054</v>
      </c>
      <c r="AP4" s="171">
        <v>25000</v>
      </c>
      <c r="AQ4" s="171">
        <v>2500</v>
      </c>
      <c r="AR4" s="171">
        <v>3000</v>
      </c>
      <c r="AS4" s="171">
        <v>1500</v>
      </c>
      <c r="AT4" s="171">
        <v>32000</v>
      </c>
      <c r="AU4" s="171">
        <v>3200</v>
      </c>
      <c r="AV4" s="172">
        <v>560</v>
      </c>
      <c r="AW4" s="169">
        <v>3</v>
      </c>
      <c r="AX4" s="171">
        <v>2884.6153846153848</v>
      </c>
      <c r="AY4" s="169">
        <v>13</v>
      </c>
      <c r="AZ4" s="171">
        <v>1692.7083333333335</v>
      </c>
      <c r="BA4" s="172">
        <v>27048.092948717949</v>
      </c>
      <c r="BB4" s="172">
        <v>324577.11538461538</v>
      </c>
      <c r="BC4" s="172">
        <v>38949.253846153842</v>
      </c>
    </row>
    <row r="5" spans="1:55" ht="18" customHeight="1" x14ac:dyDescent="0.25">
      <c r="A5" s="296">
        <v>3</v>
      </c>
      <c r="B5" s="297">
        <v>1002</v>
      </c>
      <c r="C5" s="298" t="s">
        <v>75</v>
      </c>
      <c r="D5" s="298" t="s">
        <v>615</v>
      </c>
      <c r="E5" s="298" t="s">
        <v>1883</v>
      </c>
      <c r="F5" s="299">
        <v>40000</v>
      </c>
      <c r="G5" s="299">
        <v>4000</v>
      </c>
      <c r="H5" s="299">
        <v>4800</v>
      </c>
      <c r="I5" s="299">
        <f t="shared" si="1"/>
        <v>400</v>
      </c>
      <c r="J5" s="299">
        <v>2400</v>
      </c>
      <c r="K5" s="299">
        <f t="shared" si="2"/>
        <v>51600</v>
      </c>
      <c r="L5" s="299">
        <f t="shared" si="3"/>
        <v>5160</v>
      </c>
      <c r="M5" s="299">
        <f t="shared" si="4"/>
        <v>903.00000000000011</v>
      </c>
      <c r="N5" s="300">
        <v>4</v>
      </c>
      <c r="O5" s="299">
        <f t="shared" si="0"/>
        <v>6153.8461538461543</v>
      </c>
      <c r="P5" s="300">
        <v>13</v>
      </c>
      <c r="Q5" s="299">
        <f t="shared" ref="Q5:Q36" si="7">F5/24/8*P5</f>
        <v>2708.3333333333335</v>
      </c>
      <c r="R5" s="301">
        <f t="shared" si="5"/>
        <v>42091.48717948718</v>
      </c>
      <c r="S5" s="302">
        <v>500861.84615384601</v>
      </c>
      <c r="T5" s="303">
        <f t="shared" si="6"/>
        <v>60103.421538461516</v>
      </c>
      <c r="V5" s="167"/>
      <c r="W5" s="167"/>
      <c r="X5" s="167"/>
      <c r="Y5" s="167"/>
      <c r="Z5" s="167"/>
      <c r="AA5" s="167"/>
      <c r="AB5" s="167"/>
      <c r="AC5" s="167"/>
      <c r="AD5" s="167"/>
      <c r="AE5" s="167"/>
      <c r="AF5" s="167"/>
      <c r="AG5" s="167"/>
      <c r="AH5" s="167"/>
      <c r="AI5" s="167"/>
      <c r="AJ5" s="167"/>
      <c r="AK5" s="167"/>
      <c r="AL5" s="167"/>
      <c r="AM5" s="167"/>
      <c r="AN5" s="169" t="s">
        <v>340</v>
      </c>
      <c r="AO5" s="169">
        <v>1096</v>
      </c>
      <c r="AP5" s="171">
        <v>23000</v>
      </c>
      <c r="AQ5" s="171">
        <v>2300</v>
      </c>
      <c r="AR5" s="171">
        <v>2760</v>
      </c>
      <c r="AS5" s="171">
        <v>1380</v>
      </c>
      <c r="AT5" s="171">
        <v>29440</v>
      </c>
      <c r="AU5" s="171">
        <v>2944</v>
      </c>
      <c r="AV5" s="172">
        <v>515.20000000000005</v>
      </c>
      <c r="AW5" s="169">
        <v>2</v>
      </c>
      <c r="AX5" s="171">
        <v>1769.2307692307693</v>
      </c>
      <c r="AY5" s="169">
        <v>12</v>
      </c>
      <c r="AZ5" s="171">
        <v>1437.5</v>
      </c>
      <c r="BA5" s="172">
        <v>25649.06923076923</v>
      </c>
      <c r="BB5" s="172">
        <v>307788.83076923073</v>
      </c>
      <c r="BC5" s="172">
        <v>36934.659692307687</v>
      </c>
    </row>
    <row r="6" spans="1:55" ht="18" customHeight="1" x14ac:dyDescent="0.25">
      <c r="A6" s="304">
        <v>4</v>
      </c>
      <c r="B6" s="305">
        <v>1003</v>
      </c>
      <c r="C6" s="306" t="s">
        <v>81</v>
      </c>
      <c r="D6" s="306" t="s">
        <v>615</v>
      </c>
      <c r="E6" s="306" t="s">
        <v>1883</v>
      </c>
      <c r="F6" s="307">
        <v>60000</v>
      </c>
      <c r="G6" s="307">
        <v>6000</v>
      </c>
      <c r="H6" s="307">
        <v>7200</v>
      </c>
      <c r="I6" s="307">
        <f t="shared" si="1"/>
        <v>600</v>
      </c>
      <c r="J6" s="307">
        <v>3600</v>
      </c>
      <c r="K6" s="307">
        <f t="shared" si="2"/>
        <v>77400</v>
      </c>
      <c r="L6" s="307">
        <f t="shared" si="3"/>
        <v>7740</v>
      </c>
      <c r="M6" s="307">
        <f t="shared" si="4"/>
        <v>1354.5000000000002</v>
      </c>
      <c r="N6" s="308">
        <v>3</v>
      </c>
      <c r="O6" s="307">
        <f t="shared" si="0"/>
        <v>6923.0769230769229</v>
      </c>
      <c r="P6" s="308">
        <v>15</v>
      </c>
      <c r="Q6" s="307">
        <f t="shared" si="7"/>
        <v>4687.5</v>
      </c>
      <c r="R6" s="301">
        <f t="shared" si="5"/>
        <v>66069.923076923078</v>
      </c>
      <c r="S6" s="309">
        <v>786485.07692307699</v>
      </c>
      <c r="T6" s="310">
        <f t="shared" si="6"/>
        <v>94378.209230769236</v>
      </c>
      <c r="V6" s="177" t="s">
        <v>583</v>
      </c>
      <c r="W6" s="177" t="s">
        <v>584</v>
      </c>
      <c r="X6" s="177" t="s">
        <v>585</v>
      </c>
      <c r="Y6" s="177" t="s">
        <v>586</v>
      </c>
      <c r="Z6" s="177" t="s">
        <v>587</v>
      </c>
      <c r="AA6" s="177" t="s">
        <v>588</v>
      </c>
      <c r="AB6" s="177" t="s">
        <v>589</v>
      </c>
      <c r="AC6" s="177" t="s">
        <v>590</v>
      </c>
      <c r="AD6" s="177" t="s">
        <v>591</v>
      </c>
      <c r="AE6" s="177" t="s">
        <v>592</v>
      </c>
      <c r="AF6" s="177" t="s">
        <v>593</v>
      </c>
      <c r="AG6" s="177" t="s">
        <v>594</v>
      </c>
      <c r="AH6" s="177" t="s">
        <v>595</v>
      </c>
      <c r="AI6" s="177" t="s">
        <v>596</v>
      </c>
      <c r="AJ6" s="177" t="s">
        <v>597</v>
      </c>
      <c r="AK6" s="177" t="s">
        <v>598</v>
      </c>
      <c r="AL6" s="177" t="s">
        <v>599</v>
      </c>
      <c r="AM6" s="167"/>
      <c r="AN6" s="169" t="s">
        <v>616</v>
      </c>
      <c r="AO6" s="169">
        <v>1096</v>
      </c>
      <c r="AP6" s="171">
        <v>23000</v>
      </c>
      <c r="AQ6" s="171">
        <v>2300</v>
      </c>
      <c r="AR6" s="171">
        <v>2760</v>
      </c>
      <c r="AS6" s="171">
        <v>1380</v>
      </c>
      <c r="AT6" s="171">
        <v>29440</v>
      </c>
      <c r="AU6" s="171">
        <v>2944</v>
      </c>
      <c r="AV6" s="172">
        <v>515.20000000000005</v>
      </c>
      <c r="AW6" s="169">
        <v>2</v>
      </c>
      <c r="AX6" s="171">
        <v>1769.2307692307693</v>
      </c>
      <c r="AY6" s="169">
        <v>12</v>
      </c>
      <c r="AZ6" s="171">
        <v>1437.5</v>
      </c>
      <c r="BA6" s="172">
        <v>25649.06923076923</v>
      </c>
      <c r="BB6" s="172">
        <v>307788.83076923073</v>
      </c>
      <c r="BC6" s="172">
        <v>36934.659692307687</v>
      </c>
    </row>
    <row r="7" spans="1:55" ht="18" customHeight="1" x14ac:dyDescent="0.25">
      <c r="A7" s="296">
        <v>5</v>
      </c>
      <c r="B7" s="297">
        <v>1004</v>
      </c>
      <c r="C7" s="298" t="s">
        <v>88</v>
      </c>
      <c r="D7" s="298" t="s">
        <v>615</v>
      </c>
      <c r="E7" s="298" t="s">
        <v>1883</v>
      </c>
      <c r="F7" s="299">
        <v>70000</v>
      </c>
      <c r="G7" s="299">
        <v>7000</v>
      </c>
      <c r="H7" s="299">
        <v>8400</v>
      </c>
      <c r="I7" s="299">
        <f t="shared" si="1"/>
        <v>700</v>
      </c>
      <c r="J7" s="299">
        <v>4200</v>
      </c>
      <c r="K7" s="299">
        <f t="shared" si="2"/>
        <v>90300</v>
      </c>
      <c r="L7" s="299">
        <f t="shared" si="3"/>
        <v>9030</v>
      </c>
      <c r="M7" s="299">
        <f t="shared" si="4"/>
        <v>1580.2500000000002</v>
      </c>
      <c r="N7" s="300">
        <v>5</v>
      </c>
      <c r="O7" s="299">
        <f t="shared" si="0"/>
        <v>13461.538461538461</v>
      </c>
      <c r="P7" s="300">
        <v>15</v>
      </c>
      <c r="Q7" s="299">
        <f t="shared" si="7"/>
        <v>5468.75</v>
      </c>
      <c r="R7" s="301">
        <f t="shared" si="5"/>
        <v>71696.961538461532</v>
      </c>
      <c r="S7" s="302">
        <v>852950.53846153803</v>
      </c>
      <c r="T7" s="303">
        <f t="shared" si="6"/>
        <v>102354.06461538456</v>
      </c>
      <c r="V7" s="175">
        <v>1004</v>
      </c>
      <c r="W7" s="175" t="str" cm="1">
        <f t="array" ref="W7:AL7">VLOOKUP(V7,B2:T103,{2,3,4,5,6,7,8,9,10,11,12,13,14,15,16,17},0)</f>
        <v>kunal</v>
      </c>
      <c r="X7" s="175" t="str">
        <v>manager</v>
      </c>
      <c r="Y7" s="176" t="str">
        <v>Management</v>
      </c>
      <c r="Z7" s="176">
        <v>70000</v>
      </c>
      <c r="AA7" s="176">
        <v>7000</v>
      </c>
      <c r="AB7" s="176">
        <v>8400</v>
      </c>
      <c r="AC7" s="176">
        <v>700</v>
      </c>
      <c r="AD7" s="176">
        <v>4200</v>
      </c>
      <c r="AE7" s="176">
        <v>90300</v>
      </c>
      <c r="AF7" s="175">
        <v>9030</v>
      </c>
      <c r="AG7" s="176">
        <v>1580.2500000000002</v>
      </c>
      <c r="AH7" s="175">
        <v>5</v>
      </c>
      <c r="AI7" s="176">
        <v>13461.538461538461</v>
      </c>
      <c r="AJ7" s="176">
        <v>15</v>
      </c>
      <c r="AK7" s="176">
        <v>5468.75</v>
      </c>
      <c r="AL7" s="176">
        <v>71696.961538461532</v>
      </c>
      <c r="AM7" s="167"/>
      <c r="AN7" s="169" t="s">
        <v>288</v>
      </c>
      <c r="AO7" s="169">
        <v>1087</v>
      </c>
      <c r="AP7" s="171">
        <v>16000</v>
      </c>
      <c r="AQ7" s="171">
        <v>1600</v>
      </c>
      <c r="AR7" s="171">
        <v>1920</v>
      </c>
      <c r="AS7" s="171">
        <v>960</v>
      </c>
      <c r="AT7" s="171">
        <v>20480</v>
      </c>
      <c r="AU7" s="171">
        <v>2048</v>
      </c>
      <c r="AV7" s="172">
        <v>358.40000000000003</v>
      </c>
      <c r="AW7" s="169">
        <v>2</v>
      </c>
      <c r="AX7" s="171">
        <v>1230.7692307692307</v>
      </c>
      <c r="AY7" s="169">
        <v>12</v>
      </c>
      <c r="AZ7" s="171">
        <v>1000</v>
      </c>
      <c r="BA7" s="172">
        <v>17842.830769230768</v>
      </c>
      <c r="BB7" s="172">
        <v>214113.9692307692</v>
      </c>
      <c r="BC7" s="172">
        <v>25693.676307692302</v>
      </c>
    </row>
    <row r="8" spans="1:55" ht="18" customHeight="1" x14ac:dyDescent="0.25">
      <c r="A8" s="304">
        <v>6</v>
      </c>
      <c r="B8" s="305">
        <v>1005</v>
      </c>
      <c r="C8" s="306" t="s">
        <v>94</v>
      </c>
      <c r="D8" s="306" t="s">
        <v>615</v>
      </c>
      <c r="E8" s="306" t="s">
        <v>1883</v>
      </c>
      <c r="F8" s="307">
        <v>50000</v>
      </c>
      <c r="G8" s="307">
        <v>5000</v>
      </c>
      <c r="H8" s="307">
        <v>6000</v>
      </c>
      <c r="I8" s="307">
        <f t="shared" si="1"/>
        <v>500</v>
      </c>
      <c r="J8" s="307">
        <v>3000</v>
      </c>
      <c r="K8" s="307">
        <f t="shared" si="2"/>
        <v>64500</v>
      </c>
      <c r="L8" s="307">
        <f t="shared" si="3"/>
        <v>6450</v>
      </c>
      <c r="M8" s="307">
        <f t="shared" si="4"/>
        <v>1128.75</v>
      </c>
      <c r="N8" s="308">
        <v>3</v>
      </c>
      <c r="O8" s="307">
        <f t="shared" si="0"/>
        <v>5769.2307692307695</v>
      </c>
      <c r="P8" s="308">
        <v>12</v>
      </c>
      <c r="Q8" s="307">
        <f t="shared" si="7"/>
        <v>3125</v>
      </c>
      <c r="R8" s="301">
        <f t="shared" si="5"/>
        <v>54277.019230769234</v>
      </c>
      <c r="S8" s="309">
        <v>646029.23076923098</v>
      </c>
      <c r="T8" s="310">
        <f t="shared" si="6"/>
        <v>77523.507692307714</v>
      </c>
      <c r="V8" s="167"/>
      <c r="W8" s="167"/>
      <c r="X8" s="167"/>
      <c r="Y8" s="167"/>
      <c r="Z8" s="167"/>
      <c r="AA8" s="167"/>
      <c r="AB8" s="167"/>
      <c r="AC8" s="167"/>
      <c r="AD8" s="167"/>
      <c r="AE8" s="167"/>
      <c r="AF8" s="167"/>
      <c r="AG8" s="167"/>
      <c r="AH8" s="167"/>
      <c r="AI8" s="167"/>
      <c r="AJ8" s="167"/>
      <c r="AK8" s="167"/>
      <c r="AL8" s="167"/>
      <c r="AM8" s="167"/>
      <c r="AN8" s="169" t="s">
        <v>616</v>
      </c>
      <c r="AO8" s="169">
        <v>1087</v>
      </c>
      <c r="AP8" s="171">
        <v>16000</v>
      </c>
      <c r="AQ8" s="171">
        <v>1600</v>
      </c>
      <c r="AR8" s="171">
        <v>1920</v>
      </c>
      <c r="AS8" s="171">
        <v>960</v>
      </c>
      <c r="AT8" s="171">
        <v>20480</v>
      </c>
      <c r="AU8" s="171">
        <v>2048</v>
      </c>
      <c r="AV8" s="172">
        <v>358.40000000000003</v>
      </c>
      <c r="AW8" s="169">
        <v>2</v>
      </c>
      <c r="AX8" s="171">
        <v>1230.7692307692307</v>
      </c>
      <c r="AY8" s="169">
        <v>12</v>
      </c>
      <c r="AZ8" s="171">
        <v>1000</v>
      </c>
      <c r="BA8" s="172">
        <v>17842.830769230768</v>
      </c>
      <c r="BB8" s="172">
        <v>214113.9692307692</v>
      </c>
      <c r="BC8" s="172">
        <v>25693.676307692302</v>
      </c>
    </row>
    <row r="9" spans="1:55" ht="18" customHeight="1" x14ac:dyDescent="0.25">
      <c r="A9" s="296">
        <v>7</v>
      </c>
      <c r="B9" s="297">
        <v>1006</v>
      </c>
      <c r="C9" s="298" t="s">
        <v>100</v>
      </c>
      <c r="D9" s="298" t="s">
        <v>616</v>
      </c>
      <c r="E9" s="298" t="s">
        <v>1468</v>
      </c>
      <c r="F9" s="299">
        <v>18000</v>
      </c>
      <c r="G9" s="299">
        <v>1800</v>
      </c>
      <c r="H9" s="299">
        <v>2160</v>
      </c>
      <c r="I9" s="299">
        <f t="shared" si="1"/>
        <v>180</v>
      </c>
      <c r="J9" s="299">
        <v>1080</v>
      </c>
      <c r="K9" s="299">
        <f t="shared" si="2"/>
        <v>23220</v>
      </c>
      <c r="L9" s="299">
        <f t="shared" si="3"/>
        <v>2322</v>
      </c>
      <c r="M9" s="299">
        <f t="shared" si="4"/>
        <v>406.35</v>
      </c>
      <c r="N9" s="300">
        <v>4</v>
      </c>
      <c r="O9" s="299">
        <f t="shared" si="0"/>
        <v>2769.2307692307691</v>
      </c>
      <c r="P9" s="300">
        <v>13</v>
      </c>
      <c r="Q9" s="299">
        <f t="shared" si="7"/>
        <v>1218.75</v>
      </c>
      <c r="R9" s="301">
        <f t="shared" si="5"/>
        <v>18941.169230769232</v>
      </c>
      <c r="S9" s="302">
        <v>225387.83076923099</v>
      </c>
      <c r="T9" s="303">
        <f t="shared" si="6"/>
        <v>27046.539692307717</v>
      </c>
      <c r="V9" s="167"/>
      <c r="W9" s="167" t="e" cm="1" vm="1">
        <f t="array" aca="1" ref="W9" ca="1">_xlfn.XLOOKUP(V7,B3:B102,C3:T102)</f>
        <v>#VALUE!</v>
      </c>
      <c r="X9" s="167"/>
      <c r="Y9" s="167"/>
      <c r="Z9" s="167"/>
      <c r="AA9" s="167"/>
      <c r="AB9" s="167"/>
      <c r="AC9" s="167"/>
      <c r="AD9" s="167"/>
      <c r="AE9" s="167"/>
      <c r="AF9" s="167"/>
      <c r="AG9" s="167"/>
      <c r="AH9" s="167"/>
      <c r="AI9" s="167"/>
      <c r="AJ9" s="167"/>
      <c r="AK9" s="167"/>
      <c r="AL9" s="167"/>
      <c r="AM9" s="167"/>
      <c r="AN9" s="169" t="s">
        <v>98</v>
      </c>
      <c r="AO9" s="169">
        <v>1056</v>
      </c>
      <c r="AP9" s="171">
        <v>20000</v>
      </c>
      <c r="AQ9" s="171">
        <v>2000</v>
      </c>
      <c r="AR9" s="171">
        <v>2400</v>
      </c>
      <c r="AS9" s="171">
        <v>1200</v>
      </c>
      <c r="AT9" s="171">
        <v>25600</v>
      </c>
      <c r="AU9" s="171">
        <v>2560</v>
      </c>
      <c r="AV9" s="172">
        <v>448.00000000000006</v>
      </c>
      <c r="AW9" s="169">
        <v>5</v>
      </c>
      <c r="AX9" s="171">
        <v>3846.1538461538466</v>
      </c>
      <c r="AY9" s="169">
        <v>12</v>
      </c>
      <c r="AZ9" s="171">
        <v>1250</v>
      </c>
      <c r="BA9" s="172">
        <v>19995.846153846152</v>
      </c>
      <c r="BB9" s="172">
        <v>239950.15384615381</v>
      </c>
      <c r="BC9" s="172">
        <v>28794.018461538457</v>
      </c>
    </row>
    <row r="10" spans="1:55" ht="18" customHeight="1" x14ac:dyDescent="0.25">
      <c r="A10" s="304">
        <v>8</v>
      </c>
      <c r="B10" s="305">
        <v>1007</v>
      </c>
      <c r="C10" s="306" t="s">
        <v>107</v>
      </c>
      <c r="D10" s="306" t="s">
        <v>616</v>
      </c>
      <c r="E10" s="306" t="s">
        <v>1884</v>
      </c>
      <c r="F10" s="307">
        <v>26000</v>
      </c>
      <c r="G10" s="307">
        <v>2600</v>
      </c>
      <c r="H10" s="307">
        <v>3120</v>
      </c>
      <c r="I10" s="307">
        <f t="shared" si="1"/>
        <v>260</v>
      </c>
      <c r="J10" s="307">
        <v>1560</v>
      </c>
      <c r="K10" s="307">
        <f t="shared" si="2"/>
        <v>33540</v>
      </c>
      <c r="L10" s="307">
        <f t="shared" si="3"/>
        <v>3354</v>
      </c>
      <c r="M10" s="307">
        <f t="shared" si="4"/>
        <v>586.95000000000005</v>
      </c>
      <c r="N10" s="308">
        <v>5</v>
      </c>
      <c r="O10" s="307">
        <f t="shared" si="0"/>
        <v>5000</v>
      </c>
      <c r="P10" s="308">
        <v>13</v>
      </c>
      <c r="Q10" s="307">
        <f t="shared" si="7"/>
        <v>1760.4166666666665</v>
      </c>
      <c r="R10" s="301">
        <f t="shared" si="5"/>
        <v>26359.466666666667</v>
      </c>
      <c r="S10" s="309">
        <v>313560.2</v>
      </c>
      <c r="T10" s="310">
        <f t="shared" si="6"/>
        <v>37627.224000000002</v>
      </c>
      <c r="V10" s="167"/>
      <c r="W10" s="167"/>
      <c r="X10" s="167"/>
      <c r="Y10" s="167"/>
      <c r="Z10" s="167"/>
      <c r="AA10" s="167"/>
      <c r="AB10" s="167"/>
      <c r="AC10" s="167"/>
      <c r="AD10" s="167"/>
      <c r="AE10" s="167"/>
      <c r="AF10" s="167"/>
      <c r="AG10" s="167"/>
      <c r="AH10" s="167"/>
      <c r="AI10" s="167"/>
      <c r="AJ10" s="167"/>
      <c r="AK10" s="167"/>
      <c r="AL10" s="167"/>
      <c r="AM10" s="167"/>
      <c r="AN10" s="169" t="s">
        <v>616</v>
      </c>
      <c r="AO10" s="169">
        <v>1056</v>
      </c>
      <c r="AP10" s="171">
        <v>20000</v>
      </c>
      <c r="AQ10" s="171">
        <v>2000</v>
      </c>
      <c r="AR10" s="171">
        <v>2400</v>
      </c>
      <c r="AS10" s="171">
        <v>1200</v>
      </c>
      <c r="AT10" s="171">
        <v>25600</v>
      </c>
      <c r="AU10" s="171">
        <v>2560</v>
      </c>
      <c r="AV10" s="172">
        <v>448.00000000000006</v>
      </c>
      <c r="AW10" s="169">
        <v>5</v>
      </c>
      <c r="AX10" s="171">
        <v>3846.1538461538466</v>
      </c>
      <c r="AY10" s="169">
        <v>12</v>
      </c>
      <c r="AZ10" s="171">
        <v>1250</v>
      </c>
      <c r="BA10" s="172">
        <v>19995.846153846152</v>
      </c>
      <c r="BB10" s="172">
        <v>239950.15384615381</v>
      </c>
      <c r="BC10" s="172">
        <v>28794.018461538457</v>
      </c>
    </row>
    <row r="11" spans="1:55" ht="18" customHeight="1" x14ac:dyDescent="0.25">
      <c r="A11" s="296">
        <v>9</v>
      </c>
      <c r="B11" s="297">
        <v>1008</v>
      </c>
      <c r="C11" s="298" t="s">
        <v>100</v>
      </c>
      <c r="D11" s="298" t="s">
        <v>616</v>
      </c>
      <c r="E11" s="298" t="s">
        <v>1885</v>
      </c>
      <c r="F11" s="299">
        <v>11000</v>
      </c>
      <c r="G11" s="299">
        <v>1100</v>
      </c>
      <c r="H11" s="299">
        <v>1320</v>
      </c>
      <c r="I11" s="299">
        <f t="shared" si="1"/>
        <v>110</v>
      </c>
      <c r="J11" s="299">
        <v>660</v>
      </c>
      <c r="K11" s="299">
        <f t="shared" si="2"/>
        <v>14190</v>
      </c>
      <c r="L11" s="299">
        <f t="shared" si="3"/>
        <v>1419</v>
      </c>
      <c r="M11" s="299">
        <f t="shared" si="4"/>
        <v>248.32500000000002</v>
      </c>
      <c r="N11" s="300">
        <v>2</v>
      </c>
      <c r="O11" s="299">
        <f t="shared" si="0"/>
        <v>846.15384615384619</v>
      </c>
      <c r="P11" s="300">
        <v>15</v>
      </c>
      <c r="Q11" s="299">
        <f t="shared" si="7"/>
        <v>859.375</v>
      </c>
      <c r="R11" s="301">
        <f t="shared" si="5"/>
        <v>12535.896153846154</v>
      </c>
      <c r="S11" s="302">
        <v>149265.853846154</v>
      </c>
      <c r="T11" s="303">
        <f t="shared" si="6"/>
        <v>17911.902461538481</v>
      </c>
      <c r="V11" s="177" t="s">
        <v>583</v>
      </c>
      <c r="W11" s="177" t="s">
        <v>584</v>
      </c>
      <c r="X11" s="177" t="s">
        <v>585</v>
      </c>
      <c r="Y11" s="177" t="s">
        <v>586</v>
      </c>
      <c r="Z11" s="177" t="s">
        <v>587</v>
      </c>
      <c r="AA11" s="177" t="s">
        <v>588</v>
      </c>
      <c r="AB11" s="177" t="s">
        <v>589</v>
      </c>
      <c r="AC11" s="177" t="s">
        <v>590</v>
      </c>
      <c r="AD11" s="177" t="s">
        <v>591</v>
      </c>
      <c r="AE11" s="177" t="s">
        <v>592</v>
      </c>
      <c r="AF11" s="177" t="s">
        <v>593</v>
      </c>
      <c r="AG11" s="177" t="s">
        <v>594</v>
      </c>
      <c r="AH11" s="177" t="s">
        <v>595</v>
      </c>
      <c r="AI11" s="177" t="s">
        <v>596</v>
      </c>
      <c r="AJ11" s="177" t="s">
        <v>597</v>
      </c>
      <c r="AK11" s="177" t="s">
        <v>598</v>
      </c>
      <c r="AL11" s="177" t="s">
        <v>599</v>
      </c>
      <c r="AM11" s="167"/>
      <c r="AN11" s="169" t="s">
        <v>219</v>
      </c>
      <c r="AO11" s="169">
        <v>1076</v>
      </c>
      <c r="AP11" s="171">
        <v>23000</v>
      </c>
      <c r="AQ11" s="171">
        <v>2300</v>
      </c>
      <c r="AR11" s="171">
        <v>2760</v>
      </c>
      <c r="AS11" s="171">
        <v>1380</v>
      </c>
      <c r="AT11" s="171">
        <v>29440</v>
      </c>
      <c r="AU11" s="171">
        <v>2944</v>
      </c>
      <c r="AV11" s="172">
        <v>515.20000000000005</v>
      </c>
      <c r="AW11" s="169">
        <v>4</v>
      </c>
      <c r="AX11" s="171">
        <v>3538.4615384615386</v>
      </c>
      <c r="AY11" s="169">
        <v>15</v>
      </c>
      <c r="AZ11" s="171">
        <v>1796.875</v>
      </c>
      <c r="BA11" s="172">
        <v>24239.21346153846</v>
      </c>
      <c r="BB11" s="172">
        <v>290870.56153846154</v>
      </c>
      <c r="BC11" s="172">
        <v>34904.467384615382</v>
      </c>
    </row>
    <row r="12" spans="1:55" ht="18" customHeight="1" x14ac:dyDescent="0.25">
      <c r="A12" s="304">
        <v>10</v>
      </c>
      <c r="B12" s="305">
        <v>1009</v>
      </c>
      <c r="C12" s="306" t="s">
        <v>120</v>
      </c>
      <c r="D12" s="306" t="s">
        <v>616</v>
      </c>
      <c r="E12" s="306" t="s">
        <v>895</v>
      </c>
      <c r="F12" s="307">
        <v>22000</v>
      </c>
      <c r="G12" s="307">
        <v>2200</v>
      </c>
      <c r="H12" s="307">
        <v>2640</v>
      </c>
      <c r="I12" s="307">
        <f t="shared" si="1"/>
        <v>220</v>
      </c>
      <c r="J12" s="307">
        <v>1320</v>
      </c>
      <c r="K12" s="307">
        <f t="shared" si="2"/>
        <v>28380</v>
      </c>
      <c r="L12" s="307">
        <f t="shared" si="3"/>
        <v>2838</v>
      </c>
      <c r="M12" s="307">
        <f t="shared" si="4"/>
        <v>496.65000000000003</v>
      </c>
      <c r="N12" s="308">
        <v>3</v>
      </c>
      <c r="O12" s="307">
        <f t="shared" si="0"/>
        <v>2538.4615384615386</v>
      </c>
      <c r="P12" s="308">
        <v>15</v>
      </c>
      <c r="Q12" s="307">
        <f t="shared" si="7"/>
        <v>1718.75</v>
      </c>
      <c r="R12" s="301">
        <f t="shared" si="5"/>
        <v>24225.63846153846</v>
      </c>
      <c r="S12" s="309">
        <v>288377.86153846199</v>
      </c>
      <c r="T12" s="310">
        <f t="shared" si="6"/>
        <v>34605.343384615437</v>
      </c>
      <c r="V12" s="169">
        <v>1000</v>
      </c>
      <c r="W12" s="167" t="str" cm="1">
        <f t="array" aca="1" ref="W12:AJ52" ca="1">OFFSET(B2,MATCH(V12,B3:B102),1,41,14)</f>
        <v>dev</v>
      </c>
      <c r="X12" s="167" t="str">
        <f ca="1"/>
        <v>manager</v>
      </c>
      <c r="Y12" s="174" t="str">
        <f ca="1"/>
        <v>Management</v>
      </c>
      <c r="Z12" s="174">
        <f ca="1"/>
        <v>50000</v>
      </c>
      <c r="AA12" s="174">
        <f ca="1"/>
        <v>5000</v>
      </c>
      <c r="AB12" s="174">
        <f ca="1"/>
        <v>6000</v>
      </c>
      <c r="AC12" s="174">
        <f ca="1"/>
        <v>500</v>
      </c>
      <c r="AD12" s="174">
        <f ca="1"/>
        <v>3000</v>
      </c>
      <c r="AE12" s="174">
        <f ca="1"/>
        <v>64500</v>
      </c>
      <c r="AF12" s="167">
        <f ca="1"/>
        <v>6450</v>
      </c>
      <c r="AG12" s="174">
        <f ca="1"/>
        <v>1128.75</v>
      </c>
      <c r="AH12" s="167">
        <f ca="1"/>
        <v>3</v>
      </c>
      <c r="AI12" s="174">
        <f ca="1"/>
        <v>5769.2307692307695</v>
      </c>
      <c r="AJ12" s="174">
        <f ca="1"/>
        <v>15</v>
      </c>
      <c r="AK12" s="174"/>
      <c r="AL12" s="174"/>
      <c r="AM12" s="167"/>
      <c r="AN12" s="169" t="s">
        <v>616</v>
      </c>
      <c r="AO12" s="169">
        <v>1076</v>
      </c>
      <c r="AP12" s="171">
        <v>23000</v>
      </c>
      <c r="AQ12" s="171">
        <v>2300</v>
      </c>
      <c r="AR12" s="171">
        <v>2760</v>
      </c>
      <c r="AS12" s="171">
        <v>1380</v>
      </c>
      <c r="AT12" s="171">
        <v>29440</v>
      </c>
      <c r="AU12" s="171">
        <v>2944</v>
      </c>
      <c r="AV12" s="172">
        <v>515.20000000000005</v>
      </c>
      <c r="AW12" s="169">
        <v>4</v>
      </c>
      <c r="AX12" s="171">
        <v>3538.4615384615386</v>
      </c>
      <c r="AY12" s="169">
        <v>15</v>
      </c>
      <c r="AZ12" s="171">
        <v>1796.875</v>
      </c>
      <c r="BA12" s="172">
        <v>24239.21346153846</v>
      </c>
      <c r="BB12" s="172">
        <v>290870.56153846154</v>
      </c>
      <c r="BC12" s="172">
        <v>34904.467384615382</v>
      </c>
    </row>
    <row r="13" spans="1:55" ht="18" customHeight="1" x14ac:dyDescent="0.25">
      <c r="A13" s="296">
        <v>11</v>
      </c>
      <c r="B13" s="297">
        <v>1010</v>
      </c>
      <c r="C13" s="298" t="s">
        <v>75</v>
      </c>
      <c r="D13" s="298" t="s">
        <v>616</v>
      </c>
      <c r="E13" s="298" t="s">
        <v>1886</v>
      </c>
      <c r="F13" s="299">
        <v>22000</v>
      </c>
      <c r="G13" s="299">
        <v>2200</v>
      </c>
      <c r="H13" s="299">
        <v>2640</v>
      </c>
      <c r="I13" s="299">
        <f t="shared" si="1"/>
        <v>220</v>
      </c>
      <c r="J13" s="299">
        <v>1320</v>
      </c>
      <c r="K13" s="299">
        <v>28160</v>
      </c>
      <c r="L13" s="299">
        <v>2816</v>
      </c>
      <c r="M13" s="299">
        <v>492.80000000000007</v>
      </c>
      <c r="N13" s="300">
        <v>4</v>
      </c>
      <c r="O13" s="299">
        <f t="shared" si="0"/>
        <v>3384.6153846153848</v>
      </c>
      <c r="P13" s="300">
        <v>15</v>
      </c>
      <c r="Q13" s="299">
        <f t="shared" si="7"/>
        <v>1718.75</v>
      </c>
      <c r="R13" s="301">
        <f t="shared" si="5"/>
        <v>23185.334615384614</v>
      </c>
      <c r="S13" s="302">
        <v>278224.01538461499</v>
      </c>
      <c r="T13" s="303">
        <f t="shared" si="6"/>
        <v>33386.881846153796</v>
      </c>
      <c r="V13" s="167"/>
      <c r="W13" s="167" t="str">
        <f ca="1"/>
        <v>chand</v>
      </c>
      <c r="X13" s="167" t="str">
        <f ca="1"/>
        <v>manager</v>
      </c>
      <c r="Y13" s="174" t="str">
        <f ca="1"/>
        <v>Management</v>
      </c>
      <c r="Z13" s="174">
        <f ca="1"/>
        <v>40000</v>
      </c>
      <c r="AA13" s="174">
        <f ca="1"/>
        <v>4000</v>
      </c>
      <c r="AB13" s="174">
        <f ca="1"/>
        <v>4800</v>
      </c>
      <c r="AC13" s="174">
        <f ca="1"/>
        <v>400</v>
      </c>
      <c r="AD13" s="174">
        <f ca="1"/>
        <v>2400</v>
      </c>
      <c r="AE13" s="174">
        <f ca="1"/>
        <v>51600</v>
      </c>
      <c r="AF13" s="167">
        <f ca="1"/>
        <v>5160</v>
      </c>
      <c r="AG13" s="174">
        <f ca="1"/>
        <v>903.00000000000011</v>
      </c>
      <c r="AH13" s="167">
        <f ca="1"/>
        <v>2</v>
      </c>
      <c r="AI13" s="174">
        <f ca="1"/>
        <v>3076.9230769230771</v>
      </c>
      <c r="AJ13" s="174">
        <f ca="1"/>
        <v>12</v>
      </c>
      <c r="AK13" s="167"/>
      <c r="AL13" s="167"/>
      <c r="AM13" s="167"/>
      <c r="AN13" s="169" t="s">
        <v>354</v>
      </c>
      <c r="AO13" s="169">
        <v>2114</v>
      </c>
      <c r="AP13" s="171">
        <v>30000</v>
      </c>
      <c r="AQ13" s="171">
        <v>3000</v>
      </c>
      <c r="AR13" s="171">
        <v>3600</v>
      </c>
      <c r="AS13" s="171">
        <v>1800</v>
      </c>
      <c r="AT13" s="171">
        <v>38400</v>
      </c>
      <c r="AU13" s="171">
        <v>3840</v>
      </c>
      <c r="AV13" s="172">
        <v>672</v>
      </c>
      <c r="AW13" s="169">
        <v>8</v>
      </c>
      <c r="AX13" s="171">
        <v>4615.3846153846152</v>
      </c>
      <c r="AY13" s="169">
        <v>25</v>
      </c>
      <c r="AZ13" s="171">
        <v>1963.5416666666667</v>
      </c>
      <c r="BA13" s="172">
        <v>31236.157051282054</v>
      </c>
      <c r="BB13" s="172">
        <v>374833.88461538462</v>
      </c>
      <c r="BC13" s="172">
        <v>44980.066153846157</v>
      </c>
    </row>
    <row r="14" spans="1:55" ht="18" customHeight="1" x14ac:dyDescent="0.25">
      <c r="A14" s="304">
        <v>12</v>
      </c>
      <c r="B14" s="305">
        <v>1011</v>
      </c>
      <c r="C14" s="306" t="s">
        <v>131</v>
      </c>
      <c r="D14" s="306" t="s">
        <v>616</v>
      </c>
      <c r="E14" s="306" t="s">
        <v>1887</v>
      </c>
      <c r="F14" s="307">
        <v>29000</v>
      </c>
      <c r="G14" s="307">
        <v>2900</v>
      </c>
      <c r="H14" s="307">
        <v>3480</v>
      </c>
      <c r="I14" s="307">
        <f t="shared" si="1"/>
        <v>290</v>
      </c>
      <c r="J14" s="307">
        <v>1740</v>
      </c>
      <c r="K14" s="307">
        <v>37120</v>
      </c>
      <c r="L14" s="307">
        <v>3712</v>
      </c>
      <c r="M14" s="307">
        <v>649.6</v>
      </c>
      <c r="N14" s="308">
        <v>4</v>
      </c>
      <c r="O14" s="307">
        <f t="shared" si="0"/>
        <v>4461.5384615384619</v>
      </c>
      <c r="P14" s="308">
        <v>12</v>
      </c>
      <c r="Q14" s="307">
        <f t="shared" si="7"/>
        <v>1812.5</v>
      </c>
      <c r="R14" s="301">
        <f t="shared" si="5"/>
        <v>30109.36153846154</v>
      </c>
      <c r="S14" s="309">
        <v>361312.33846153802</v>
      </c>
      <c r="T14" s="310">
        <f t="shared" si="6"/>
        <v>43357.480615384564</v>
      </c>
      <c r="V14" s="174"/>
      <c r="W14" s="167" t="str">
        <f ca="1"/>
        <v>daksh</v>
      </c>
      <c r="X14" s="167" t="str">
        <f ca="1"/>
        <v>manager</v>
      </c>
      <c r="Y14" s="174" t="str">
        <f ca="1"/>
        <v>Management</v>
      </c>
      <c r="Z14" s="174">
        <f ca="1"/>
        <v>40000</v>
      </c>
      <c r="AA14" s="174">
        <f ca="1"/>
        <v>4000</v>
      </c>
      <c r="AB14" s="174">
        <f ca="1"/>
        <v>4800</v>
      </c>
      <c r="AC14" s="174">
        <f ca="1"/>
        <v>400</v>
      </c>
      <c r="AD14" s="174">
        <f ca="1"/>
        <v>2400</v>
      </c>
      <c r="AE14" s="174">
        <f ca="1"/>
        <v>51600</v>
      </c>
      <c r="AF14" s="167">
        <f ca="1"/>
        <v>5160</v>
      </c>
      <c r="AG14" s="174">
        <f ca="1"/>
        <v>903.00000000000011</v>
      </c>
      <c r="AH14" s="167">
        <f ca="1"/>
        <v>4</v>
      </c>
      <c r="AI14" s="174">
        <f ca="1"/>
        <v>6153.8461538461543</v>
      </c>
      <c r="AJ14" s="174">
        <f ca="1"/>
        <v>13</v>
      </c>
      <c r="AK14" s="167"/>
      <c r="AL14" s="167"/>
      <c r="AM14" s="167"/>
      <c r="AN14" s="169" t="s">
        <v>616</v>
      </c>
      <c r="AO14" s="169">
        <v>2114</v>
      </c>
      <c r="AP14" s="171">
        <v>30000</v>
      </c>
      <c r="AQ14" s="171">
        <v>3000</v>
      </c>
      <c r="AR14" s="171">
        <v>3600</v>
      </c>
      <c r="AS14" s="171">
        <v>1800</v>
      </c>
      <c r="AT14" s="171">
        <v>38400</v>
      </c>
      <c r="AU14" s="171">
        <v>3840</v>
      </c>
      <c r="AV14" s="172">
        <v>672</v>
      </c>
      <c r="AW14" s="169">
        <v>8</v>
      </c>
      <c r="AX14" s="171">
        <v>4615.3846153846152</v>
      </c>
      <c r="AY14" s="169">
        <v>25</v>
      </c>
      <c r="AZ14" s="171">
        <v>1963.5416666666667</v>
      </c>
      <c r="BA14" s="172">
        <v>31236.157051282054</v>
      </c>
      <c r="BB14" s="172">
        <v>374833.88461538462</v>
      </c>
      <c r="BC14" s="172">
        <v>44980.066153846157</v>
      </c>
    </row>
    <row r="15" spans="1:55" ht="18" customHeight="1" x14ac:dyDescent="0.25">
      <c r="A15" s="296">
        <v>13</v>
      </c>
      <c r="B15" s="297">
        <v>1012</v>
      </c>
      <c r="C15" s="298" t="s">
        <v>138</v>
      </c>
      <c r="D15" s="298" t="s">
        <v>616</v>
      </c>
      <c r="E15" s="298" t="s">
        <v>1033</v>
      </c>
      <c r="F15" s="299">
        <v>22000</v>
      </c>
      <c r="G15" s="299">
        <v>2200</v>
      </c>
      <c r="H15" s="299">
        <v>2640</v>
      </c>
      <c r="I15" s="299">
        <f t="shared" si="1"/>
        <v>220</v>
      </c>
      <c r="J15" s="299">
        <v>1320</v>
      </c>
      <c r="K15" s="299">
        <v>28160</v>
      </c>
      <c r="L15" s="299">
        <v>2816</v>
      </c>
      <c r="M15" s="299">
        <v>492.80000000000007</v>
      </c>
      <c r="N15" s="300">
        <v>3</v>
      </c>
      <c r="O15" s="299">
        <f t="shared" si="0"/>
        <v>2538.4615384615386</v>
      </c>
      <c r="P15" s="300">
        <v>13</v>
      </c>
      <c r="Q15" s="299">
        <f t="shared" si="7"/>
        <v>1489.5833333333333</v>
      </c>
      <c r="R15" s="301">
        <f t="shared" si="5"/>
        <v>23802.321794871794</v>
      </c>
      <c r="S15" s="302">
        <v>285627.86153846199</v>
      </c>
      <c r="T15" s="303">
        <f t="shared" si="6"/>
        <v>34275.343384615437</v>
      </c>
      <c r="V15" s="167"/>
      <c r="W15" s="167" t="str">
        <f ca="1"/>
        <v>rajnikant</v>
      </c>
      <c r="X15" s="167" t="str">
        <f ca="1"/>
        <v>manager</v>
      </c>
      <c r="Y15" s="174" t="str">
        <f ca="1"/>
        <v>Management</v>
      </c>
      <c r="Z15" s="174">
        <f ca="1"/>
        <v>60000</v>
      </c>
      <c r="AA15" s="174">
        <f ca="1"/>
        <v>6000</v>
      </c>
      <c r="AB15" s="174">
        <f ca="1"/>
        <v>7200</v>
      </c>
      <c r="AC15" s="174">
        <f ca="1"/>
        <v>600</v>
      </c>
      <c r="AD15" s="174">
        <f ca="1"/>
        <v>3600</v>
      </c>
      <c r="AE15" s="174">
        <f ca="1"/>
        <v>77400</v>
      </c>
      <c r="AF15" s="167">
        <f ca="1"/>
        <v>7740</v>
      </c>
      <c r="AG15" s="174">
        <f ca="1"/>
        <v>1354.5000000000002</v>
      </c>
      <c r="AH15" s="167">
        <f ca="1"/>
        <v>3</v>
      </c>
      <c r="AI15" s="174">
        <f ca="1"/>
        <v>6923.0769230769229</v>
      </c>
      <c r="AJ15" s="174">
        <f ca="1"/>
        <v>15</v>
      </c>
      <c r="AK15" s="167"/>
      <c r="AL15" s="167"/>
      <c r="AM15" s="167"/>
      <c r="AN15" s="169" t="s">
        <v>129</v>
      </c>
      <c r="AO15" s="169">
        <v>1061</v>
      </c>
      <c r="AP15" s="171">
        <v>16000</v>
      </c>
      <c r="AQ15" s="171">
        <v>1600</v>
      </c>
      <c r="AR15" s="171">
        <v>1920</v>
      </c>
      <c r="AS15" s="171">
        <v>960</v>
      </c>
      <c r="AT15" s="171">
        <v>20480</v>
      </c>
      <c r="AU15" s="171">
        <v>2048</v>
      </c>
      <c r="AV15" s="172">
        <v>358.40000000000003</v>
      </c>
      <c r="AW15" s="169">
        <v>5</v>
      </c>
      <c r="AX15" s="171">
        <v>3076.9230769230767</v>
      </c>
      <c r="AY15" s="169">
        <v>12</v>
      </c>
      <c r="AZ15" s="171">
        <v>1000</v>
      </c>
      <c r="BA15" s="172">
        <v>15996.676923076922</v>
      </c>
      <c r="BB15" s="172">
        <v>191960.12307692308</v>
      </c>
      <c r="BC15" s="172">
        <v>23035.21476923077</v>
      </c>
    </row>
    <row r="16" spans="1:55" ht="18" customHeight="1" x14ac:dyDescent="0.25">
      <c r="A16" s="304">
        <v>14</v>
      </c>
      <c r="B16" s="305">
        <v>1013</v>
      </c>
      <c r="C16" s="306" t="s">
        <v>144</v>
      </c>
      <c r="D16" s="306" t="s">
        <v>616</v>
      </c>
      <c r="E16" s="306" t="s">
        <v>1888</v>
      </c>
      <c r="F16" s="307">
        <v>22000</v>
      </c>
      <c r="G16" s="307">
        <v>2200</v>
      </c>
      <c r="H16" s="307">
        <v>2640</v>
      </c>
      <c r="I16" s="307">
        <f t="shared" si="1"/>
        <v>220</v>
      </c>
      <c r="J16" s="307">
        <v>1320</v>
      </c>
      <c r="K16" s="307">
        <v>28160</v>
      </c>
      <c r="L16" s="307">
        <v>2816</v>
      </c>
      <c r="M16" s="307">
        <v>492.80000000000007</v>
      </c>
      <c r="N16" s="308">
        <v>3</v>
      </c>
      <c r="O16" s="307">
        <f t="shared" si="0"/>
        <v>2538.4615384615386</v>
      </c>
      <c r="P16" s="308">
        <v>12</v>
      </c>
      <c r="Q16" s="307">
        <f t="shared" si="7"/>
        <v>1375</v>
      </c>
      <c r="R16" s="301">
        <f t="shared" si="5"/>
        <v>23687.738461538462</v>
      </c>
      <c r="S16" s="309">
        <v>284252.86153846199</v>
      </c>
      <c r="T16" s="310">
        <f t="shared" si="6"/>
        <v>34110.343384615437</v>
      </c>
      <c r="V16" s="167"/>
      <c r="W16" s="167" t="str">
        <f ca="1"/>
        <v>kunal</v>
      </c>
      <c r="X16" s="167" t="str">
        <f ca="1"/>
        <v>manager</v>
      </c>
      <c r="Y16" s="174" t="str">
        <f ca="1"/>
        <v>Management</v>
      </c>
      <c r="Z16" s="174">
        <f ca="1"/>
        <v>70000</v>
      </c>
      <c r="AA16" s="174">
        <f ca="1"/>
        <v>7000</v>
      </c>
      <c r="AB16" s="174">
        <f ca="1"/>
        <v>8400</v>
      </c>
      <c r="AC16" s="174">
        <f ca="1"/>
        <v>700</v>
      </c>
      <c r="AD16" s="174">
        <f ca="1"/>
        <v>4200</v>
      </c>
      <c r="AE16" s="174">
        <f ca="1"/>
        <v>90300</v>
      </c>
      <c r="AF16" s="167">
        <f ca="1"/>
        <v>9030</v>
      </c>
      <c r="AG16" s="174">
        <f ca="1"/>
        <v>1580.2500000000002</v>
      </c>
      <c r="AH16" s="167">
        <f ca="1"/>
        <v>5</v>
      </c>
      <c r="AI16" s="174">
        <f ca="1"/>
        <v>13461.538461538461</v>
      </c>
      <c r="AJ16" s="174">
        <f ca="1"/>
        <v>15</v>
      </c>
      <c r="AK16" s="167"/>
      <c r="AL16" s="167"/>
      <c r="AM16" s="167"/>
      <c r="AN16" s="169" t="s">
        <v>616</v>
      </c>
      <c r="AO16" s="169">
        <v>1061</v>
      </c>
      <c r="AP16" s="171">
        <v>16000</v>
      </c>
      <c r="AQ16" s="171">
        <v>1600</v>
      </c>
      <c r="AR16" s="171">
        <v>1920</v>
      </c>
      <c r="AS16" s="171">
        <v>960</v>
      </c>
      <c r="AT16" s="171">
        <v>20480</v>
      </c>
      <c r="AU16" s="171">
        <v>2048</v>
      </c>
      <c r="AV16" s="172">
        <v>358.40000000000003</v>
      </c>
      <c r="AW16" s="169">
        <v>5</v>
      </c>
      <c r="AX16" s="171">
        <v>3076.9230769230767</v>
      </c>
      <c r="AY16" s="169">
        <v>12</v>
      </c>
      <c r="AZ16" s="171">
        <v>1000</v>
      </c>
      <c r="BA16" s="172">
        <v>15996.676923076922</v>
      </c>
      <c r="BB16" s="172">
        <v>191960.12307692308</v>
      </c>
      <c r="BC16" s="172">
        <v>23035.21476923077</v>
      </c>
    </row>
    <row r="17" spans="1:55" ht="18" customHeight="1" x14ac:dyDescent="0.25">
      <c r="A17" s="296">
        <v>15</v>
      </c>
      <c r="B17" s="297">
        <v>1014</v>
      </c>
      <c r="C17" s="298" t="s">
        <v>79</v>
      </c>
      <c r="D17" s="298" t="s">
        <v>616</v>
      </c>
      <c r="E17" s="298" t="s">
        <v>1889</v>
      </c>
      <c r="F17" s="299">
        <v>25000</v>
      </c>
      <c r="G17" s="299">
        <v>2500</v>
      </c>
      <c r="H17" s="299">
        <v>3000</v>
      </c>
      <c r="I17" s="299">
        <f t="shared" si="1"/>
        <v>250</v>
      </c>
      <c r="J17" s="299">
        <v>1500</v>
      </c>
      <c r="K17" s="299">
        <v>32000</v>
      </c>
      <c r="L17" s="299">
        <v>3200</v>
      </c>
      <c r="M17" s="299">
        <v>560</v>
      </c>
      <c r="N17" s="300">
        <v>3</v>
      </c>
      <c r="O17" s="299">
        <f t="shared" si="0"/>
        <v>2884.6153846153848</v>
      </c>
      <c r="P17" s="300">
        <v>14</v>
      </c>
      <c r="Q17" s="299">
        <f t="shared" si="7"/>
        <v>1822.9166666666667</v>
      </c>
      <c r="R17" s="301">
        <f t="shared" si="5"/>
        <v>27178.301282051285</v>
      </c>
      <c r="S17" s="302">
        <v>326139.61538461503</v>
      </c>
      <c r="T17" s="303">
        <f t="shared" si="6"/>
        <v>39136.753846153799</v>
      </c>
      <c r="V17" s="167"/>
      <c r="W17" s="167" t="str">
        <f ca="1"/>
        <v>ayush</v>
      </c>
      <c r="X17" s="167" t="str">
        <f ca="1"/>
        <v>manager</v>
      </c>
      <c r="Y17" s="174" t="str">
        <f ca="1"/>
        <v>Management</v>
      </c>
      <c r="Z17" s="174">
        <f ca="1"/>
        <v>50000</v>
      </c>
      <c r="AA17" s="174">
        <f ca="1"/>
        <v>5000</v>
      </c>
      <c r="AB17" s="174">
        <f ca="1"/>
        <v>6000</v>
      </c>
      <c r="AC17" s="174">
        <f ca="1"/>
        <v>500</v>
      </c>
      <c r="AD17" s="174">
        <f ca="1"/>
        <v>3000</v>
      </c>
      <c r="AE17" s="174">
        <f ca="1"/>
        <v>64500</v>
      </c>
      <c r="AF17" s="167">
        <f ca="1"/>
        <v>6450</v>
      </c>
      <c r="AG17" s="174">
        <f ca="1"/>
        <v>1128.75</v>
      </c>
      <c r="AH17" s="167">
        <f ca="1"/>
        <v>3</v>
      </c>
      <c r="AI17" s="174">
        <f ca="1"/>
        <v>5769.2307692307695</v>
      </c>
      <c r="AJ17" s="174">
        <f ca="1"/>
        <v>12</v>
      </c>
      <c r="AK17" s="167"/>
      <c r="AL17" s="167"/>
      <c r="AM17" s="167"/>
      <c r="AN17" s="169" t="s">
        <v>120</v>
      </c>
      <c r="AO17" s="169">
        <v>1009</v>
      </c>
      <c r="AP17" s="171">
        <v>22000</v>
      </c>
      <c r="AQ17" s="171">
        <v>2200</v>
      </c>
      <c r="AR17" s="171">
        <v>2640</v>
      </c>
      <c r="AS17" s="171">
        <v>1320</v>
      </c>
      <c r="AT17" s="171">
        <v>28160</v>
      </c>
      <c r="AU17" s="171">
        <v>2816</v>
      </c>
      <c r="AV17" s="172">
        <v>492.80000000000007</v>
      </c>
      <c r="AW17" s="169">
        <v>3</v>
      </c>
      <c r="AX17" s="171">
        <v>2538.4615384615386</v>
      </c>
      <c r="AY17" s="169">
        <v>15</v>
      </c>
      <c r="AZ17" s="171">
        <v>1718.75</v>
      </c>
      <c r="BA17" s="172">
        <v>24031.488461538462</v>
      </c>
      <c r="BB17" s="172">
        <v>288377.86153846153</v>
      </c>
      <c r="BC17" s="172">
        <v>34605.343384615378</v>
      </c>
    </row>
    <row r="18" spans="1:55" ht="18" customHeight="1" x14ac:dyDescent="0.25">
      <c r="A18" s="304">
        <v>16</v>
      </c>
      <c r="B18" s="305">
        <v>1015</v>
      </c>
      <c r="C18" s="306" t="s">
        <v>155</v>
      </c>
      <c r="D18" s="306" t="s">
        <v>616</v>
      </c>
      <c r="E18" s="306" t="s">
        <v>1890</v>
      </c>
      <c r="F18" s="307">
        <v>24000</v>
      </c>
      <c r="G18" s="307">
        <v>2400</v>
      </c>
      <c r="H18" s="307">
        <v>2880</v>
      </c>
      <c r="I18" s="307">
        <f t="shared" si="1"/>
        <v>240</v>
      </c>
      <c r="J18" s="307">
        <v>1440</v>
      </c>
      <c r="K18" s="307">
        <v>30720</v>
      </c>
      <c r="L18" s="307">
        <v>3072</v>
      </c>
      <c r="M18" s="307">
        <v>537.6</v>
      </c>
      <c r="N18" s="308">
        <v>3</v>
      </c>
      <c r="O18" s="307">
        <f t="shared" si="0"/>
        <v>2769.2307692307695</v>
      </c>
      <c r="P18" s="308">
        <v>15</v>
      </c>
      <c r="Q18" s="307">
        <f t="shared" si="7"/>
        <v>1875</v>
      </c>
      <c r="R18" s="301">
        <f t="shared" si="5"/>
        <v>26216.169230769232</v>
      </c>
      <c r="S18" s="309">
        <v>314594.03076923097</v>
      </c>
      <c r="T18" s="310">
        <f t="shared" si="6"/>
        <v>37751.283692307712</v>
      </c>
      <c r="V18" s="167"/>
      <c r="W18" s="167" t="str">
        <f ca="1"/>
        <v>mayank</v>
      </c>
      <c r="X18" s="167" t="str">
        <f ca="1"/>
        <v>employe</v>
      </c>
      <c r="Y18" s="174" t="str">
        <f ca="1"/>
        <v>Sales</v>
      </c>
      <c r="Z18" s="174">
        <f ca="1"/>
        <v>18000</v>
      </c>
      <c r="AA18" s="174">
        <f ca="1"/>
        <v>1800</v>
      </c>
      <c r="AB18" s="174">
        <f ca="1"/>
        <v>2160</v>
      </c>
      <c r="AC18" s="174">
        <f ca="1"/>
        <v>180</v>
      </c>
      <c r="AD18" s="174">
        <f ca="1"/>
        <v>1080</v>
      </c>
      <c r="AE18" s="174">
        <f ca="1"/>
        <v>23220</v>
      </c>
      <c r="AF18" s="167">
        <f ca="1"/>
        <v>2322</v>
      </c>
      <c r="AG18" s="174">
        <f ca="1"/>
        <v>406.35</v>
      </c>
      <c r="AH18" s="167">
        <f ca="1"/>
        <v>4</v>
      </c>
      <c r="AI18" s="174">
        <f ca="1"/>
        <v>2769.2307692307691</v>
      </c>
      <c r="AJ18" s="174">
        <f ca="1"/>
        <v>13</v>
      </c>
      <c r="AK18" s="167"/>
      <c r="AL18" s="167"/>
      <c r="AM18" s="167"/>
      <c r="AN18" s="169" t="s">
        <v>616</v>
      </c>
      <c r="AO18" s="169">
        <v>1009</v>
      </c>
      <c r="AP18" s="171">
        <v>22000</v>
      </c>
      <c r="AQ18" s="171">
        <v>2200</v>
      </c>
      <c r="AR18" s="171">
        <v>2640</v>
      </c>
      <c r="AS18" s="171">
        <v>1320</v>
      </c>
      <c r="AT18" s="171">
        <v>28160</v>
      </c>
      <c r="AU18" s="171">
        <v>2816</v>
      </c>
      <c r="AV18" s="172">
        <v>492.80000000000007</v>
      </c>
      <c r="AW18" s="169">
        <v>3</v>
      </c>
      <c r="AX18" s="171">
        <v>2538.4615384615386</v>
      </c>
      <c r="AY18" s="169">
        <v>15</v>
      </c>
      <c r="AZ18" s="171">
        <v>1718.75</v>
      </c>
      <c r="BA18" s="172">
        <v>24031.488461538462</v>
      </c>
      <c r="BB18" s="172">
        <v>288377.86153846153</v>
      </c>
      <c r="BC18" s="172">
        <v>34605.343384615378</v>
      </c>
    </row>
    <row r="19" spans="1:55" ht="18" customHeight="1" x14ac:dyDescent="0.25">
      <c r="A19" s="296">
        <v>17</v>
      </c>
      <c r="B19" s="297">
        <v>1016</v>
      </c>
      <c r="C19" s="298" t="s">
        <v>162</v>
      </c>
      <c r="D19" s="298" t="s">
        <v>616</v>
      </c>
      <c r="E19" s="298" t="s">
        <v>1468</v>
      </c>
      <c r="F19" s="299">
        <v>26000</v>
      </c>
      <c r="G19" s="299">
        <v>2600</v>
      </c>
      <c r="H19" s="299">
        <v>3120</v>
      </c>
      <c r="I19" s="299">
        <f t="shared" si="1"/>
        <v>260</v>
      </c>
      <c r="J19" s="299">
        <v>1560</v>
      </c>
      <c r="K19" s="299">
        <v>33280</v>
      </c>
      <c r="L19" s="299">
        <v>3328</v>
      </c>
      <c r="M19" s="299">
        <v>582.40000000000009</v>
      </c>
      <c r="N19" s="300">
        <v>2</v>
      </c>
      <c r="O19" s="299">
        <f t="shared" si="0"/>
        <v>2000</v>
      </c>
      <c r="P19" s="300">
        <v>14</v>
      </c>
      <c r="Q19" s="299">
        <f t="shared" si="7"/>
        <v>1895.8333333333333</v>
      </c>
      <c r="R19" s="301">
        <f t="shared" si="5"/>
        <v>29265.433333333331</v>
      </c>
      <c r="S19" s="302">
        <v>351185.2</v>
      </c>
      <c r="T19" s="303">
        <f t="shared" si="6"/>
        <v>42142.224000000002</v>
      </c>
      <c r="V19" s="167"/>
      <c r="W19" s="167" t="str">
        <f ca="1"/>
        <v>arya</v>
      </c>
      <c r="X19" s="167" t="str">
        <f ca="1"/>
        <v>employe</v>
      </c>
      <c r="Y19" s="174" t="str">
        <f ca="1"/>
        <v>Production</v>
      </c>
      <c r="Z19" s="174">
        <f ca="1"/>
        <v>26000</v>
      </c>
      <c r="AA19" s="174">
        <f ca="1"/>
        <v>2600</v>
      </c>
      <c r="AB19" s="174">
        <f ca="1"/>
        <v>3120</v>
      </c>
      <c r="AC19" s="174">
        <f ca="1"/>
        <v>260</v>
      </c>
      <c r="AD19" s="174">
        <f ca="1"/>
        <v>1560</v>
      </c>
      <c r="AE19" s="174">
        <f ca="1"/>
        <v>33540</v>
      </c>
      <c r="AF19" s="167">
        <f ca="1"/>
        <v>3354</v>
      </c>
      <c r="AG19" s="174">
        <f ca="1"/>
        <v>586.95000000000005</v>
      </c>
      <c r="AH19" s="167">
        <f ca="1"/>
        <v>5</v>
      </c>
      <c r="AI19" s="174">
        <f ca="1"/>
        <v>5000</v>
      </c>
      <c r="AJ19" s="174">
        <f ca="1"/>
        <v>13</v>
      </c>
      <c r="AK19" s="167"/>
      <c r="AL19" s="167"/>
      <c r="AM19" s="167"/>
      <c r="AN19" s="169" t="s">
        <v>269</v>
      </c>
      <c r="AO19" s="169">
        <v>1084</v>
      </c>
      <c r="AP19" s="171">
        <v>20000</v>
      </c>
      <c r="AQ19" s="171">
        <v>2000</v>
      </c>
      <c r="AR19" s="171">
        <v>2400</v>
      </c>
      <c r="AS19" s="171">
        <v>1200</v>
      </c>
      <c r="AT19" s="171">
        <v>25600</v>
      </c>
      <c r="AU19" s="171">
        <v>2560</v>
      </c>
      <c r="AV19" s="172">
        <v>448.00000000000006</v>
      </c>
      <c r="AW19" s="169">
        <v>3</v>
      </c>
      <c r="AX19" s="171">
        <v>2307.6923076923076</v>
      </c>
      <c r="AY19" s="169">
        <v>13</v>
      </c>
      <c r="AZ19" s="171">
        <v>1354.1666666666667</v>
      </c>
      <c r="BA19" s="172">
        <v>21638.474358974359</v>
      </c>
      <c r="BB19" s="172">
        <v>259661.69230769231</v>
      </c>
      <c r="BC19" s="172">
        <v>31159.403076923078</v>
      </c>
    </row>
    <row r="20" spans="1:55" ht="18" customHeight="1" x14ac:dyDescent="0.25">
      <c r="A20" s="304">
        <v>18</v>
      </c>
      <c r="B20" s="305">
        <v>1017</v>
      </c>
      <c r="C20" s="306" t="s">
        <v>168</v>
      </c>
      <c r="D20" s="306" t="s">
        <v>616</v>
      </c>
      <c r="E20" s="306" t="s">
        <v>1884</v>
      </c>
      <c r="F20" s="307">
        <v>14000</v>
      </c>
      <c r="G20" s="307">
        <v>1400</v>
      </c>
      <c r="H20" s="307">
        <v>1680</v>
      </c>
      <c r="I20" s="307">
        <f t="shared" si="1"/>
        <v>140</v>
      </c>
      <c r="J20" s="307">
        <v>840</v>
      </c>
      <c r="K20" s="307">
        <v>17920</v>
      </c>
      <c r="L20" s="307">
        <v>1792</v>
      </c>
      <c r="M20" s="307">
        <v>313.60000000000002</v>
      </c>
      <c r="N20" s="308">
        <v>4</v>
      </c>
      <c r="O20" s="307">
        <f t="shared" si="0"/>
        <v>2153.8461538461538</v>
      </c>
      <c r="P20" s="308">
        <v>14</v>
      </c>
      <c r="Q20" s="307">
        <f t="shared" si="7"/>
        <v>1020.8333333333334</v>
      </c>
      <c r="R20" s="301">
        <f t="shared" si="5"/>
        <v>14681.387179487179</v>
      </c>
      <c r="S20" s="309">
        <v>176176.646153846</v>
      </c>
      <c r="T20" s="310">
        <f t="shared" si="6"/>
        <v>21141.197538461518</v>
      </c>
      <c r="V20" s="167"/>
      <c r="W20" s="167" t="str">
        <f ca="1"/>
        <v>mayank</v>
      </c>
      <c r="X20" s="167" t="str">
        <f ca="1"/>
        <v>employe</v>
      </c>
      <c r="Y20" s="174" t="str">
        <f ca="1"/>
        <v>Finance</v>
      </c>
      <c r="Z20" s="174">
        <f ca="1"/>
        <v>11000</v>
      </c>
      <c r="AA20" s="174">
        <f ca="1"/>
        <v>1100</v>
      </c>
      <c r="AB20" s="174">
        <f ca="1"/>
        <v>1320</v>
      </c>
      <c r="AC20" s="174">
        <f ca="1"/>
        <v>110</v>
      </c>
      <c r="AD20" s="174">
        <f ca="1"/>
        <v>660</v>
      </c>
      <c r="AE20" s="174">
        <f ca="1"/>
        <v>14190</v>
      </c>
      <c r="AF20" s="167">
        <f ca="1"/>
        <v>1419</v>
      </c>
      <c r="AG20" s="174">
        <f ca="1"/>
        <v>248.32500000000002</v>
      </c>
      <c r="AH20" s="167">
        <f ca="1"/>
        <v>2</v>
      </c>
      <c r="AI20" s="174">
        <f ca="1"/>
        <v>846.15384615384619</v>
      </c>
      <c r="AJ20" s="174">
        <f ca="1"/>
        <v>15</v>
      </c>
      <c r="AK20" s="167"/>
      <c r="AL20" s="167"/>
      <c r="AM20" s="167"/>
      <c r="AN20" s="169" t="s">
        <v>616</v>
      </c>
      <c r="AO20" s="169">
        <v>1084</v>
      </c>
      <c r="AP20" s="171">
        <v>20000</v>
      </c>
      <c r="AQ20" s="171">
        <v>2000</v>
      </c>
      <c r="AR20" s="171">
        <v>2400</v>
      </c>
      <c r="AS20" s="171">
        <v>1200</v>
      </c>
      <c r="AT20" s="171">
        <v>25600</v>
      </c>
      <c r="AU20" s="171">
        <v>2560</v>
      </c>
      <c r="AV20" s="172">
        <v>448.00000000000006</v>
      </c>
      <c r="AW20" s="169">
        <v>3</v>
      </c>
      <c r="AX20" s="171">
        <v>2307.6923076923076</v>
      </c>
      <c r="AY20" s="169">
        <v>13</v>
      </c>
      <c r="AZ20" s="171">
        <v>1354.1666666666667</v>
      </c>
      <c r="BA20" s="172">
        <v>21638.474358974359</v>
      </c>
      <c r="BB20" s="172">
        <v>259661.69230769231</v>
      </c>
      <c r="BC20" s="172">
        <v>31159.403076923078</v>
      </c>
    </row>
    <row r="21" spans="1:55" ht="18" customHeight="1" x14ac:dyDescent="0.25">
      <c r="A21" s="296">
        <v>19</v>
      </c>
      <c r="B21" s="297">
        <v>1018</v>
      </c>
      <c r="C21" s="298" t="s">
        <v>174</v>
      </c>
      <c r="D21" s="298" t="s">
        <v>616</v>
      </c>
      <c r="E21" s="298" t="s">
        <v>1885</v>
      </c>
      <c r="F21" s="299">
        <v>29000</v>
      </c>
      <c r="G21" s="299">
        <v>2900</v>
      </c>
      <c r="H21" s="299">
        <v>3480</v>
      </c>
      <c r="I21" s="299">
        <f t="shared" si="1"/>
        <v>290</v>
      </c>
      <c r="J21" s="299">
        <v>1740</v>
      </c>
      <c r="K21" s="299">
        <v>37120</v>
      </c>
      <c r="L21" s="299">
        <v>3712</v>
      </c>
      <c r="M21" s="299">
        <v>649.6</v>
      </c>
      <c r="N21" s="300">
        <v>3</v>
      </c>
      <c r="O21" s="299">
        <f t="shared" si="0"/>
        <v>3346.1538461538466</v>
      </c>
      <c r="P21" s="300">
        <v>14</v>
      </c>
      <c r="Q21" s="299">
        <f t="shared" si="7"/>
        <v>2114.583333333333</v>
      </c>
      <c r="R21" s="301">
        <f t="shared" si="5"/>
        <v>31526.829487179486</v>
      </c>
      <c r="S21" s="302">
        <v>378321.95384615398</v>
      </c>
      <c r="T21" s="303">
        <f t="shared" si="6"/>
        <v>45398.634461538473</v>
      </c>
      <c r="V21" s="167"/>
      <c r="W21" s="167" t="str">
        <f ca="1"/>
        <v>amit</v>
      </c>
      <c r="X21" s="167" t="str">
        <f ca="1"/>
        <v>employe</v>
      </c>
      <c r="Y21" s="174" t="str">
        <f ca="1"/>
        <v>HR</v>
      </c>
      <c r="Z21" s="174">
        <f ca="1"/>
        <v>22000</v>
      </c>
      <c r="AA21" s="174">
        <f ca="1"/>
        <v>2200</v>
      </c>
      <c r="AB21" s="174">
        <f ca="1"/>
        <v>2640</v>
      </c>
      <c r="AC21" s="174">
        <f ca="1"/>
        <v>220</v>
      </c>
      <c r="AD21" s="174">
        <f ca="1"/>
        <v>1320</v>
      </c>
      <c r="AE21" s="174">
        <f ca="1"/>
        <v>28380</v>
      </c>
      <c r="AF21" s="167">
        <f ca="1"/>
        <v>2838</v>
      </c>
      <c r="AG21" s="174">
        <f ca="1"/>
        <v>496.65000000000003</v>
      </c>
      <c r="AH21" s="167">
        <f ca="1"/>
        <v>3</v>
      </c>
      <c r="AI21" s="174">
        <f ca="1"/>
        <v>2538.4615384615386</v>
      </c>
      <c r="AJ21" s="174">
        <f ca="1"/>
        <v>15</v>
      </c>
      <c r="AK21" s="167"/>
      <c r="AL21" s="167"/>
      <c r="AM21" s="167"/>
      <c r="AN21" s="169" t="s">
        <v>153</v>
      </c>
      <c r="AO21" s="169">
        <v>1065</v>
      </c>
      <c r="AP21" s="171">
        <v>18000</v>
      </c>
      <c r="AQ21" s="171">
        <v>1800</v>
      </c>
      <c r="AR21" s="171">
        <v>2160</v>
      </c>
      <c r="AS21" s="171">
        <v>1080</v>
      </c>
      <c r="AT21" s="171">
        <v>23040</v>
      </c>
      <c r="AU21" s="171">
        <v>2304</v>
      </c>
      <c r="AV21" s="172">
        <v>403.20000000000005</v>
      </c>
      <c r="AW21" s="169">
        <v>5</v>
      </c>
      <c r="AX21" s="171">
        <v>3461.5384615384614</v>
      </c>
      <c r="AY21" s="169">
        <v>12</v>
      </c>
      <c r="AZ21" s="171">
        <v>1125</v>
      </c>
      <c r="BA21" s="172">
        <v>17996.261538461538</v>
      </c>
      <c r="BB21" s="172">
        <v>215955.13846153847</v>
      </c>
      <c r="BC21" s="172">
        <v>25914.616615384617</v>
      </c>
    </row>
    <row r="22" spans="1:55" ht="18" customHeight="1" x14ac:dyDescent="0.25">
      <c r="A22" s="304">
        <v>20</v>
      </c>
      <c r="B22" s="305">
        <v>1019</v>
      </c>
      <c r="C22" s="306" t="s">
        <v>180</v>
      </c>
      <c r="D22" s="306" t="s">
        <v>616</v>
      </c>
      <c r="E22" s="306" t="s">
        <v>895</v>
      </c>
      <c r="F22" s="307">
        <v>25000</v>
      </c>
      <c r="G22" s="307">
        <v>2500</v>
      </c>
      <c r="H22" s="307">
        <v>3000</v>
      </c>
      <c r="I22" s="307">
        <f t="shared" si="1"/>
        <v>250</v>
      </c>
      <c r="J22" s="307">
        <v>1500</v>
      </c>
      <c r="K22" s="307">
        <v>32000</v>
      </c>
      <c r="L22" s="307">
        <v>3200</v>
      </c>
      <c r="M22" s="307">
        <v>560</v>
      </c>
      <c r="N22" s="308">
        <v>5</v>
      </c>
      <c r="O22" s="307">
        <f t="shared" si="0"/>
        <v>4807.6923076923076</v>
      </c>
      <c r="P22" s="308">
        <v>15</v>
      </c>
      <c r="Q22" s="307">
        <f t="shared" si="7"/>
        <v>1953.1250000000002</v>
      </c>
      <c r="R22" s="301">
        <f t="shared" si="5"/>
        <v>25385.432692307691</v>
      </c>
      <c r="S22" s="309">
        <v>304625.19230769202</v>
      </c>
      <c r="T22" s="310">
        <f t="shared" si="6"/>
        <v>36555.02307692304</v>
      </c>
      <c r="V22" s="167"/>
      <c r="W22" s="167" t="str">
        <f ca="1"/>
        <v>daksh</v>
      </c>
      <c r="X22" s="167" t="str">
        <f ca="1"/>
        <v>employe</v>
      </c>
      <c r="Y22" s="174" t="str">
        <f ca="1"/>
        <v>Operations</v>
      </c>
      <c r="Z22" s="174">
        <f ca="1"/>
        <v>22000</v>
      </c>
      <c r="AA22" s="174">
        <f ca="1"/>
        <v>2200</v>
      </c>
      <c r="AB22" s="174">
        <f ca="1"/>
        <v>2640</v>
      </c>
      <c r="AC22" s="174">
        <f ca="1"/>
        <v>220</v>
      </c>
      <c r="AD22" s="174">
        <f ca="1"/>
        <v>1320</v>
      </c>
      <c r="AE22" s="174">
        <f ca="1"/>
        <v>28160</v>
      </c>
      <c r="AF22" s="167">
        <f ca="1"/>
        <v>2816</v>
      </c>
      <c r="AG22" s="174">
        <f ca="1"/>
        <v>492.80000000000007</v>
      </c>
      <c r="AH22" s="167">
        <f ca="1"/>
        <v>4</v>
      </c>
      <c r="AI22" s="174">
        <f ca="1"/>
        <v>3384.6153846153848</v>
      </c>
      <c r="AJ22" s="174">
        <f ca="1"/>
        <v>15</v>
      </c>
      <c r="AK22" s="167"/>
      <c r="AL22" s="167"/>
      <c r="AM22" s="167"/>
      <c r="AN22" s="169" t="s">
        <v>616</v>
      </c>
      <c r="AO22" s="169">
        <v>1065</v>
      </c>
      <c r="AP22" s="171">
        <v>18000</v>
      </c>
      <c r="AQ22" s="171">
        <v>1800</v>
      </c>
      <c r="AR22" s="171">
        <v>2160</v>
      </c>
      <c r="AS22" s="171">
        <v>1080</v>
      </c>
      <c r="AT22" s="171">
        <v>23040</v>
      </c>
      <c r="AU22" s="171">
        <v>2304</v>
      </c>
      <c r="AV22" s="172">
        <v>403.20000000000005</v>
      </c>
      <c r="AW22" s="169">
        <v>5</v>
      </c>
      <c r="AX22" s="171">
        <v>3461.5384615384614</v>
      </c>
      <c r="AY22" s="169">
        <v>12</v>
      </c>
      <c r="AZ22" s="171">
        <v>1125</v>
      </c>
      <c r="BA22" s="172">
        <v>17996.261538461538</v>
      </c>
      <c r="BB22" s="172">
        <v>215955.13846153847</v>
      </c>
      <c r="BC22" s="172">
        <v>25914.616615384617</v>
      </c>
    </row>
    <row r="23" spans="1:55" ht="18" customHeight="1" x14ac:dyDescent="0.25">
      <c r="A23" s="296">
        <v>21</v>
      </c>
      <c r="B23" s="297">
        <v>1020</v>
      </c>
      <c r="C23" s="298" t="s">
        <v>186</v>
      </c>
      <c r="D23" s="298" t="s">
        <v>616</v>
      </c>
      <c r="E23" s="298" t="s">
        <v>1886</v>
      </c>
      <c r="F23" s="299">
        <v>12000</v>
      </c>
      <c r="G23" s="299">
        <v>1200</v>
      </c>
      <c r="H23" s="299">
        <v>1440</v>
      </c>
      <c r="I23" s="299">
        <f t="shared" si="1"/>
        <v>120</v>
      </c>
      <c r="J23" s="299">
        <v>720</v>
      </c>
      <c r="K23" s="299">
        <v>15360</v>
      </c>
      <c r="L23" s="299">
        <v>1536</v>
      </c>
      <c r="M23" s="299">
        <v>268.8</v>
      </c>
      <c r="N23" s="300">
        <v>5</v>
      </c>
      <c r="O23" s="299">
        <f t="shared" si="0"/>
        <v>2307.6923076923076</v>
      </c>
      <c r="P23" s="300">
        <v>12</v>
      </c>
      <c r="Q23" s="299">
        <f t="shared" si="7"/>
        <v>750</v>
      </c>
      <c r="R23" s="301">
        <f t="shared" si="5"/>
        <v>11997.507692307692</v>
      </c>
      <c r="S23" s="302">
        <v>143970.09230769199</v>
      </c>
      <c r="T23" s="303">
        <f t="shared" si="6"/>
        <v>17276.411076923039</v>
      </c>
      <c r="V23" s="167"/>
      <c r="W23" s="167" t="str">
        <f ca="1"/>
        <v>deepak</v>
      </c>
      <c r="X23" s="167" t="str">
        <f ca="1"/>
        <v>employe</v>
      </c>
      <c r="Y23" s="174" t="str">
        <f ca="1"/>
        <v>IT</v>
      </c>
      <c r="Z23" s="174">
        <f ca="1"/>
        <v>29000</v>
      </c>
      <c r="AA23" s="174">
        <f ca="1"/>
        <v>2900</v>
      </c>
      <c r="AB23" s="174">
        <f ca="1"/>
        <v>3480</v>
      </c>
      <c r="AC23" s="174">
        <f ca="1"/>
        <v>290</v>
      </c>
      <c r="AD23" s="174">
        <f ca="1"/>
        <v>1740</v>
      </c>
      <c r="AE23" s="174">
        <f ca="1"/>
        <v>37120</v>
      </c>
      <c r="AF23" s="167">
        <f ca="1"/>
        <v>3712</v>
      </c>
      <c r="AG23" s="174">
        <f ca="1"/>
        <v>649.6</v>
      </c>
      <c r="AH23" s="167">
        <f ca="1"/>
        <v>4</v>
      </c>
      <c r="AI23" s="174">
        <f ca="1"/>
        <v>4461.5384615384619</v>
      </c>
      <c r="AJ23" s="174">
        <f ca="1"/>
        <v>12</v>
      </c>
      <c r="AK23" s="167"/>
      <c r="AL23" s="167"/>
      <c r="AM23" s="167"/>
      <c r="AN23" s="169" t="s">
        <v>296</v>
      </c>
      <c r="AO23" s="169">
        <v>1038</v>
      </c>
      <c r="AP23" s="171">
        <v>16000</v>
      </c>
      <c r="AQ23" s="171">
        <v>1600</v>
      </c>
      <c r="AR23" s="171">
        <v>1920</v>
      </c>
      <c r="AS23" s="171">
        <v>960</v>
      </c>
      <c r="AT23" s="171">
        <v>20480</v>
      </c>
      <c r="AU23" s="171">
        <v>2048</v>
      </c>
      <c r="AV23" s="172">
        <v>358.40000000000003</v>
      </c>
      <c r="AW23" s="169">
        <v>5</v>
      </c>
      <c r="AX23" s="171">
        <v>3076.9230769230767</v>
      </c>
      <c r="AY23" s="169">
        <v>15</v>
      </c>
      <c r="AZ23" s="171">
        <v>1250</v>
      </c>
      <c r="BA23" s="172">
        <v>16246.676923076922</v>
      </c>
      <c r="BB23" s="172">
        <v>194960.12307692308</v>
      </c>
      <c r="BC23" s="172">
        <v>23395.21476923077</v>
      </c>
    </row>
    <row r="24" spans="1:55" ht="18" customHeight="1" x14ac:dyDescent="0.25">
      <c r="A24" s="304">
        <v>22</v>
      </c>
      <c r="B24" s="305">
        <v>1021</v>
      </c>
      <c r="C24" s="306" t="s">
        <v>193</v>
      </c>
      <c r="D24" s="306" t="s">
        <v>616</v>
      </c>
      <c r="E24" s="306" t="s">
        <v>1887</v>
      </c>
      <c r="F24" s="307">
        <v>13000</v>
      </c>
      <c r="G24" s="307">
        <v>1300</v>
      </c>
      <c r="H24" s="307">
        <v>1560</v>
      </c>
      <c r="I24" s="307">
        <f t="shared" si="1"/>
        <v>130</v>
      </c>
      <c r="J24" s="307">
        <v>780</v>
      </c>
      <c r="K24" s="307">
        <v>16640</v>
      </c>
      <c r="L24" s="307">
        <v>1664</v>
      </c>
      <c r="M24" s="307">
        <v>291.20000000000005</v>
      </c>
      <c r="N24" s="308">
        <v>4</v>
      </c>
      <c r="O24" s="307">
        <f t="shared" si="0"/>
        <v>2000</v>
      </c>
      <c r="P24" s="308">
        <v>14</v>
      </c>
      <c r="Q24" s="307">
        <f t="shared" si="7"/>
        <v>947.91666666666663</v>
      </c>
      <c r="R24" s="301">
        <f t="shared" si="5"/>
        <v>13632.716666666665</v>
      </c>
      <c r="S24" s="309">
        <v>163592.6</v>
      </c>
      <c r="T24" s="310">
        <f t="shared" si="6"/>
        <v>19631.112000000001</v>
      </c>
      <c r="V24" s="167"/>
      <c r="W24" s="167" t="str">
        <f ca="1"/>
        <v>rohit</v>
      </c>
      <c r="X24" s="167" t="str">
        <f ca="1"/>
        <v>employe</v>
      </c>
      <c r="Y24" s="174" t="str">
        <f ca="1"/>
        <v>Marketing</v>
      </c>
      <c r="Z24" s="174">
        <f ca="1"/>
        <v>22000</v>
      </c>
      <c r="AA24" s="174">
        <f ca="1"/>
        <v>2200</v>
      </c>
      <c r="AB24" s="174">
        <f ca="1"/>
        <v>2640</v>
      </c>
      <c r="AC24" s="174">
        <f ca="1"/>
        <v>220</v>
      </c>
      <c r="AD24" s="174">
        <f ca="1"/>
        <v>1320</v>
      </c>
      <c r="AE24" s="174">
        <f ca="1"/>
        <v>28160</v>
      </c>
      <c r="AF24" s="167">
        <f ca="1"/>
        <v>2816</v>
      </c>
      <c r="AG24" s="174">
        <f ca="1"/>
        <v>492.80000000000007</v>
      </c>
      <c r="AH24" s="167">
        <f ca="1"/>
        <v>3</v>
      </c>
      <c r="AI24" s="174">
        <f ca="1"/>
        <v>2538.4615384615386</v>
      </c>
      <c r="AJ24" s="174">
        <f ca="1"/>
        <v>13</v>
      </c>
      <c r="AK24" s="167"/>
      <c r="AL24" s="167"/>
      <c r="AM24" s="167"/>
      <c r="AN24" s="169" t="s">
        <v>616</v>
      </c>
      <c r="AO24" s="169">
        <v>1038</v>
      </c>
      <c r="AP24" s="171">
        <v>16000</v>
      </c>
      <c r="AQ24" s="171">
        <v>1600</v>
      </c>
      <c r="AR24" s="171">
        <v>1920</v>
      </c>
      <c r="AS24" s="171">
        <v>960</v>
      </c>
      <c r="AT24" s="171">
        <v>20480</v>
      </c>
      <c r="AU24" s="171">
        <v>2048</v>
      </c>
      <c r="AV24" s="172">
        <v>358.40000000000003</v>
      </c>
      <c r="AW24" s="169">
        <v>5</v>
      </c>
      <c r="AX24" s="171">
        <v>3076.9230769230767</v>
      </c>
      <c r="AY24" s="169">
        <v>15</v>
      </c>
      <c r="AZ24" s="171">
        <v>1250</v>
      </c>
      <c r="BA24" s="172">
        <v>16246.676923076922</v>
      </c>
      <c r="BB24" s="172">
        <v>194960.12307692308</v>
      </c>
      <c r="BC24" s="172">
        <v>23395.21476923077</v>
      </c>
    </row>
    <row r="25" spans="1:55" ht="18" customHeight="1" x14ac:dyDescent="0.25">
      <c r="A25" s="296">
        <v>23</v>
      </c>
      <c r="B25" s="297">
        <v>1022</v>
      </c>
      <c r="C25" s="298" t="s">
        <v>39</v>
      </c>
      <c r="D25" s="298" t="s">
        <v>616</v>
      </c>
      <c r="E25" s="298" t="s">
        <v>1033</v>
      </c>
      <c r="F25" s="299">
        <v>25000</v>
      </c>
      <c r="G25" s="299">
        <v>2500</v>
      </c>
      <c r="H25" s="299">
        <v>3000</v>
      </c>
      <c r="I25" s="299">
        <f t="shared" si="1"/>
        <v>250</v>
      </c>
      <c r="J25" s="299">
        <v>1500</v>
      </c>
      <c r="K25" s="299">
        <v>32000</v>
      </c>
      <c r="L25" s="299">
        <v>3200</v>
      </c>
      <c r="M25" s="299">
        <v>560</v>
      </c>
      <c r="N25" s="300">
        <v>5</v>
      </c>
      <c r="O25" s="299">
        <f t="shared" si="0"/>
        <v>4807.6923076923076</v>
      </c>
      <c r="P25" s="300">
        <v>14</v>
      </c>
      <c r="Q25" s="299">
        <f t="shared" si="7"/>
        <v>1822.9166666666667</v>
      </c>
      <c r="R25" s="301">
        <f t="shared" si="5"/>
        <v>25255.224358974359</v>
      </c>
      <c r="S25" s="302">
        <v>303062.69230769202</v>
      </c>
      <c r="T25" s="303">
        <f t="shared" si="6"/>
        <v>36367.52307692304</v>
      </c>
      <c r="V25" s="167"/>
      <c r="W25" s="167" t="str">
        <f ca="1"/>
        <v>bhawesh</v>
      </c>
      <c r="X25" s="167" t="str">
        <f ca="1"/>
        <v>employe</v>
      </c>
      <c r="Y25" s="174" t="str">
        <f ca="1"/>
        <v>Admin</v>
      </c>
      <c r="Z25" s="174">
        <f ca="1"/>
        <v>22000</v>
      </c>
      <c r="AA25" s="174">
        <f ca="1"/>
        <v>2200</v>
      </c>
      <c r="AB25" s="174">
        <f ca="1"/>
        <v>2640</v>
      </c>
      <c r="AC25" s="174">
        <f ca="1"/>
        <v>220</v>
      </c>
      <c r="AD25" s="174">
        <f ca="1"/>
        <v>1320</v>
      </c>
      <c r="AE25" s="174">
        <f ca="1"/>
        <v>28160</v>
      </c>
      <c r="AF25" s="167">
        <f ca="1"/>
        <v>2816</v>
      </c>
      <c r="AG25" s="174">
        <f ca="1"/>
        <v>492.80000000000007</v>
      </c>
      <c r="AH25" s="167">
        <f ca="1"/>
        <v>3</v>
      </c>
      <c r="AI25" s="174">
        <f ca="1"/>
        <v>2538.4615384615386</v>
      </c>
      <c r="AJ25" s="174">
        <f ca="1"/>
        <v>12</v>
      </c>
      <c r="AK25" s="167"/>
      <c r="AL25" s="167"/>
      <c r="AM25" s="167"/>
      <c r="AN25" s="169" t="s">
        <v>258</v>
      </c>
      <c r="AO25" s="169">
        <v>2089</v>
      </c>
      <c r="AP25" s="171">
        <v>42000</v>
      </c>
      <c r="AQ25" s="171">
        <v>4200</v>
      </c>
      <c r="AR25" s="171">
        <v>5040</v>
      </c>
      <c r="AS25" s="171">
        <v>2520</v>
      </c>
      <c r="AT25" s="171">
        <v>53760</v>
      </c>
      <c r="AU25" s="171">
        <v>5376</v>
      </c>
      <c r="AV25" s="172">
        <v>940.80000000000018</v>
      </c>
      <c r="AW25" s="169">
        <v>7</v>
      </c>
      <c r="AX25" s="171">
        <v>5615.3846153846152</v>
      </c>
      <c r="AY25" s="169">
        <v>28</v>
      </c>
      <c r="AZ25" s="171">
        <v>3072.916666666667</v>
      </c>
      <c r="BA25" s="172">
        <v>44900.732051282052</v>
      </c>
      <c r="BB25" s="172">
        <v>538808.78461538465</v>
      </c>
      <c r="BC25" s="172">
        <v>64657.05415384614</v>
      </c>
    </row>
    <row r="26" spans="1:55" ht="18" customHeight="1" x14ac:dyDescent="0.25">
      <c r="A26" s="304">
        <v>24</v>
      </c>
      <c r="B26" s="305">
        <v>1023</v>
      </c>
      <c r="C26" s="306" t="s">
        <v>204</v>
      </c>
      <c r="D26" s="306" t="s">
        <v>616</v>
      </c>
      <c r="E26" s="306" t="s">
        <v>1888</v>
      </c>
      <c r="F26" s="307">
        <v>17000</v>
      </c>
      <c r="G26" s="307">
        <v>1700</v>
      </c>
      <c r="H26" s="307">
        <v>2040</v>
      </c>
      <c r="I26" s="307">
        <f t="shared" si="1"/>
        <v>170</v>
      </c>
      <c r="J26" s="307">
        <v>1020</v>
      </c>
      <c r="K26" s="307">
        <v>21760</v>
      </c>
      <c r="L26" s="307">
        <v>2176</v>
      </c>
      <c r="M26" s="307">
        <v>380.8</v>
      </c>
      <c r="N26" s="308">
        <v>2</v>
      </c>
      <c r="O26" s="307">
        <f t="shared" si="0"/>
        <v>1307.6923076923076</v>
      </c>
      <c r="P26" s="308">
        <v>15</v>
      </c>
      <c r="Q26" s="307">
        <f t="shared" si="7"/>
        <v>1328.125</v>
      </c>
      <c r="R26" s="301">
        <f t="shared" si="5"/>
        <v>19223.632692307692</v>
      </c>
      <c r="S26" s="309">
        <v>230683.59230769199</v>
      </c>
      <c r="T26" s="310">
        <f t="shared" si="6"/>
        <v>27682.031076923038</v>
      </c>
      <c r="V26" s="167"/>
      <c r="W26" s="167" t="str">
        <f ca="1"/>
        <v>chirag</v>
      </c>
      <c r="X26" s="167" t="str">
        <f ca="1"/>
        <v>employe</v>
      </c>
      <c r="Y26" s="174" t="str">
        <f ca="1"/>
        <v>Procurement</v>
      </c>
      <c r="Z26" s="174">
        <f ca="1"/>
        <v>25000</v>
      </c>
      <c r="AA26" s="174">
        <f ca="1"/>
        <v>2500</v>
      </c>
      <c r="AB26" s="174">
        <f ca="1"/>
        <v>3000</v>
      </c>
      <c r="AC26" s="174">
        <f ca="1"/>
        <v>250</v>
      </c>
      <c r="AD26" s="174">
        <f ca="1"/>
        <v>1500</v>
      </c>
      <c r="AE26" s="174">
        <f ca="1"/>
        <v>32000</v>
      </c>
      <c r="AF26" s="167">
        <f ca="1"/>
        <v>3200</v>
      </c>
      <c r="AG26" s="174">
        <f ca="1"/>
        <v>560</v>
      </c>
      <c r="AH26" s="167">
        <f ca="1"/>
        <v>3</v>
      </c>
      <c r="AI26" s="174">
        <f ca="1"/>
        <v>2884.6153846153848</v>
      </c>
      <c r="AJ26" s="174">
        <f ca="1"/>
        <v>14</v>
      </c>
      <c r="AK26" s="167"/>
      <c r="AL26" s="167"/>
      <c r="AM26" s="167"/>
      <c r="AN26" s="169" t="s">
        <v>616</v>
      </c>
      <c r="AO26" s="169">
        <v>2089</v>
      </c>
      <c r="AP26" s="171">
        <v>42000</v>
      </c>
      <c r="AQ26" s="171">
        <v>4200</v>
      </c>
      <c r="AR26" s="171">
        <v>5040</v>
      </c>
      <c r="AS26" s="171">
        <v>2520</v>
      </c>
      <c r="AT26" s="171">
        <v>53760</v>
      </c>
      <c r="AU26" s="171">
        <v>5376</v>
      </c>
      <c r="AV26" s="172">
        <v>940.80000000000018</v>
      </c>
      <c r="AW26" s="169">
        <v>7</v>
      </c>
      <c r="AX26" s="171">
        <v>5615.3846153846152</v>
      </c>
      <c r="AY26" s="169">
        <v>28</v>
      </c>
      <c r="AZ26" s="171">
        <v>3072.916666666667</v>
      </c>
      <c r="BA26" s="172">
        <v>44900.732051282052</v>
      </c>
      <c r="BB26" s="172">
        <v>538808.78461538465</v>
      </c>
      <c r="BC26" s="172">
        <v>64657.05415384614</v>
      </c>
    </row>
    <row r="27" spans="1:55" ht="18" customHeight="1" x14ac:dyDescent="0.25">
      <c r="A27" s="296">
        <v>25</v>
      </c>
      <c r="B27" s="297">
        <v>1024</v>
      </c>
      <c r="C27" s="298" t="s">
        <v>210</v>
      </c>
      <c r="D27" s="298" t="s">
        <v>616</v>
      </c>
      <c r="E27" s="298" t="s">
        <v>1889</v>
      </c>
      <c r="F27" s="299">
        <v>10000</v>
      </c>
      <c r="G27" s="299">
        <v>1000</v>
      </c>
      <c r="H27" s="299">
        <v>1200</v>
      </c>
      <c r="I27" s="299">
        <f t="shared" si="1"/>
        <v>100</v>
      </c>
      <c r="J27" s="299">
        <v>600</v>
      </c>
      <c r="K27" s="299">
        <v>12800</v>
      </c>
      <c r="L27" s="299">
        <v>1280</v>
      </c>
      <c r="M27" s="299">
        <v>224.00000000000003</v>
      </c>
      <c r="N27" s="300">
        <v>3</v>
      </c>
      <c r="O27" s="299">
        <f t="shared" si="0"/>
        <v>1153.8461538461538</v>
      </c>
      <c r="P27" s="300">
        <v>14</v>
      </c>
      <c r="Q27" s="299">
        <f t="shared" si="7"/>
        <v>729.16666666666674</v>
      </c>
      <c r="R27" s="301">
        <f t="shared" si="5"/>
        <v>10871.320512820512</v>
      </c>
      <c r="S27" s="302">
        <v>130455.846153846</v>
      </c>
      <c r="T27" s="303">
        <f t="shared" si="6"/>
        <v>15654.701538461519</v>
      </c>
      <c r="V27" s="167"/>
      <c r="W27" s="167" t="str">
        <f ca="1"/>
        <v>ramesh</v>
      </c>
      <c r="X27" s="167" t="str">
        <f ca="1"/>
        <v>employe</v>
      </c>
      <c r="Y27" s="174" t="str">
        <f ca="1"/>
        <v>Quality</v>
      </c>
      <c r="Z27" s="174">
        <f ca="1"/>
        <v>24000</v>
      </c>
      <c r="AA27" s="174">
        <f ca="1"/>
        <v>2400</v>
      </c>
      <c r="AB27" s="174">
        <f ca="1"/>
        <v>2880</v>
      </c>
      <c r="AC27" s="174">
        <f ca="1"/>
        <v>240</v>
      </c>
      <c r="AD27" s="174">
        <f ca="1"/>
        <v>1440</v>
      </c>
      <c r="AE27" s="174">
        <f ca="1"/>
        <v>30720</v>
      </c>
      <c r="AF27" s="167">
        <f ca="1"/>
        <v>3072</v>
      </c>
      <c r="AG27" s="174">
        <f ca="1"/>
        <v>537.6</v>
      </c>
      <c r="AH27" s="167">
        <f ca="1"/>
        <v>3</v>
      </c>
      <c r="AI27" s="174">
        <f ca="1"/>
        <v>2769.2307692307695</v>
      </c>
      <c r="AJ27" s="174">
        <f ca="1"/>
        <v>15</v>
      </c>
      <c r="AK27" s="167"/>
      <c r="AL27" s="167"/>
      <c r="AM27" s="167"/>
      <c r="AN27" s="169" t="s">
        <v>302</v>
      </c>
      <c r="AO27" s="169">
        <v>1039</v>
      </c>
      <c r="AP27" s="171">
        <v>14000</v>
      </c>
      <c r="AQ27" s="171">
        <v>1400</v>
      </c>
      <c r="AR27" s="171">
        <v>1680</v>
      </c>
      <c r="AS27" s="171">
        <v>840</v>
      </c>
      <c r="AT27" s="171">
        <v>17920</v>
      </c>
      <c r="AU27" s="171">
        <v>1792</v>
      </c>
      <c r="AV27" s="172">
        <v>313.60000000000002</v>
      </c>
      <c r="AW27" s="169">
        <v>4</v>
      </c>
      <c r="AX27" s="171">
        <v>2153.8461538461538</v>
      </c>
      <c r="AY27" s="169">
        <v>14</v>
      </c>
      <c r="AZ27" s="171">
        <v>1020.8333333333334</v>
      </c>
      <c r="BA27" s="172">
        <v>14681.387179487179</v>
      </c>
      <c r="BB27" s="172">
        <v>176176.64615384614</v>
      </c>
      <c r="BC27" s="172">
        <v>21141.197538461536</v>
      </c>
    </row>
    <row r="28" spans="1:55" ht="18" customHeight="1" x14ac:dyDescent="0.25">
      <c r="A28" s="304">
        <v>26</v>
      </c>
      <c r="B28" s="305">
        <v>1025</v>
      </c>
      <c r="C28" s="306" t="s">
        <v>75</v>
      </c>
      <c r="D28" s="306" t="s">
        <v>616</v>
      </c>
      <c r="E28" s="306" t="s">
        <v>1890</v>
      </c>
      <c r="F28" s="307">
        <v>18000</v>
      </c>
      <c r="G28" s="307">
        <v>1800</v>
      </c>
      <c r="H28" s="307">
        <v>2160</v>
      </c>
      <c r="I28" s="307">
        <f t="shared" si="1"/>
        <v>180</v>
      </c>
      <c r="J28" s="307">
        <v>1080</v>
      </c>
      <c r="K28" s="307">
        <v>23040</v>
      </c>
      <c r="L28" s="307">
        <v>2304</v>
      </c>
      <c r="M28" s="307">
        <v>403.20000000000005</v>
      </c>
      <c r="N28" s="308">
        <v>3</v>
      </c>
      <c r="O28" s="307">
        <f t="shared" si="0"/>
        <v>2076.9230769230767</v>
      </c>
      <c r="P28" s="308">
        <v>15</v>
      </c>
      <c r="Q28" s="307">
        <f t="shared" si="7"/>
        <v>1406.25</v>
      </c>
      <c r="R28" s="301">
        <f t="shared" si="5"/>
        <v>19662.126923076921</v>
      </c>
      <c r="S28" s="309">
        <v>235945.52307692301</v>
      </c>
      <c r="T28" s="310">
        <f t="shared" si="6"/>
        <v>28313.462769230759</v>
      </c>
      <c r="V28" s="167"/>
      <c r="W28" s="167" t="str">
        <f ca="1"/>
        <v>suresh</v>
      </c>
      <c r="X28" s="167" t="str">
        <f ca="1"/>
        <v>employe</v>
      </c>
      <c r="Y28" s="174" t="str">
        <f ca="1"/>
        <v>Sales</v>
      </c>
      <c r="Z28" s="174">
        <f ca="1"/>
        <v>26000</v>
      </c>
      <c r="AA28" s="174">
        <f ca="1"/>
        <v>2600</v>
      </c>
      <c r="AB28" s="174">
        <f ca="1"/>
        <v>3120</v>
      </c>
      <c r="AC28" s="174">
        <f ca="1"/>
        <v>260</v>
      </c>
      <c r="AD28" s="174">
        <f ca="1"/>
        <v>1560</v>
      </c>
      <c r="AE28" s="174">
        <f ca="1"/>
        <v>33280</v>
      </c>
      <c r="AF28" s="167">
        <f ca="1"/>
        <v>3328</v>
      </c>
      <c r="AG28" s="174">
        <f ca="1"/>
        <v>582.40000000000009</v>
      </c>
      <c r="AH28" s="167">
        <f ca="1"/>
        <v>2</v>
      </c>
      <c r="AI28" s="174">
        <f ca="1"/>
        <v>2000</v>
      </c>
      <c r="AJ28" s="174">
        <f ca="1"/>
        <v>14</v>
      </c>
      <c r="AK28" s="167"/>
      <c r="AL28" s="167"/>
      <c r="AM28" s="167"/>
      <c r="AN28" s="169" t="s">
        <v>616</v>
      </c>
      <c r="AO28" s="169">
        <v>1039</v>
      </c>
      <c r="AP28" s="171">
        <v>14000</v>
      </c>
      <c r="AQ28" s="171">
        <v>1400</v>
      </c>
      <c r="AR28" s="171">
        <v>1680</v>
      </c>
      <c r="AS28" s="171">
        <v>840</v>
      </c>
      <c r="AT28" s="171">
        <v>17920</v>
      </c>
      <c r="AU28" s="171">
        <v>1792</v>
      </c>
      <c r="AV28" s="172">
        <v>313.60000000000002</v>
      </c>
      <c r="AW28" s="169">
        <v>4</v>
      </c>
      <c r="AX28" s="171">
        <v>2153.8461538461538</v>
      </c>
      <c r="AY28" s="169">
        <v>14</v>
      </c>
      <c r="AZ28" s="171">
        <v>1020.8333333333334</v>
      </c>
      <c r="BA28" s="172">
        <v>14681.387179487179</v>
      </c>
      <c r="BB28" s="172">
        <v>176176.64615384614</v>
      </c>
      <c r="BC28" s="172">
        <v>21141.197538461536</v>
      </c>
    </row>
    <row r="29" spans="1:55" ht="18" customHeight="1" x14ac:dyDescent="0.25">
      <c r="A29" s="296">
        <v>27</v>
      </c>
      <c r="B29" s="297">
        <v>1026</v>
      </c>
      <c r="C29" s="298" t="s">
        <v>221</v>
      </c>
      <c r="D29" s="298" t="s">
        <v>616</v>
      </c>
      <c r="E29" s="298" t="s">
        <v>1468</v>
      </c>
      <c r="F29" s="299">
        <v>26000</v>
      </c>
      <c r="G29" s="299">
        <v>2600</v>
      </c>
      <c r="H29" s="299">
        <v>3120</v>
      </c>
      <c r="I29" s="299">
        <f t="shared" si="1"/>
        <v>260</v>
      </c>
      <c r="J29" s="299">
        <v>1560</v>
      </c>
      <c r="K29" s="299">
        <v>33280</v>
      </c>
      <c r="L29" s="299">
        <v>3328</v>
      </c>
      <c r="M29" s="299">
        <v>582.40000000000009</v>
      </c>
      <c r="N29" s="300">
        <v>5</v>
      </c>
      <c r="O29" s="299">
        <f t="shared" si="0"/>
        <v>5000</v>
      </c>
      <c r="P29" s="300">
        <v>13</v>
      </c>
      <c r="Q29" s="299">
        <f t="shared" si="7"/>
        <v>1760.4166666666665</v>
      </c>
      <c r="R29" s="301">
        <f t="shared" si="5"/>
        <v>26130.016666666666</v>
      </c>
      <c r="S29" s="302">
        <f t="shared" ref="S29:S67" si="8">R29*12</f>
        <v>313560.2</v>
      </c>
      <c r="T29" s="303">
        <f t="shared" si="6"/>
        <v>37627.224000000002</v>
      </c>
      <c r="V29" s="167"/>
      <c r="W29" s="167" t="str">
        <f ca="1"/>
        <v>rc sharma</v>
      </c>
      <c r="X29" s="167" t="str">
        <f ca="1"/>
        <v>employe</v>
      </c>
      <c r="Y29" s="174" t="str">
        <f ca="1"/>
        <v>Production</v>
      </c>
      <c r="Z29" s="174">
        <f ca="1"/>
        <v>14000</v>
      </c>
      <c r="AA29" s="174">
        <f ca="1"/>
        <v>1400</v>
      </c>
      <c r="AB29" s="174">
        <f ca="1"/>
        <v>1680</v>
      </c>
      <c r="AC29" s="174">
        <f ca="1"/>
        <v>140</v>
      </c>
      <c r="AD29" s="174">
        <f ca="1"/>
        <v>840</v>
      </c>
      <c r="AE29" s="174">
        <f ca="1"/>
        <v>17920</v>
      </c>
      <c r="AF29" s="167">
        <f ca="1"/>
        <v>1792</v>
      </c>
      <c r="AG29" s="174">
        <f ca="1"/>
        <v>313.60000000000002</v>
      </c>
      <c r="AH29" s="167">
        <f ca="1"/>
        <v>4</v>
      </c>
      <c r="AI29" s="174">
        <f ca="1"/>
        <v>2153.8461538461538</v>
      </c>
      <c r="AJ29" s="174">
        <f ca="1"/>
        <v>14</v>
      </c>
      <c r="AK29" s="167"/>
      <c r="AL29" s="167"/>
      <c r="AM29" s="167"/>
      <c r="AN29" s="169" t="s">
        <v>107</v>
      </c>
      <c r="AO29" s="169">
        <v>1007</v>
      </c>
      <c r="AP29" s="171">
        <v>26000</v>
      </c>
      <c r="AQ29" s="171">
        <v>2600</v>
      </c>
      <c r="AR29" s="171">
        <v>3120</v>
      </c>
      <c r="AS29" s="171">
        <v>1560</v>
      </c>
      <c r="AT29" s="171">
        <v>33280</v>
      </c>
      <c r="AU29" s="171">
        <v>3328</v>
      </c>
      <c r="AV29" s="172">
        <v>582.40000000000009</v>
      </c>
      <c r="AW29" s="169">
        <v>5</v>
      </c>
      <c r="AX29" s="171">
        <v>5000</v>
      </c>
      <c r="AY29" s="169">
        <v>13</v>
      </c>
      <c r="AZ29" s="171">
        <v>1760.4166666666665</v>
      </c>
      <c r="BA29" s="172">
        <v>26130.016666666666</v>
      </c>
      <c r="BB29" s="172">
        <v>313560.2</v>
      </c>
      <c r="BC29" s="172">
        <v>37627.224000000002</v>
      </c>
    </row>
    <row r="30" spans="1:55" ht="18" customHeight="1" x14ac:dyDescent="0.25">
      <c r="A30" s="304">
        <v>28</v>
      </c>
      <c r="B30" s="305">
        <v>1027</v>
      </c>
      <c r="C30" s="306" t="s">
        <v>227</v>
      </c>
      <c r="D30" s="306" t="s">
        <v>616</v>
      </c>
      <c r="E30" s="306" t="s">
        <v>1884</v>
      </c>
      <c r="F30" s="307">
        <v>29000</v>
      </c>
      <c r="G30" s="307">
        <v>2900</v>
      </c>
      <c r="H30" s="307">
        <v>3480</v>
      </c>
      <c r="I30" s="307">
        <f t="shared" si="1"/>
        <v>290</v>
      </c>
      <c r="J30" s="307">
        <v>1740</v>
      </c>
      <c r="K30" s="307">
        <v>37120</v>
      </c>
      <c r="L30" s="307">
        <v>3712</v>
      </c>
      <c r="M30" s="307">
        <v>649.6</v>
      </c>
      <c r="N30" s="308">
        <v>4</v>
      </c>
      <c r="O30" s="307">
        <f t="shared" si="0"/>
        <v>4461.5384615384619</v>
      </c>
      <c r="P30" s="308">
        <v>12</v>
      </c>
      <c r="Q30" s="307">
        <f t="shared" si="7"/>
        <v>1812.5</v>
      </c>
      <c r="R30" s="301">
        <f t="shared" si="5"/>
        <v>30109.36153846154</v>
      </c>
      <c r="S30" s="309">
        <f t="shared" si="8"/>
        <v>361312.33846153849</v>
      </c>
      <c r="T30" s="310">
        <f t="shared" si="6"/>
        <v>43357.480615384615</v>
      </c>
      <c r="V30" s="167"/>
      <c r="W30" s="167" t="str">
        <f ca="1"/>
        <v>poonem</v>
      </c>
      <c r="X30" s="167" t="str">
        <f ca="1"/>
        <v>employe</v>
      </c>
      <c r="Y30" s="174" t="str">
        <f ca="1"/>
        <v>Finance</v>
      </c>
      <c r="Z30" s="174">
        <f ca="1"/>
        <v>29000</v>
      </c>
      <c r="AA30" s="174">
        <f ca="1"/>
        <v>2900</v>
      </c>
      <c r="AB30" s="174">
        <f ca="1"/>
        <v>3480</v>
      </c>
      <c r="AC30" s="174">
        <f ca="1"/>
        <v>290</v>
      </c>
      <c r="AD30" s="174">
        <f ca="1"/>
        <v>1740</v>
      </c>
      <c r="AE30" s="174">
        <f ca="1"/>
        <v>37120</v>
      </c>
      <c r="AF30" s="167">
        <f ca="1"/>
        <v>3712</v>
      </c>
      <c r="AG30" s="174">
        <f ca="1"/>
        <v>649.6</v>
      </c>
      <c r="AH30" s="167">
        <f ca="1"/>
        <v>3</v>
      </c>
      <c r="AI30" s="174">
        <f ca="1"/>
        <v>3346.1538461538466</v>
      </c>
      <c r="AJ30" s="174">
        <f ca="1"/>
        <v>14</v>
      </c>
      <c r="AK30" s="167"/>
      <c r="AL30" s="167"/>
      <c r="AM30" s="167"/>
      <c r="AN30" s="169" t="s">
        <v>616</v>
      </c>
      <c r="AO30" s="169">
        <v>1007</v>
      </c>
      <c r="AP30" s="171">
        <v>26000</v>
      </c>
      <c r="AQ30" s="171">
        <v>2600</v>
      </c>
      <c r="AR30" s="171">
        <v>3120</v>
      </c>
      <c r="AS30" s="171">
        <v>1560</v>
      </c>
      <c r="AT30" s="171">
        <v>33280</v>
      </c>
      <c r="AU30" s="171">
        <v>3328</v>
      </c>
      <c r="AV30" s="172">
        <v>582.40000000000009</v>
      </c>
      <c r="AW30" s="169">
        <v>5</v>
      </c>
      <c r="AX30" s="171">
        <v>5000</v>
      </c>
      <c r="AY30" s="169">
        <v>13</v>
      </c>
      <c r="AZ30" s="171">
        <v>1760.4166666666665</v>
      </c>
      <c r="BA30" s="172">
        <v>26130.016666666666</v>
      </c>
      <c r="BB30" s="172">
        <v>313560.2</v>
      </c>
      <c r="BC30" s="172">
        <v>37627.224000000002</v>
      </c>
    </row>
    <row r="31" spans="1:55" ht="18" customHeight="1" x14ac:dyDescent="0.25">
      <c r="A31" s="296">
        <v>29</v>
      </c>
      <c r="B31" s="297">
        <v>1028</v>
      </c>
      <c r="C31" s="298" t="s">
        <v>233</v>
      </c>
      <c r="D31" s="298" t="s">
        <v>616</v>
      </c>
      <c r="E31" s="298" t="s">
        <v>1885</v>
      </c>
      <c r="F31" s="299">
        <v>14000</v>
      </c>
      <c r="G31" s="299">
        <v>1400</v>
      </c>
      <c r="H31" s="299">
        <v>1680</v>
      </c>
      <c r="I31" s="299">
        <f t="shared" si="1"/>
        <v>140</v>
      </c>
      <c r="J31" s="299">
        <v>840</v>
      </c>
      <c r="K31" s="299">
        <v>17920</v>
      </c>
      <c r="L31" s="299">
        <v>1792</v>
      </c>
      <c r="M31" s="299">
        <v>313.60000000000002</v>
      </c>
      <c r="N31" s="300">
        <v>2</v>
      </c>
      <c r="O31" s="299">
        <f t="shared" si="0"/>
        <v>1076.9230769230769</v>
      </c>
      <c r="P31" s="300">
        <v>15</v>
      </c>
      <c r="Q31" s="299">
        <f t="shared" si="7"/>
        <v>1093.75</v>
      </c>
      <c r="R31" s="301">
        <f t="shared" si="5"/>
        <v>15831.226923076923</v>
      </c>
      <c r="S31" s="302">
        <f t="shared" si="8"/>
        <v>189974.72307692308</v>
      </c>
      <c r="T31" s="303">
        <f t="shared" si="6"/>
        <v>22796.96676923077</v>
      </c>
      <c r="V31" s="167"/>
      <c r="W31" s="167" t="str">
        <f ca="1"/>
        <v>mukesh</v>
      </c>
      <c r="X31" s="167" t="str">
        <f ca="1"/>
        <v>employe</v>
      </c>
      <c r="Y31" s="174" t="str">
        <f ca="1"/>
        <v>HR</v>
      </c>
      <c r="Z31" s="174">
        <f ca="1"/>
        <v>25000</v>
      </c>
      <c r="AA31" s="174">
        <f ca="1"/>
        <v>2500</v>
      </c>
      <c r="AB31" s="174">
        <f ca="1"/>
        <v>3000</v>
      </c>
      <c r="AC31" s="174">
        <f ca="1"/>
        <v>250</v>
      </c>
      <c r="AD31" s="174">
        <f ca="1"/>
        <v>1500</v>
      </c>
      <c r="AE31" s="174">
        <f ca="1"/>
        <v>32000</v>
      </c>
      <c r="AF31" s="167">
        <f ca="1"/>
        <v>3200</v>
      </c>
      <c r="AG31" s="174">
        <f ca="1"/>
        <v>560</v>
      </c>
      <c r="AH31" s="167">
        <f ca="1"/>
        <v>5</v>
      </c>
      <c r="AI31" s="174">
        <f ca="1"/>
        <v>4807.6923076923076</v>
      </c>
      <c r="AJ31" s="174">
        <f ca="1"/>
        <v>15</v>
      </c>
      <c r="AK31" s="167"/>
      <c r="AL31" s="167"/>
      <c r="AM31" s="167"/>
      <c r="AN31" s="169" t="s">
        <v>336</v>
      </c>
      <c r="AO31" s="169">
        <v>1045</v>
      </c>
      <c r="AP31" s="171">
        <v>20000</v>
      </c>
      <c r="AQ31" s="171">
        <v>2000</v>
      </c>
      <c r="AR31" s="171">
        <v>2400</v>
      </c>
      <c r="AS31" s="171">
        <v>1200</v>
      </c>
      <c r="AT31" s="171">
        <v>25600</v>
      </c>
      <c r="AU31" s="171">
        <v>2560</v>
      </c>
      <c r="AV31" s="172">
        <v>448.00000000000006</v>
      </c>
      <c r="AW31" s="169">
        <v>3</v>
      </c>
      <c r="AX31" s="171">
        <v>2307.6923076923076</v>
      </c>
      <c r="AY31" s="169">
        <v>15</v>
      </c>
      <c r="AZ31" s="171">
        <v>1562.5</v>
      </c>
      <c r="BA31" s="172">
        <v>21846.807692307691</v>
      </c>
      <c r="BB31" s="172">
        <v>262161.69230769231</v>
      </c>
      <c r="BC31" s="172">
        <v>31459.403076923078</v>
      </c>
    </row>
    <row r="32" spans="1:55" ht="18" customHeight="1" x14ac:dyDescent="0.25">
      <c r="A32" s="304">
        <v>30</v>
      </c>
      <c r="B32" s="305">
        <v>1029</v>
      </c>
      <c r="C32" s="306" t="s">
        <v>239</v>
      </c>
      <c r="D32" s="306" t="s">
        <v>616</v>
      </c>
      <c r="E32" s="306" t="s">
        <v>895</v>
      </c>
      <c r="F32" s="307">
        <v>28000</v>
      </c>
      <c r="G32" s="307">
        <v>2800</v>
      </c>
      <c r="H32" s="307">
        <v>3360</v>
      </c>
      <c r="I32" s="307">
        <f t="shared" si="1"/>
        <v>280</v>
      </c>
      <c r="J32" s="307">
        <v>1680</v>
      </c>
      <c r="K32" s="307">
        <v>35840</v>
      </c>
      <c r="L32" s="307">
        <v>3584</v>
      </c>
      <c r="M32" s="307">
        <v>627.20000000000005</v>
      </c>
      <c r="N32" s="308">
        <v>5</v>
      </c>
      <c r="O32" s="307">
        <f t="shared" si="0"/>
        <v>5384.6153846153848</v>
      </c>
      <c r="P32" s="308">
        <v>13</v>
      </c>
      <c r="Q32" s="307">
        <f t="shared" si="7"/>
        <v>1895.8333333333335</v>
      </c>
      <c r="R32" s="301">
        <f t="shared" si="5"/>
        <v>28140.017948717945</v>
      </c>
      <c r="S32" s="309">
        <f t="shared" si="8"/>
        <v>337680.21538461535</v>
      </c>
      <c r="T32" s="310">
        <f t="shared" si="6"/>
        <v>40521.625846153838</v>
      </c>
      <c r="V32" s="167"/>
      <c r="W32" s="167" t="str">
        <f ca="1"/>
        <v>mahesh</v>
      </c>
      <c r="X32" s="167" t="str">
        <f ca="1"/>
        <v>employe</v>
      </c>
      <c r="Y32" s="174" t="str">
        <f ca="1"/>
        <v>Operations</v>
      </c>
      <c r="Z32" s="174">
        <f ca="1"/>
        <v>12000</v>
      </c>
      <c r="AA32" s="174">
        <f ca="1"/>
        <v>1200</v>
      </c>
      <c r="AB32" s="174">
        <f ca="1"/>
        <v>1440</v>
      </c>
      <c r="AC32" s="174">
        <f ca="1"/>
        <v>120</v>
      </c>
      <c r="AD32" s="174">
        <f ca="1"/>
        <v>720</v>
      </c>
      <c r="AE32" s="174">
        <f ca="1"/>
        <v>15360</v>
      </c>
      <c r="AF32" s="167">
        <f ca="1"/>
        <v>1536</v>
      </c>
      <c r="AG32" s="174">
        <f ca="1"/>
        <v>268.8</v>
      </c>
      <c r="AH32" s="167">
        <f ca="1"/>
        <v>5</v>
      </c>
      <c r="AI32" s="174">
        <f ca="1"/>
        <v>2307.6923076923076</v>
      </c>
      <c r="AJ32" s="174">
        <f ca="1"/>
        <v>12</v>
      </c>
      <c r="AK32" s="167"/>
      <c r="AL32" s="167"/>
      <c r="AM32" s="167"/>
      <c r="AN32" s="169" t="s">
        <v>616</v>
      </c>
      <c r="AO32" s="169">
        <v>1045</v>
      </c>
      <c r="AP32" s="171">
        <v>20000</v>
      </c>
      <c r="AQ32" s="171">
        <v>2000</v>
      </c>
      <c r="AR32" s="171">
        <v>2400</v>
      </c>
      <c r="AS32" s="171">
        <v>1200</v>
      </c>
      <c r="AT32" s="171">
        <v>25600</v>
      </c>
      <c r="AU32" s="171">
        <v>2560</v>
      </c>
      <c r="AV32" s="172">
        <v>448.00000000000006</v>
      </c>
      <c r="AW32" s="169">
        <v>3</v>
      </c>
      <c r="AX32" s="171">
        <v>2307.6923076923076</v>
      </c>
      <c r="AY32" s="169">
        <v>15</v>
      </c>
      <c r="AZ32" s="171">
        <v>1562.5</v>
      </c>
      <c r="BA32" s="172">
        <v>21846.807692307691</v>
      </c>
      <c r="BB32" s="172">
        <v>262161.69230769231</v>
      </c>
      <c r="BC32" s="172">
        <v>31459.403076923078</v>
      </c>
    </row>
    <row r="33" spans="1:55" ht="18" customHeight="1" x14ac:dyDescent="0.25">
      <c r="A33" s="296">
        <v>31</v>
      </c>
      <c r="B33" s="297">
        <v>1030</v>
      </c>
      <c r="C33" s="298" t="s">
        <v>245</v>
      </c>
      <c r="D33" s="298" t="s">
        <v>616</v>
      </c>
      <c r="E33" s="298" t="s">
        <v>1886</v>
      </c>
      <c r="F33" s="299">
        <v>29000</v>
      </c>
      <c r="G33" s="299">
        <v>2900</v>
      </c>
      <c r="H33" s="299">
        <v>3480</v>
      </c>
      <c r="I33" s="299">
        <f t="shared" si="1"/>
        <v>290</v>
      </c>
      <c r="J33" s="299">
        <v>1740</v>
      </c>
      <c r="K33" s="299">
        <v>37120</v>
      </c>
      <c r="L33" s="299">
        <v>3712</v>
      </c>
      <c r="M33" s="299">
        <v>649.6</v>
      </c>
      <c r="N33" s="300">
        <v>5</v>
      </c>
      <c r="O33" s="299">
        <f t="shared" si="0"/>
        <v>5576.9230769230771</v>
      </c>
      <c r="P33" s="300">
        <v>15</v>
      </c>
      <c r="Q33" s="299">
        <f t="shared" si="7"/>
        <v>2265.625</v>
      </c>
      <c r="R33" s="301">
        <f t="shared" si="5"/>
        <v>29447.101923076923</v>
      </c>
      <c r="S33" s="302">
        <f t="shared" si="8"/>
        <v>353365.22307692305</v>
      </c>
      <c r="T33" s="303">
        <f t="shared" si="6"/>
        <v>42403.826769230764</v>
      </c>
      <c r="V33" s="167"/>
      <c r="W33" s="167" t="str">
        <f ca="1"/>
        <v>rakesh</v>
      </c>
      <c r="X33" s="167" t="str">
        <f ca="1"/>
        <v>employe</v>
      </c>
      <c r="Y33" s="174" t="str">
        <f ca="1"/>
        <v>IT</v>
      </c>
      <c r="Z33" s="174">
        <f ca="1"/>
        <v>13000</v>
      </c>
      <c r="AA33" s="174">
        <f ca="1"/>
        <v>1300</v>
      </c>
      <c r="AB33" s="174">
        <f ca="1"/>
        <v>1560</v>
      </c>
      <c r="AC33" s="174">
        <f ca="1"/>
        <v>130</v>
      </c>
      <c r="AD33" s="174">
        <f ca="1"/>
        <v>780</v>
      </c>
      <c r="AE33" s="174">
        <f ca="1"/>
        <v>16640</v>
      </c>
      <c r="AF33" s="167">
        <f ca="1"/>
        <v>1664</v>
      </c>
      <c r="AG33" s="174">
        <f ca="1"/>
        <v>291.20000000000005</v>
      </c>
      <c r="AH33" s="167">
        <f ca="1"/>
        <v>4</v>
      </c>
      <c r="AI33" s="174">
        <f ca="1"/>
        <v>2000</v>
      </c>
      <c r="AJ33" s="174">
        <f ca="1"/>
        <v>14</v>
      </c>
      <c r="AK33" s="167"/>
      <c r="AL33" s="167"/>
      <c r="AM33" s="167"/>
      <c r="AN33" s="169" t="s">
        <v>256</v>
      </c>
      <c r="AO33" s="169">
        <v>1082</v>
      </c>
      <c r="AP33" s="171">
        <v>29000</v>
      </c>
      <c r="AQ33" s="171">
        <v>2900</v>
      </c>
      <c r="AR33" s="171">
        <v>3480</v>
      </c>
      <c r="AS33" s="171">
        <v>1740</v>
      </c>
      <c r="AT33" s="171">
        <v>37120</v>
      </c>
      <c r="AU33" s="171">
        <v>3712</v>
      </c>
      <c r="AV33" s="172">
        <v>649.6</v>
      </c>
      <c r="AW33" s="169">
        <v>3</v>
      </c>
      <c r="AX33" s="171">
        <v>3346.1538461538466</v>
      </c>
      <c r="AY33" s="169">
        <v>13</v>
      </c>
      <c r="AZ33" s="171">
        <v>1963.5416666666665</v>
      </c>
      <c r="BA33" s="172">
        <v>31375.787820512822</v>
      </c>
      <c r="BB33" s="172">
        <v>376509.45384615386</v>
      </c>
      <c r="BC33" s="172">
        <v>45181.134461538459</v>
      </c>
    </row>
    <row r="34" spans="1:55" ht="18" customHeight="1" x14ac:dyDescent="0.25">
      <c r="A34" s="304">
        <v>32</v>
      </c>
      <c r="B34" s="305">
        <v>1031</v>
      </c>
      <c r="C34" s="306" t="s">
        <v>252</v>
      </c>
      <c r="D34" s="306" t="s">
        <v>616</v>
      </c>
      <c r="E34" s="306" t="s">
        <v>1887</v>
      </c>
      <c r="F34" s="307">
        <v>24000</v>
      </c>
      <c r="G34" s="307">
        <v>2400</v>
      </c>
      <c r="H34" s="307">
        <v>2880</v>
      </c>
      <c r="I34" s="307">
        <f t="shared" si="1"/>
        <v>240</v>
      </c>
      <c r="J34" s="307">
        <v>1440</v>
      </c>
      <c r="K34" s="307">
        <v>30720</v>
      </c>
      <c r="L34" s="307">
        <v>3072</v>
      </c>
      <c r="M34" s="307">
        <v>537.6</v>
      </c>
      <c r="N34" s="308">
        <v>4</v>
      </c>
      <c r="O34" s="307">
        <f t="shared" si="0"/>
        <v>3692.3076923076924</v>
      </c>
      <c r="P34" s="308">
        <v>15</v>
      </c>
      <c r="Q34" s="307">
        <f t="shared" si="7"/>
        <v>1875</v>
      </c>
      <c r="R34" s="301">
        <f t="shared" si="5"/>
        <v>25293.09230769231</v>
      </c>
      <c r="S34" s="309">
        <f t="shared" si="8"/>
        <v>303517.10769230773</v>
      </c>
      <c r="T34" s="310">
        <f t="shared" si="6"/>
        <v>36422.052923076924</v>
      </c>
      <c r="V34" s="167"/>
      <c r="W34" s="167" t="str">
        <f ca="1"/>
        <v>ram</v>
      </c>
      <c r="X34" s="167" t="str">
        <f ca="1"/>
        <v>employe</v>
      </c>
      <c r="Y34" s="174" t="str">
        <f ca="1"/>
        <v>Marketing</v>
      </c>
      <c r="Z34" s="174">
        <f ca="1"/>
        <v>25000</v>
      </c>
      <c r="AA34" s="174">
        <f ca="1"/>
        <v>2500</v>
      </c>
      <c r="AB34" s="174">
        <f ca="1"/>
        <v>3000</v>
      </c>
      <c r="AC34" s="174">
        <f ca="1"/>
        <v>250</v>
      </c>
      <c r="AD34" s="174">
        <f ca="1"/>
        <v>1500</v>
      </c>
      <c r="AE34" s="174">
        <f ca="1"/>
        <v>32000</v>
      </c>
      <c r="AF34" s="167">
        <f ca="1"/>
        <v>3200</v>
      </c>
      <c r="AG34" s="174">
        <f ca="1"/>
        <v>560</v>
      </c>
      <c r="AH34" s="167">
        <f ca="1"/>
        <v>5</v>
      </c>
      <c r="AI34" s="174">
        <f ca="1"/>
        <v>4807.6923076923076</v>
      </c>
      <c r="AJ34" s="174">
        <f ca="1"/>
        <v>14</v>
      </c>
      <c r="AK34" s="167"/>
      <c r="AL34" s="167"/>
      <c r="AM34" s="167"/>
      <c r="AN34" s="169" t="s">
        <v>616</v>
      </c>
      <c r="AO34" s="169">
        <v>1082</v>
      </c>
      <c r="AP34" s="171">
        <v>29000</v>
      </c>
      <c r="AQ34" s="171">
        <v>2900</v>
      </c>
      <c r="AR34" s="171">
        <v>3480</v>
      </c>
      <c r="AS34" s="171">
        <v>1740</v>
      </c>
      <c r="AT34" s="171">
        <v>37120</v>
      </c>
      <c r="AU34" s="171">
        <v>3712</v>
      </c>
      <c r="AV34" s="172">
        <v>649.6</v>
      </c>
      <c r="AW34" s="169">
        <v>3</v>
      </c>
      <c r="AX34" s="171">
        <v>3346.1538461538466</v>
      </c>
      <c r="AY34" s="169">
        <v>13</v>
      </c>
      <c r="AZ34" s="171">
        <v>1963.5416666666665</v>
      </c>
      <c r="BA34" s="172">
        <v>31375.787820512822</v>
      </c>
      <c r="BB34" s="172">
        <v>376509.45384615386</v>
      </c>
      <c r="BC34" s="172">
        <v>45181.134461538459</v>
      </c>
    </row>
    <row r="35" spans="1:55" ht="18" customHeight="1" x14ac:dyDescent="0.25">
      <c r="A35" s="296">
        <v>33</v>
      </c>
      <c r="B35" s="297">
        <v>1032</v>
      </c>
      <c r="C35" s="298" t="s">
        <v>258</v>
      </c>
      <c r="D35" s="298" t="s">
        <v>616</v>
      </c>
      <c r="E35" s="298" t="s">
        <v>1033</v>
      </c>
      <c r="F35" s="299">
        <v>20000</v>
      </c>
      <c r="G35" s="299">
        <v>2000</v>
      </c>
      <c r="H35" s="299">
        <v>2400</v>
      </c>
      <c r="I35" s="299">
        <f t="shared" si="1"/>
        <v>200</v>
      </c>
      <c r="J35" s="299">
        <v>1200</v>
      </c>
      <c r="K35" s="299">
        <v>25600</v>
      </c>
      <c r="L35" s="299">
        <v>2560</v>
      </c>
      <c r="M35" s="299">
        <v>448.00000000000006</v>
      </c>
      <c r="N35" s="300">
        <v>4</v>
      </c>
      <c r="O35" s="299">
        <f t="shared" ref="O35:O66" si="9">F35/26*N35</f>
        <v>3076.9230769230771</v>
      </c>
      <c r="P35" s="300">
        <v>13</v>
      </c>
      <c r="Q35" s="299">
        <f t="shared" si="7"/>
        <v>1354.1666666666667</v>
      </c>
      <c r="R35" s="301">
        <f t="shared" si="5"/>
        <v>20869.24358974359</v>
      </c>
      <c r="S35" s="302">
        <f t="shared" si="8"/>
        <v>250430.92307692306</v>
      </c>
      <c r="T35" s="303">
        <f t="shared" si="6"/>
        <v>30051.710769230765</v>
      </c>
      <c r="V35" s="167"/>
      <c r="W35" s="167" t="str">
        <f ca="1"/>
        <v>lokesh</v>
      </c>
      <c r="X35" s="167" t="str">
        <f ca="1"/>
        <v>employe</v>
      </c>
      <c r="Y35" s="174" t="str">
        <f ca="1"/>
        <v>Admin</v>
      </c>
      <c r="Z35" s="174">
        <f ca="1"/>
        <v>17000</v>
      </c>
      <c r="AA35" s="174">
        <f ca="1"/>
        <v>1700</v>
      </c>
      <c r="AB35" s="174">
        <f ca="1"/>
        <v>2040</v>
      </c>
      <c r="AC35" s="174">
        <f ca="1"/>
        <v>170</v>
      </c>
      <c r="AD35" s="174">
        <f ca="1"/>
        <v>1020</v>
      </c>
      <c r="AE35" s="174">
        <f ca="1"/>
        <v>21760</v>
      </c>
      <c r="AF35" s="167">
        <f ca="1"/>
        <v>2176</v>
      </c>
      <c r="AG35" s="174">
        <f ca="1"/>
        <v>380.8</v>
      </c>
      <c r="AH35" s="167">
        <f ca="1"/>
        <v>2</v>
      </c>
      <c r="AI35" s="174">
        <f ca="1"/>
        <v>1307.6923076923076</v>
      </c>
      <c r="AJ35" s="174">
        <f ca="1"/>
        <v>15</v>
      </c>
      <c r="AK35" s="167"/>
      <c r="AL35" s="167"/>
      <c r="AM35" s="167"/>
      <c r="AN35" s="169" t="s">
        <v>290</v>
      </c>
      <c r="AO35" s="169">
        <v>1037</v>
      </c>
      <c r="AP35" s="171">
        <v>29000</v>
      </c>
      <c r="AQ35" s="171">
        <v>2900</v>
      </c>
      <c r="AR35" s="171">
        <v>3480</v>
      </c>
      <c r="AS35" s="171">
        <v>1740</v>
      </c>
      <c r="AT35" s="171">
        <v>37120</v>
      </c>
      <c r="AU35" s="171">
        <v>3712</v>
      </c>
      <c r="AV35" s="172">
        <v>649.6</v>
      </c>
      <c r="AW35" s="169">
        <v>2</v>
      </c>
      <c r="AX35" s="171">
        <v>2230.7692307692309</v>
      </c>
      <c r="AY35" s="169">
        <v>15</v>
      </c>
      <c r="AZ35" s="171">
        <v>2265.625</v>
      </c>
      <c r="BA35" s="172">
        <v>32793.255769230775</v>
      </c>
      <c r="BB35" s="172">
        <v>393519.0692307693</v>
      </c>
      <c r="BC35" s="172">
        <v>47222.288307692317</v>
      </c>
    </row>
    <row r="36" spans="1:55" ht="18" customHeight="1" x14ac:dyDescent="0.25">
      <c r="A36" s="304">
        <v>34</v>
      </c>
      <c r="B36" s="305">
        <v>1033</v>
      </c>
      <c r="C36" s="306" t="s">
        <v>265</v>
      </c>
      <c r="D36" s="306" t="s">
        <v>616</v>
      </c>
      <c r="E36" s="306" t="s">
        <v>1888</v>
      </c>
      <c r="F36" s="307">
        <v>19000</v>
      </c>
      <c r="G36" s="307">
        <v>1900</v>
      </c>
      <c r="H36" s="307">
        <v>2280</v>
      </c>
      <c r="I36" s="307">
        <f t="shared" si="1"/>
        <v>190</v>
      </c>
      <c r="J36" s="307">
        <v>1140</v>
      </c>
      <c r="K36" s="307">
        <v>24320</v>
      </c>
      <c r="L36" s="307">
        <v>2432</v>
      </c>
      <c r="M36" s="307">
        <v>425.6</v>
      </c>
      <c r="N36" s="308">
        <v>2</v>
      </c>
      <c r="O36" s="307">
        <f t="shared" si="9"/>
        <v>1461.5384615384614</v>
      </c>
      <c r="P36" s="308">
        <v>13</v>
      </c>
      <c r="Q36" s="307">
        <f t="shared" si="7"/>
        <v>1286.4583333333333</v>
      </c>
      <c r="R36" s="301">
        <f t="shared" si="5"/>
        <v>21287.319871794873</v>
      </c>
      <c r="S36" s="309">
        <f t="shared" si="8"/>
        <v>255447.83846153849</v>
      </c>
      <c r="T36" s="310">
        <f t="shared" si="6"/>
        <v>30653.740615384617</v>
      </c>
      <c r="V36" s="167"/>
      <c r="W36" s="167" t="str">
        <f ca="1"/>
        <v>kuldeep</v>
      </c>
      <c r="X36" s="167" t="str">
        <f ca="1"/>
        <v>employe</v>
      </c>
      <c r="Y36" s="174" t="str">
        <f ca="1"/>
        <v>Procurement</v>
      </c>
      <c r="Z36" s="174">
        <f ca="1"/>
        <v>10000</v>
      </c>
      <c r="AA36" s="174">
        <f ca="1"/>
        <v>1000</v>
      </c>
      <c r="AB36" s="174">
        <f ca="1"/>
        <v>1200</v>
      </c>
      <c r="AC36" s="174">
        <f ca="1"/>
        <v>100</v>
      </c>
      <c r="AD36" s="174">
        <f ca="1"/>
        <v>600</v>
      </c>
      <c r="AE36" s="174">
        <f ca="1"/>
        <v>12800</v>
      </c>
      <c r="AF36" s="167">
        <f ca="1"/>
        <v>1280</v>
      </c>
      <c r="AG36" s="174">
        <f ca="1"/>
        <v>224.00000000000003</v>
      </c>
      <c r="AH36" s="167">
        <f ca="1"/>
        <v>3</v>
      </c>
      <c r="AI36" s="174">
        <f ca="1"/>
        <v>1153.8461538461538</v>
      </c>
      <c r="AJ36" s="174">
        <f ca="1"/>
        <v>14</v>
      </c>
      <c r="AK36" s="167"/>
      <c r="AL36" s="167"/>
      <c r="AM36" s="167"/>
      <c r="AN36" s="169" t="s">
        <v>616</v>
      </c>
      <c r="AO36" s="169">
        <v>1037</v>
      </c>
      <c r="AP36" s="171">
        <v>29000</v>
      </c>
      <c r="AQ36" s="171">
        <v>2900</v>
      </c>
      <c r="AR36" s="171">
        <v>3480</v>
      </c>
      <c r="AS36" s="171">
        <v>1740</v>
      </c>
      <c r="AT36" s="171">
        <v>37120</v>
      </c>
      <c r="AU36" s="171">
        <v>3712</v>
      </c>
      <c r="AV36" s="172">
        <v>649.6</v>
      </c>
      <c r="AW36" s="169">
        <v>2</v>
      </c>
      <c r="AX36" s="171">
        <v>2230.7692307692309</v>
      </c>
      <c r="AY36" s="169">
        <v>15</v>
      </c>
      <c r="AZ36" s="171">
        <v>2265.625</v>
      </c>
      <c r="BA36" s="172">
        <v>32793.255769230775</v>
      </c>
      <c r="BB36" s="172">
        <v>393519.0692307693</v>
      </c>
      <c r="BC36" s="172">
        <v>47222.288307692317</v>
      </c>
    </row>
    <row r="37" spans="1:55" ht="18" customHeight="1" x14ac:dyDescent="0.25">
      <c r="A37" s="296">
        <v>35</v>
      </c>
      <c r="B37" s="297">
        <v>1034</v>
      </c>
      <c r="C37" s="298" t="s">
        <v>271</v>
      </c>
      <c r="D37" s="298" t="s">
        <v>616</v>
      </c>
      <c r="E37" s="298" t="s">
        <v>1889</v>
      </c>
      <c r="F37" s="299">
        <v>16000</v>
      </c>
      <c r="G37" s="299">
        <v>1600</v>
      </c>
      <c r="H37" s="299">
        <v>1920</v>
      </c>
      <c r="I37" s="299">
        <f t="shared" si="1"/>
        <v>160</v>
      </c>
      <c r="J37" s="299">
        <v>960</v>
      </c>
      <c r="K37" s="299">
        <v>20480</v>
      </c>
      <c r="L37" s="299">
        <v>2048</v>
      </c>
      <c r="M37" s="299">
        <v>358.40000000000003</v>
      </c>
      <c r="N37" s="300">
        <v>5</v>
      </c>
      <c r="O37" s="299">
        <f t="shared" si="9"/>
        <v>3076.9230769230767</v>
      </c>
      <c r="P37" s="300">
        <v>13</v>
      </c>
      <c r="Q37" s="299">
        <f t="shared" ref="Q37:Q68" si="10">F37/24/8*P37</f>
        <v>1083.3333333333333</v>
      </c>
      <c r="R37" s="301">
        <f t="shared" si="5"/>
        <v>16080.010256410256</v>
      </c>
      <c r="S37" s="302">
        <f t="shared" si="8"/>
        <v>192960.12307692308</v>
      </c>
      <c r="T37" s="303">
        <f t="shared" si="6"/>
        <v>23155.21476923077</v>
      </c>
      <c r="V37" s="167"/>
      <c r="W37" s="167" t="str">
        <f ca="1"/>
        <v>daksh</v>
      </c>
      <c r="X37" s="167" t="str">
        <f ca="1"/>
        <v>employe</v>
      </c>
      <c r="Y37" s="174" t="str">
        <f ca="1"/>
        <v>Quality</v>
      </c>
      <c r="Z37" s="174">
        <f ca="1"/>
        <v>18000</v>
      </c>
      <c r="AA37" s="174">
        <f ca="1"/>
        <v>1800</v>
      </c>
      <c r="AB37" s="174">
        <f ca="1"/>
        <v>2160</v>
      </c>
      <c r="AC37" s="174">
        <f ca="1"/>
        <v>180</v>
      </c>
      <c r="AD37" s="174">
        <f ca="1"/>
        <v>1080</v>
      </c>
      <c r="AE37" s="174">
        <f ca="1"/>
        <v>23040</v>
      </c>
      <c r="AF37" s="167">
        <f ca="1"/>
        <v>2304</v>
      </c>
      <c r="AG37" s="174">
        <f ca="1"/>
        <v>403.20000000000005</v>
      </c>
      <c r="AH37" s="167">
        <f ca="1"/>
        <v>3</v>
      </c>
      <c r="AI37" s="174">
        <f ca="1"/>
        <v>2076.9230769230767</v>
      </c>
      <c r="AJ37" s="174">
        <f ca="1"/>
        <v>15</v>
      </c>
      <c r="AK37" s="167"/>
      <c r="AL37" s="167"/>
      <c r="AM37" s="167"/>
      <c r="AN37" s="169" t="s">
        <v>94</v>
      </c>
      <c r="AO37" s="169">
        <v>1005</v>
      </c>
      <c r="AP37" s="171">
        <v>50000</v>
      </c>
      <c r="AQ37" s="171">
        <v>5000</v>
      </c>
      <c r="AR37" s="171">
        <v>6000</v>
      </c>
      <c r="AS37" s="171">
        <v>3000</v>
      </c>
      <c r="AT37" s="171">
        <v>64000</v>
      </c>
      <c r="AU37" s="171">
        <v>6400</v>
      </c>
      <c r="AV37" s="172">
        <v>1120</v>
      </c>
      <c r="AW37" s="169">
        <v>3</v>
      </c>
      <c r="AX37" s="171">
        <v>5769.2307692307695</v>
      </c>
      <c r="AY37" s="169">
        <v>12</v>
      </c>
      <c r="AZ37" s="171">
        <v>3125</v>
      </c>
      <c r="BA37" s="172">
        <v>53835.769230769234</v>
      </c>
      <c r="BB37" s="172">
        <v>646029.23076923075</v>
      </c>
      <c r="BC37" s="172">
        <v>77523.507692307685</v>
      </c>
    </row>
    <row r="38" spans="1:55" ht="18" customHeight="1" x14ac:dyDescent="0.25">
      <c r="A38" s="304">
        <v>36</v>
      </c>
      <c r="B38" s="305">
        <v>1035</v>
      </c>
      <c r="C38" s="306" t="s">
        <v>277</v>
      </c>
      <c r="D38" s="306" t="s">
        <v>616</v>
      </c>
      <c r="E38" s="306" t="s">
        <v>1890</v>
      </c>
      <c r="F38" s="307">
        <v>21000</v>
      </c>
      <c r="G38" s="307">
        <v>2100</v>
      </c>
      <c r="H38" s="307">
        <v>2520</v>
      </c>
      <c r="I38" s="307">
        <f t="shared" si="1"/>
        <v>210</v>
      </c>
      <c r="J38" s="307">
        <v>1260</v>
      </c>
      <c r="K38" s="307">
        <v>26880</v>
      </c>
      <c r="L38" s="307">
        <v>2688</v>
      </c>
      <c r="M38" s="307">
        <v>470.40000000000003</v>
      </c>
      <c r="N38" s="308">
        <v>2</v>
      </c>
      <c r="O38" s="307">
        <f t="shared" si="9"/>
        <v>1615.3846153846155</v>
      </c>
      <c r="P38" s="308">
        <v>14</v>
      </c>
      <c r="Q38" s="307">
        <f t="shared" si="10"/>
        <v>1531.25</v>
      </c>
      <c r="R38" s="301">
        <f t="shared" si="5"/>
        <v>23637.465384615381</v>
      </c>
      <c r="S38" s="309">
        <f t="shared" si="8"/>
        <v>283649.58461538458</v>
      </c>
      <c r="T38" s="310">
        <f t="shared" si="6"/>
        <v>34037.950153846148</v>
      </c>
      <c r="V38" s="167"/>
      <c r="W38" s="167" t="str">
        <f ca="1"/>
        <v>manish</v>
      </c>
      <c r="X38" s="167" t="str">
        <f ca="1"/>
        <v>employe</v>
      </c>
      <c r="Y38" s="174" t="str">
        <f ca="1"/>
        <v>Sales</v>
      </c>
      <c r="Z38" s="174">
        <f ca="1"/>
        <v>26000</v>
      </c>
      <c r="AA38" s="174">
        <f ca="1"/>
        <v>2600</v>
      </c>
      <c r="AB38" s="174">
        <f ca="1"/>
        <v>3120</v>
      </c>
      <c r="AC38" s="174">
        <f ca="1"/>
        <v>260</v>
      </c>
      <c r="AD38" s="174">
        <f ca="1"/>
        <v>1560</v>
      </c>
      <c r="AE38" s="174">
        <f ca="1"/>
        <v>33280</v>
      </c>
      <c r="AF38" s="167">
        <f ca="1"/>
        <v>3328</v>
      </c>
      <c r="AG38" s="174">
        <f ca="1"/>
        <v>582.40000000000009</v>
      </c>
      <c r="AH38" s="167">
        <f ca="1"/>
        <v>5</v>
      </c>
      <c r="AI38" s="174">
        <f ca="1"/>
        <v>5000</v>
      </c>
      <c r="AJ38" s="174">
        <f ca="1"/>
        <v>13</v>
      </c>
      <c r="AK38" s="167"/>
      <c r="AL38" s="167"/>
      <c r="AM38" s="167"/>
      <c r="AN38" s="169" t="s">
        <v>615</v>
      </c>
      <c r="AO38" s="169">
        <v>1005</v>
      </c>
      <c r="AP38" s="171">
        <v>50000</v>
      </c>
      <c r="AQ38" s="171">
        <v>5000</v>
      </c>
      <c r="AR38" s="171">
        <v>6000</v>
      </c>
      <c r="AS38" s="171">
        <v>3000</v>
      </c>
      <c r="AT38" s="171">
        <v>64000</v>
      </c>
      <c r="AU38" s="171">
        <v>6400</v>
      </c>
      <c r="AV38" s="172">
        <v>1120</v>
      </c>
      <c r="AW38" s="169">
        <v>3</v>
      </c>
      <c r="AX38" s="171">
        <v>5769.2307692307695</v>
      </c>
      <c r="AY38" s="169">
        <v>12</v>
      </c>
      <c r="AZ38" s="171">
        <v>3125</v>
      </c>
      <c r="BA38" s="172">
        <v>53835.769230769234</v>
      </c>
      <c r="BB38" s="172">
        <v>646029.23076923075</v>
      </c>
      <c r="BC38" s="172">
        <v>77523.507692307685</v>
      </c>
    </row>
    <row r="39" spans="1:55" ht="18" customHeight="1" x14ac:dyDescent="0.25">
      <c r="A39" s="296">
        <v>37</v>
      </c>
      <c r="B39" s="297">
        <v>1036</v>
      </c>
      <c r="C39" s="298" t="s">
        <v>284</v>
      </c>
      <c r="D39" s="298" t="s">
        <v>616</v>
      </c>
      <c r="E39" s="298" t="s">
        <v>1468</v>
      </c>
      <c r="F39" s="299">
        <v>16000</v>
      </c>
      <c r="G39" s="299">
        <v>1600</v>
      </c>
      <c r="H39" s="299">
        <v>1920</v>
      </c>
      <c r="I39" s="299">
        <f t="shared" si="1"/>
        <v>160</v>
      </c>
      <c r="J39" s="299">
        <v>960</v>
      </c>
      <c r="K39" s="299">
        <v>20480</v>
      </c>
      <c r="L39" s="299">
        <v>2048</v>
      </c>
      <c r="M39" s="299">
        <v>358.40000000000003</v>
      </c>
      <c r="N39" s="300">
        <v>3</v>
      </c>
      <c r="O39" s="299">
        <f t="shared" si="9"/>
        <v>1846.1538461538462</v>
      </c>
      <c r="P39" s="300">
        <v>15</v>
      </c>
      <c r="Q39" s="299">
        <f t="shared" si="10"/>
        <v>1250</v>
      </c>
      <c r="R39" s="301">
        <f t="shared" si="5"/>
        <v>17477.446153846155</v>
      </c>
      <c r="S39" s="302">
        <f t="shared" si="8"/>
        <v>209729.35384615386</v>
      </c>
      <c r="T39" s="303">
        <f t="shared" si="6"/>
        <v>25167.522461538461</v>
      </c>
      <c r="V39" s="167"/>
      <c r="W39" s="167" t="str">
        <f ca="1"/>
        <v>rahul</v>
      </c>
      <c r="X39" s="167" t="str">
        <f ca="1"/>
        <v>employe</v>
      </c>
      <c r="Y39" s="174" t="str">
        <f ca="1"/>
        <v>Production</v>
      </c>
      <c r="Z39" s="174">
        <f ca="1"/>
        <v>29000</v>
      </c>
      <c r="AA39" s="174">
        <f ca="1"/>
        <v>2900</v>
      </c>
      <c r="AB39" s="174">
        <f ca="1"/>
        <v>3480</v>
      </c>
      <c r="AC39" s="174">
        <f ca="1"/>
        <v>290</v>
      </c>
      <c r="AD39" s="174">
        <f ca="1"/>
        <v>1740</v>
      </c>
      <c r="AE39" s="174">
        <f ca="1"/>
        <v>37120</v>
      </c>
      <c r="AF39" s="167">
        <f ca="1"/>
        <v>3712</v>
      </c>
      <c r="AG39" s="174">
        <f ca="1"/>
        <v>649.6</v>
      </c>
      <c r="AH39" s="167">
        <f ca="1"/>
        <v>4</v>
      </c>
      <c r="AI39" s="174">
        <f ca="1"/>
        <v>4461.5384615384619</v>
      </c>
      <c r="AJ39" s="174">
        <f ca="1"/>
        <v>12</v>
      </c>
      <c r="AK39" s="167"/>
      <c r="AL39" s="167"/>
      <c r="AM39" s="167"/>
      <c r="AN39" s="169" t="s">
        <v>144</v>
      </c>
      <c r="AO39" s="169">
        <v>2057</v>
      </c>
      <c r="AP39" s="171">
        <v>51000</v>
      </c>
      <c r="AQ39" s="171">
        <v>5100</v>
      </c>
      <c r="AR39" s="171">
        <v>6120</v>
      </c>
      <c r="AS39" s="171">
        <v>3060</v>
      </c>
      <c r="AT39" s="171">
        <v>65280</v>
      </c>
      <c r="AU39" s="171">
        <v>6528</v>
      </c>
      <c r="AV39" s="172">
        <v>1142.4000000000001</v>
      </c>
      <c r="AW39" s="169">
        <v>8</v>
      </c>
      <c r="AX39" s="171">
        <v>8115.3846153846152</v>
      </c>
      <c r="AY39" s="169">
        <v>24</v>
      </c>
      <c r="AZ39" s="171">
        <v>3187.5</v>
      </c>
      <c r="BA39" s="172">
        <v>52681.715384615381</v>
      </c>
      <c r="BB39" s="172">
        <v>632180.58461538458</v>
      </c>
      <c r="BC39" s="172">
        <v>75861.670153846149</v>
      </c>
    </row>
    <row r="40" spans="1:55" ht="18" customHeight="1" x14ac:dyDescent="0.25">
      <c r="A40" s="304">
        <v>38</v>
      </c>
      <c r="B40" s="305">
        <v>1037</v>
      </c>
      <c r="C40" s="306" t="s">
        <v>290</v>
      </c>
      <c r="D40" s="306" t="s">
        <v>616</v>
      </c>
      <c r="E40" s="306" t="s">
        <v>1884</v>
      </c>
      <c r="F40" s="307">
        <v>29000</v>
      </c>
      <c r="G40" s="307">
        <v>2900</v>
      </c>
      <c r="H40" s="307">
        <v>3480</v>
      </c>
      <c r="I40" s="307">
        <f t="shared" si="1"/>
        <v>290</v>
      </c>
      <c r="J40" s="307">
        <v>1740</v>
      </c>
      <c r="K40" s="307">
        <v>37120</v>
      </c>
      <c r="L40" s="307">
        <v>3712</v>
      </c>
      <c r="M40" s="307">
        <v>649.6</v>
      </c>
      <c r="N40" s="308">
        <v>2</v>
      </c>
      <c r="O40" s="307">
        <f t="shared" si="9"/>
        <v>2230.7692307692309</v>
      </c>
      <c r="P40" s="308">
        <v>15</v>
      </c>
      <c r="Q40" s="307">
        <f t="shared" si="10"/>
        <v>2265.625</v>
      </c>
      <c r="R40" s="301">
        <f t="shared" si="5"/>
        <v>32793.255769230775</v>
      </c>
      <c r="S40" s="309">
        <f t="shared" si="8"/>
        <v>393519.0692307693</v>
      </c>
      <c r="T40" s="310">
        <f t="shared" si="6"/>
        <v>47222.288307692317</v>
      </c>
      <c r="V40" s="167"/>
      <c r="W40" s="167" t="str">
        <f ca="1"/>
        <v>karan</v>
      </c>
      <c r="X40" s="167" t="str">
        <f ca="1"/>
        <v>employe</v>
      </c>
      <c r="Y40" s="174" t="str">
        <f ca="1"/>
        <v>Finance</v>
      </c>
      <c r="Z40" s="174">
        <f ca="1"/>
        <v>14000</v>
      </c>
      <c r="AA40" s="174">
        <f ca="1"/>
        <v>1400</v>
      </c>
      <c r="AB40" s="174">
        <f ca="1"/>
        <v>1680</v>
      </c>
      <c r="AC40" s="174">
        <f ca="1"/>
        <v>140</v>
      </c>
      <c r="AD40" s="174">
        <f ca="1"/>
        <v>840</v>
      </c>
      <c r="AE40" s="174">
        <f ca="1"/>
        <v>17920</v>
      </c>
      <c r="AF40" s="167">
        <f ca="1"/>
        <v>1792</v>
      </c>
      <c r="AG40" s="174">
        <f ca="1"/>
        <v>313.60000000000002</v>
      </c>
      <c r="AH40" s="167">
        <f ca="1"/>
        <v>2</v>
      </c>
      <c r="AI40" s="174">
        <f ca="1"/>
        <v>1076.9230769230769</v>
      </c>
      <c r="AJ40" s="174">
        <f ca="1"/>
        <v>15</v>
      </c>
      <c r="AK40" s="167"/>
      <c r="AL40" s="167"/>
      <c r="AM40" s="167"/>
      <c r="AN40" s="169" t="s">
        <v>616</v>
      </c>
      <c r="AO40" s="169">
        <v>2057</v>
      </c>
      <c r="AP40" s="171">
        <v>51000</v>
      </c>
      <c r="AQ40" s="171">
        <v>5100</v>
      </c>
      <c r="AR40" s="171">
        <v>6120</v>
      </c>
      <c r="AS40" s="171">
        <v>3060</v>
      </c>
      <c r="AT40" s="171">
        <v>65280</v>
      </c>
      <c r="AU40" s="171">
        <v>6528</v>
      </c>
      <c r="AV40" s="172">
        <v>1142.4000000000001</v>
      </c>
      <c r="AW40" s="169">
        <v>8</v>
      </c>
      <c r="AX40" s="171">
        <v>8115.3846153846152</v>
      </c>
      <c r="AY40" s="169">
        <v>24</v>
      </c>
      <c r="AZ40" s="171">
        <v>3187.5</v>
      </c>
      <c r="BA40" s="172">
        <v>52681.715384615381</v>
      </c>
      <c r="BB40" s="172">
        <v>632180.58461538458</v>
      </c>
      <c r="BC40" s="172">
        <v>75861.670153846149</v>
      </c>
    </row>
    <row r="41" spans="1:55" ht="18" customHeight="1" x14ac:dyDescent="0.25">
      <c r="A41" s="296">
        <v>39</v>
      </c>
      <c r="B41" s="297">
        <v>1038</v>
      </c>
      <c r="C41" s="298" t="s">
        <v>296</v>
      </c>
      <c r="D41" s="298" t="s">
        <v>616</v>
      </c>
      <c r="E41" s="298" t="s">
        <v>1885</v>
      </c>
      <c r="F41" s="299">
        <v>16000</v>
      </c>
      <c r="G41" s="299">
        <v>1600</v>
      </c>
      <c r="H41" s="299">
        <v>1920</v>
      </c>
      <c r="I41" s="299">
        <f t="shared" si="1"/>
        <v>160</v>
      </c>
      <c r="J41" s="299">
        <v>960</v>
      </c>
      <c r="K41" s="299">
        <v>20480</v>
      </c>
      <c r="L41" s="299">
        <v>2048</v>
      </c>
      <c r="M41" s="299">
        <v>358.40000000000003</v>
      </c>
      <c r="N41" s="300">
        <v>5</v>
      </c>
      <c r="O41" s="299">
        <f t="shared" si="9"/>
        <v>3076.9230769230767</v>
      </c>
      <c r="P41" s="300">
        <v>15</v>
      </c>
      <c r="Q41" s="299">
        <f t="shared" si="10"/>
        <v>1250</v>
      </c>
      <c r="R41" s="301">
        <f t="shared" si="5"/>
        <v>16246.676923076922</v>
      </c>
      <c r="S41" s="302">
        <f t="shared" si="8"/>
        <v>194960.12307692308</v>
      </c>
      <c r="T41" s="303">
        <f t="shared" si="6"/>
        <v>23395.21476923077</v>
      </c>
      <c r="V41" s="167"/>
      <c r="W41" s="167" t="str">
        <f ca="1"/>
        <v>shubhu</v>
      </c>
      <c r="X41" s="167" t="str">
        <f ca="1"/>
        <v>employe</v>
      </c>
      <c r="Y41" s="174" t="str">
        <f ca="1"/>
        <v>HR</v>
      </c>
      <c r="Z41" s="174">
        <f ca="1"/>
        <v>28000</v>
      </c>
      <c r="AA41" s="174">
        <f ca="1"/>
        <v>2800</v>
      </c>
      <c r="AB41" s="174">
        <f ca="1"/>
        <v>3360</v>
      </c>
      <c r="AC41" s="174">
        <f ca="1"/>
        <v>280</v>
      </c>
      <c r="AD41" s="174">
        <f ca="1"/>
        <v>1680</v>
      </c>
      <c r="AE41" s="174">
        <f ca="1"/>
        <v>35840</v>
      </c>
      <c r="AF41" s="167">
        <f ca="1"/>
        <v>3584</v>
      </c>
      <c r="AG41" s="174">
        <f ca="1"/>
        <v>627.20000000000005</v>
      </c>
      <c r="AH41" s="167">
        <f ca="1"/>
        <v>5</v>
      </c>
      <c r="AI41" s="174">
        <f ca="1"/>
        <v>5384.6153846153848</v>
      </c>
      <c r="AJ41" s="174">
        <f ca="1"/>
        <v>13</v>
      </c>
      <c r="AK41" s="167"/>
      <c r="AL41" s="167"/>
      <c r="AM41" s="167"/>
      <c r="AN41" s="169" t="s">
        <v>69</v>
      </c>
      <c r="AO41" s="169">
        <v>1001</v>
      </c>
      <c r="AP41" s="171">
        <v>40000</v>
      </c>
      <c r="AQ41" s="171">
        <v>4000</v>
      </c>
      <c r="AR41" s="171">
        <v>4800</v>
      </c>
      <c r="AS41" s="171">
        <v>2400</v>
      </c>
      <c r="AT41" s="171">
        <v>51200</v>
      </c>
      <c r="AU41" s="171">
        <v>5120</v>
      </c>
      <c r="AV41" s="172">
        <v>896.00000000000011</v>
      </c>
      <c r="AW41" s="169">
        <v>2</v>
      </c>
      <c r="AX41" s="171">
        <v>3076.9230769230771</v>
      </c>
      <c r="AY41" s="169">
        <v>12</v>
      </c>
      <c r="AZ41" s="171">
        <v>2500</v>
      </c>
      <c r="BA41" s="172">
        <v>44607.076923076922</v>
      </c>
      <c r="BB41" s="172">
        <v>535284.92307692301</v>
      </c>
      <c r="BC41" s="172">
        <v>64234.190769230758</v>
      </c>
    </row>
    <row r="42" spans="1:55" ht="18" customHeight="1" x14ac:dyDescent="0.25">
      <c r="A42" s="304">
        <v>40</v>
      </c>
      <c r="B42" s="305">
        <v>1039</v>
      </c>
      <c r="C42" s="306" t="s">
        <v>302</v>
      </c>
      <c r="D42" s="306" t="s">
        <v>616</v>
      </c>
      <c r="E42" s="306" t="s">
        <v>895</v>
      </c>
      <c r="F42" s="307">
        <v>14000</v>
      </c>
      <c r="G42" s="307">
        <v>1400</v>
      </c>
      <c r="H42" s="307">
        <v>1680</v>
      </c>
      <c r="I42" s="307">
        <f t="shared" si="1"/>
        <v>140</v>
      </c>
      <c r="J42" s="307">
        <v>840</v>
      </c>
      <c r="K42" s="307">
        <v>17920</v>
      </c>
      <c r="L42" s="307">
        <v>1792</v>
      </c>
      <c r="M42" s="307">
        <v>313.60000000000002</v>
      </c>
      <c r="N42" s="308">
        <v>4</v>
      </c>
      <c r="O42" s="307">
        <f t="shared" si="9"/>
        <v>2153.8461538461538</v>
      </c>
      <c r="P42" s="308">
        <v>14</v>
      </c>
      <c r="Q42" s="307">
        <f t="shared" si="10"/>
        <v>1020.8333333333334</v>
      </c>
      <c r="R42" s="301">
        <f t="shared" si="5"/>
        <v>14681.387179487179</v>
      </c>
      <c r="S42" s="309">
        <f t="shared" si="8"/>
        <v>176176.64615384614</v>
      </c>
      <c r="T42" s="310">
        <f t="shared" si="6"/>
        <v>21141.197538461536</v>
      </c>
      <c r="V42" s="167"/>
      <c r="W42" s="167" t="str">
        <f ca="1"/>
        <v>dhruv</v>
      </c>
      <c r="X42" s="167" t="str">
        <f ca="1"/>
        <v>employe</v>
      </c>
      <c r="Y42" s="174" t="str">
        <f ca="1"/>
        <v>Operations</v>
      </c>
      <c r="Z42" s="174">
        <f ca="1"/>
        <v>29000</v>
      </c>
      <c r="AA42" s="174">
        <f ca="1"/>
        <v>2900</v>
      </c>
      <c r="AB42" s="174">
        <f ca="1"/>
        <v>3480</v>
      </c>
      <c r="AC42" s="174">
        <f ca="1"/>
        <v>290</v>
      </c>
      <c r="AD42" s="174">
        <f ca="1"/>
        <v>1740</v>
      </c>
      <c r="AE42" s="174">
        <f ca="1"/>
        <v>37120</v>
      </c>
      <c r="AF42" s="167">
        <f ca="1"/>
        <v>3712</v>
      </c>
      <c r="AG42" s="174">
        <f ca="1"/>
        <v>649.6</v>
      </c>
      <c r="AH42" s="167">
        <f ca="1"/>
        <v>5</v>
      </c>
      <c r="AI42" s="174">
        <f ca="1"/>
        <v>5576.9230769230771</v>
      </c>
      <c r="AJ42" s="174">
        <f ca="1"/>
        <v>15</v>
      </c>
      <c r="AK42" s="167"/>
      <c r="AL42" s="167"/>
      <c r="AM42" s="167"/>
      <c r="AN42" s="169" t="s">
        <v>615</v>
      </c>
      <c r="AO42" s="169">
        <v>1001</v>
      </c>
      <c r="AP42" s="171">
        <v>40000</v>
      </c>
      <c r="AQ42" s="171">
        <v>4000</v>
      </c>
      <c r="AR42" s="171">
        <v>4800</v>
      </c>
      <c r="AS42" s="171">
        <v>2400</v>
      </c>
      <c r="AT42" s="171">
        <v>51200</v>
      </c>
      <c r="AU42" s="171">
        <v>5120</v>
      </c>
      <c r="AV42" s="172">
        <v>896.00000000000011</v>
      </c>
      <c r="AW42" s="169">
        <v>2</v>
      </c>
      <c r="AX42" s="171">
        <v>3076.9230769230771</v>
      </c>
      <c r="AY42" s="169">
        <v>12</v>
      </c>
      <c r="AZ42" s="171">
        <v>2500</v>
      </c>
      <c r="BA42" s="172">
        <v>44607.076923076922</v>
      </c>
      <c r="BB42" s="172">
        <v>535284.92307692301</v>
      </c>
      <c r="BC42" s="172">
        <v>64234.190769230758</v>
      </c>
    </row>
    <row r="43" spans="1:55" ht="18" customHeight="1" x14ac:dyDescent="0.25">
      <c r="A43" s="296">
        <v>41</v>
      </c>
      <c r="B43" s="297">
        <v>1040</v>
      </c>
      <c r="C43" s="298" t="s">
        <v>73</v>
      </c>
      <c r="D43" s="298" t="s">
        <v>616</v>
      </c>
      <c r="E43" s="298" t="s">
        <v>1886</v>
      </c>
      <c r="F43" s="299">
        <v>12000</v>
      </c>
      <c r="G43" s="299">
        <v>1200</v>
      </c>
      <c r="H43" s="299">
        <v>1440</v>
      </c>
      <c r="I43" s="299">
        <f t="shared" si="1"/>
        <v>120</v>
      </c>
      <c r="J43" s="299">
        <v>720</v>
      </c>
      <c r="K43" s="299">
        <v>15360</v>
      </c>
      <c r="L43" s="299">
        <v>1536</v>
      </c>
      <c r="M43" s="299">
        <v>268.8</v>
      </c>
      <c r="N43" s="300">
        <v>5</v>
      </c>
      <c r="O43" s="299">
        <f t="shared" si="9"/>
        <v>2307.6923076923076</v>
      </c>
      <c r="P43" s="300">
        <v>14</v>
      </c>
      <c r="Q43" s="299">
        <f t="shared" si="10"/>
        <v>875</v>
      </c>
      <c r="R43" s="301">
        <f t="shared" si="5"/>
        <v>12122.507692307692</v>
      </c>
      <c r="S43" s="302">
        <f t="shared" si="8"/>
        <v>145470.09230769231</v>
      </c>
      <c r="T43" s="303">
        <f t="shared" si="6"/>
        <v>17456.411076923076</v>
      </c>
      <c r="V43" s="167"/>
      <c r="W43" s="167" t="str">
        <f ca="1"/>
        <v>hement</v>
      </c>
      <c r="X43" s="167" t="str">
        <f ca="1"/>
        <v>employe</v>
      </c>
      <c r="Y43" s="174" t="str">
        <f ca="1"/>
        <v>IT</v>
      </c>
      <c r="Z43" s="174">
        <f ca="1"/>
        <v>24000</v>
      </c>
      <c r="AA43" s="174">
        <f ca="1"/>
        <v>2400</v>
      </c>
      <c r="AB43" s="174">
        <f ca="1"/>
        <v>2880</v>
      </c>
      <c r="AC43" s="174">
        <f ca="1"/>
        <v>240</v>
      </c>
      <c r="AD43" s="174">
        <f ca="1"/>
        <v>1440</v>
      </c>
      <c r="AE43" s="174">
        <f ca="1"/>
        <v>30720</v>
      </c>
      <c r="AF43" s="167">
        <f ca="1"/>
        <v>3072</v>
      </c>
      <c r="AG43" s="174">
        <f ca="1"/>
        <v>537.6</v>
      </c>
      <c r="AH43" s="167">
        <f ca="1"/>
        <v>4</v>
      </c>
      <c r="AI43" s="174">
        <f ca="1"/>
        <v>3692.3076923076924</v>
      </c>
      <c r="AJ43" s="174">
        <f ca="1"/>
        <v>15</v>
      </c>
      <c r="AK43" s="167"/>
      <c r="AL43" s="167"/>
      <c r="AM43" s="167"/>
      <c r="AN43" s="169" t="s">
        <v>79</v>
      </c>
      <c r="AO43" s="169">
        <v>2067</v>
      </c>
      <c r="AP43" s="171">
        <v>49000</v>
      </c>
      <c r="AQ43" s="171">
        <v>4900</v>
      </c>
      <c r="AR43" s="171">
        <v>5880</v>
      </c>
      <c r="AS43" s="171">
        <v>2940</v>
      </c>
      <c r="AT43" s="171">
        <v>62720</v>
      </c>
      <c r="AU43" s="171">
        <v>6272</v>
      </c>
      <c r="AV43" s="172">
        <v>1097.5999999999999</v>
      </c>
      <c r="AW43" s="169">
        <v>5</v>
      </c>
      <c r="AX43" s="171">
        <v>4730.7692307692305</v>
      </c>
      <c r="AY43" s="169">
        <v>26</v>
      </c>
      <c r="AZ43" s="171">
        <v>3322.916666666667</v>
      </c>
      <c r="BA43" s="172">
        <v>53942.547435897439</v>
      </c>
      <c r="BB43" s="172">
        <v>647310.5692307693</v>
      </c>
      <c r="BC43" s="172">
        <v>77677.268307692313</v>
      </c>
    </row>
    <row r="44" spans="1:55" ht="18" customHeight="1" x14ac:dyDescent="0.25">
      <c r="A44" s="304">
        <v>42</v>
      </c>
      <c r="B44" s="305">
        <v>1041</v>
      </c>
      <c r="C44" s="306" t="s">
        <v>313</v>
      </c>
      <c r="D44" s="306" t="s">
        <v>616</v>
      </c>
      <c r="E44" s="306" t="s">
        <v>1887</v>
      </c>
      <c r="F44" s="307">
        <v>13000</v>
      </c>
      <c r="G44" s="307">
        <v>1300</v>
      </c>
      <c r="H44" s="307">
        <v>1560</v>
      </c>
      <c r="I44" s="307">
        <f t="shared" si="1"/>
        <v>130</v>
      </c>
      <c r="J44" s="307">
        <v>780</v>
      </c>
      <c r="K44" s="307">
        <v>16640</v>
      </c>
      <c r="L44" s="307">
        <v>1664</v>
      </c>
      <c r="M44" s="307">
        <v>291.20000000000005</v>
      </c>
      <c r="N44" s="308">
        <v>5</v>
      </c>
      <c r="O44" s="307">
        <f t="shared" si="9"/>
        <v>2500</v>
      </c>
      <c r="P44" s="308">
        <v>12</v>
      </c>
      <c r="Q44" s="307">
        <f t="shared" si="10"/>
        <v>812.5</v>
      </c>
      <c r="R44" s="301">
        <f t="shared" si="5"/>
        <v>12997.3</v>
      </c>
      <c r="S44" s="309">
        <f t="shared" si="8"/>
        <v>155967.59999999998</v>
      </c>
      <c r="T44" s="310">
        <f t="shared" si="6"/>
        <v>18716.111999999997</v>
      </c>
      <c r="V44" s="167"/>
      <c r="W44" s="167" t="str">
        <f ca="1"/>
        <v>arjun</v>
      </c>
      <c r="X44" s="167" t="str">
        <f ca="1"/>
        <v>employe</v>
      </c>
      <c r="Y44" s="174" t="str">
        <f ca="1"/>
        <v>Marketing</v>
      </c>
      <c r="Z44" s="174">
        <f ca="1"/>
        <v>20000</v>
      </c>
      <c r="AA44" s="174">
        <f ca="1"/>
        <v>2000</v>
      </c>
      <c r="AB44" s="174">
        <f ca="1"/>
        <v>2400</v>
      </c>
      <c r="AC44" s="174">
        <f ca="1"/>
        <v>200</v>
      </c>
      <c r="AD44" s="174">
        <f ca="1"/>
        <v>1200</v>
      </c>
      <c r="AE44" s="174">
        <f ca="1"/>
        <v>25600</v>
      </c>
      <c r="AF44" s="167">
        <f ca="1"/>
        <v>2560</v>
      </c>
      <c r="AG44" s="174">
        <f ca="1"/>
        <v>448.00000000000006</v>
      </c>
      <c r="AH44" s="167">
        <f ca="1"/>
        <v>4</v>
      </c>
      <c r="AI44" s="174">
        <f ca="1"/>
        <v>3076.9230769230771</v>
      </c>
      <c r="AJ44" s="174">
        <f ca="1"/>
        <v>13</v>
      </c>
      <c r="AK44" s="167"/>
      <c r="AL44" s="167"/>
      <c r="AM44" s="167"/>
      <c r="AN44" s="169" t="s">
        <v>616</v>
      </c>
      <c r="AO44" s="169">
        <v>2067</v>
      </c>
      <c r="AP44" s="171">
        <v>49000</v>
      </c>
      <c r="AQ44" s="171">
        <v>4900</v>
      </c>
      <c r="AR44" s="171">
        <v>5880</v>
      </c>
      <c r="AS44" s="171">
        <v>2940</v>
      </c>
      <c r="AT44" s="171">
        <v>62720</v>
      </c>
      <c r="AU44" s="171">
        <v>6272</v>
      </c>
      <c r="AV44" s="172">
        <v>1097.5999999999999</v>
      </c>
      <c r="AW44" s="169">
        <v>5</v>
      </c>
      <c r="AX44" s="171">
        <v>4730.7692307692305</v>
      </c>
      <c r="AY44" s="169">
        <v>26</v>
      </c>
      <c r="AZ44" s="171">
        <v>3322.916666666667</v>
      </c>
      <c r="BA44" s="172">
        <v>53942.547435897439</v>
      </c>
      <c r="BB44" s="172">
        <v>647310.5692307693</v>
      </c>
      <c r="BC44" s="172">
        <v>77677.268307692313</v>
      </c>
    </row>
    <row r="45" spans="1:55" ht="18" customHeight="1" x14ac:dyDescent="0.25">
      <c r="A45" s="296">
        <v>43</v>
      </c>
      <c r="B45" s="297">
        <v>1042</v>
      </c>
      <c r="C45" s="298" t="s">
        <v>319</v>
      </c>
      <c r="D45" s="298" t="s">
        <v>616</v>
      </c>
      <c r="E45" s="298" t="s">
        <v>1033</v>
      </c>
      <c r="F45" s="299">
        <v>21000</v>
      </c>
      <c r="G45" s="299">
        <v>2100</v>
      </c>
      <c r="H45" s="299">
        <v>2520</v>
      </c>
      <c r="I45" s="299">
        <f t="shared" si="1"/>
        <v>210</v>
      </c>
      <c r="J45" s="299">
        <v>1260</v>
      </c>
      <c r="K45" s="299">
        <v>26880</v>
      </c>
      <c r="L45" s="299">
        <v>2688</v>
      </c>
      <c r="M45" s="299">
        <v>470.40000000000003</v>
      </c>
      <c r="N45" s="300">
        <v>3</v>
      </c>
      <c r="O45" s="299">
        <f t="shared" si="9"/>
        <v>2423.0769230769233</v>
      </c>
      <c r="P45" s="300">
        <v>14</v>
      </c>
      <c r="Q45" s="299">
        <f t="shared" si="10"/>
        <v>1531.25</v>
      </c>
      <c r="R45" s="301">
        <f t="shared" si="5"/>
        <v>22829.773076923077</v>
      </c>
      <c r="S45" s="302">
        <f t="shared" si="8"/>
        <v>273957.27692307695</v>
      </c>
      <c r="T45" s="303">
        <f t="shared" si="6"/>
        <v>32874.873230769233</v>
      </c>
      <c r="V45" s="167"/>
      <c r="W45" s="167" t="str">
        <f ca="1"/>
        <v>dinesh</v>
      </c>
      <c r="X45" s="167" t="str">
        <f ca="1"/>
        <v>employe</v>
      </c>
      <c r="Y45" s="174" t="str">
        <f ca="1"/>
        <v>Admin</v>
      </c>
      <c r="Z45" s="174">
        <f ca="1"/>
        <v>19000</v>
      </c>
      <c r="AA45" s="174">
        <f ca="1"/>
        <v>1900</v>
      </c>
      <c r="AB45" s="174">
        <f ca="1"/>
        <v>2280</v>
      </c>
      <c r="AC45" s="174">
        <f ca="1"/>
        <v>190</v>
      </c>
      <c r="AD45" s="174">
        <f ca="1"/>
        <v>1140</v>
      </c>
      <c r="AE45" s="174">
        <f ca="1"/>
        <v>24320</v>
      </c>
      <c r="AF45" s="167">
        <f ca="1"/>
        <v>2432</v>
      </c>
      <c r="AG45" s="174">
        <f ca="1"/>
        <v>425.6</v>
      </c>
      <c r="AH45" s="167">
        <f ca="1"/>
        <v>2</v>
      </c>
      <c r="AI45" s="174">
        <f ca="1"/>
        <v>1461.5384615384614</v>
      </c>
      <c r="AJ45" s="174">
        <f ca="1"/>
        <v>13</v>
      </c>
      <c r="AK45" s="167"/>
      <c r="AL45" s="167"/>
      <c r="AM45" s="167"/>
      <c r="AN45" s="169" t="s">
        <v>75</v>
      </c>
      <c r="AO45" s="169">
        <v>3037</v>
      </c>
      <c r="AP45" s="171">
        <v>80000</v>
      </c>
      <c r="AQ45" s="171">
        <v>8000</v>
      </c>
      <c r="AR45" s="171">
        <v>9600</v>
      </c>
      <c r="AS45" s="171">
        <v>4800</v>
      </c>
      <c r="AT45" s="171">
        <v>102400</v>
      </c>
      <c r="AU45" s="171">
        <v>10240</v>
      </c>
      <c r="AV45" s="172">
        <v>1792.0000000000002</v>
      </c>
      <c r="AW45" s="169">
        <v>11</v>
      </c>
      <c r="AX45" s="171">
        <v>11615.384615384615</v>
      </c>
      <c r="AY45" s="169">
        <v>43</v>
      </c>
      <c r="AZ45" s="171">
        <v>5833.3333333333339</v>
      </c>
      <c r="BA45" s="172">
        <v>84585.948717948719</v>
      </c>
      <c r="BB45" s="172">
        <v>1015031.3846153845</v>
      </c>
      <c r="BC45" s="172">
        <v>121803.76615384614</v>
      </c>
    </row>
    <row r="46" spans="1:55" ht="18" customHeight="1" x14ac:dyDescent="0.25">
      <c r="A46" s="304">
        <v>44</v>
      </c>
      <c r="B46" s="305">
        <v>1043</v>
      </c>
      <c r="C46" s="306" t="s">
        <v>325</v>
      </c>
      <c r="D46" s="306" t="s">
        <v>616</v>
      </c>
      <c r="E46" s="306" t="s">
        <v>1888</v>
      </c>
      <c r="F46" s="307">
        <v>10000</v>
      </c>
      <c r="G46" s="307">
        <v>1000</v>
      </c>
      <c r="H46" s="307">
        <v>1200</v>
      </c>
      <c r="I46" s="307">
        <f t="shared" si="1"/>
        <v>100</v>
      </c>
      <c r="J46" s="307">
        <v>600</v>
      </c>
      <c r="K46" s="307">
        <v>12800</v>
      </c>
      <c r="L46" s="307">
        <v>1280</v>
      </c>
      <c r="M46" s="307">
        <v>224.00000000000003</v>
      </c>
      <c r="N46" s="308">
        <v>5</v>
      </c>
      <c r="O46" s="307">
        <f t="shared" si="9"/>
        <v>1923.0769230769233</v>
      </c>
      <c r="P46" s="308">
        <v>14</v>
      </c>
      <c r="Q46" s="307">
        <f t="shared" si="10"/>
        <v>729.16666666666674</v>
      </c>
      <c r="R46" s="301">
        <f t="shared" si="5"/>
        <v>10102.089743589742</v>
      </c>
      <c r="S46" s="309">
        <f t="shared" si="8"/>
        <v>121225.07692307691</v>
      </c>
      <c r="T46" s="310">
        <f t="shared" si="6"/>
        <v>14547.009230769228</v>
      </c>
      <c r="V46" s="167"/>
      <c r="W46" s="167" t="str">
        <f ca="1"/>
        <v>sudeep</v>
      </c>
      <c r="X46" s="167" t="str">
        <f ca="1"/>
        <v>employe</v>
      </c>
      <c r="Y46" s="174" t="str">
        <f ca="1"/>
        <v>Procurement</v>
      </c>
      <c r="Z46" s="174">
        <f ca="1"/>
        <v>16000</v>
      </c>
      <c r="AA46" s="174">
        <f ca="1"/>
        <v>1600</v>
      </c>
      <c r="AB46" s="174">
        <f ca="1"/>
        <v>1920</v>
      </c>
      <c r="AC46" s="174">
        <f ca="1"/>
        <v>160</v>
      </c>
      <c r="AD46" s="174">
        <f ca="1"/>
        <v>960</v>
      </c>
      <c r="AE46" s="174">
        <f ca="1"/>
        <v>20480</v>
      </c>
      <c r="AF46" s="167">
        <f ca="1"/>
        <v>2048</v>
      </c>
      <c r="AG46" s="174">
        <f ca="1"/>
        <v>358.40000000000003</v>
      </c>
      <c r="AH46" s="167">
        <f ca="1"/>
        <v>5</v>
      </c>
      <c r="AI46" s="174">
        <f ca="1"/>
        <v>3076.9230769230767</v>
      </c>
      <c r="AJ46" s="174">
        <f ca="1"/>
        <v>13</v>
      </c>
      <c r="AK46" s="167"/>
      <c r="AL46" s="167"/>
      <c r="AM46" s="167"/>
      <c r="AN46" s="169" t="s">
        <v>616</v>
      </c>
      <c r="AO46" s="169">
        <v>2035</v>
      </c>
      <c r="AP46" s="171">
        <v>40000</v>
      </c>
      <c r="AQ46" s="171">
        <v>4000</v>
      </c>
      <c r="AR46" s="171">
        <v>4800</v>
      </c>
      <c r="AS46" s="171">
        <v>2400</v>
      </c>
      <c r="AT46" s="171">
        <v>51200</v>
      </c>
      <c r="AU46" s="171">
        <v>5120</v>
      </c>
      <c r="AV46" s="172">
        <v>896.00000000000011</v>
      </c>
      <c r="AW46" s="169">
        <v>7</v>
      </c>
      <c r="AX46" s="171">
        <v>5461.538461538461</v>
      </c>
      <c r="AY46" s="169">
        <v>30</v>
      </c>
      <c r="AZ46" s="171">
        <v>3125</v>
      </c>
      <c r="BA46" s="172">
        <v>42847.461538461532</v>
      </c>
      <c r="BB46" s="172">
        <v>514169.53846153844</v>
      </c>
      <c r="BC46" s="172">
        <v>61700.344615384609</v>
      </c>
    </row>
    <row r="47" spans="1:55" ht="18" customHeight="1" x14ac:dyDescent="0.25">
      <c r="A47" s="296">
        <v>45</v>
      </c>
      <c r="B47" s="297">
        <v>1044</v>
      </c>
      <c r="C47" s="298" t="s">
        <v>144</v>
      </c>
      <c r="D47" s="298" t="s">
        <v>616</v>
      </c>
      <c r="E47" s="298" t="s">
        <v>1889</v>
      </c>
      <c r="F47" s="299">
        <v>29000</v>
      </c>
      <c r="G47" s="299">
        <v>2900</v>
      </c>
      <c r="H47" s="299">
        <v>3480</v>
      </c>
      <c r="I47" s="299">
        <f t="shared" si="1"/>
        <v>290</v>
      </c>
      <c r="J47" s="299">
        <v>1740</v>
      </c>
      <c r="K47" s="299">
        <v>37120</v>
      </c>
      <c r="L47" s="299">
        <v>3712</v>
      </c>
      <c r="M47" s="299">
        <v>649.6</v>
      </c>
      <c r="N47" s="300">
        <v>5</v>
      </c>
      <c r="O47" s="299">
        <f t="shared" si="9"/>
        <v>5576.9230769230771</v>
      </c>
      <c r="P47" s="300">
        <v>12</v>
      </c>
      <c r="Q47" s="299">
        <f t="shared" si="10"/>
        <v>1812.5</v>
      </c>
      <c r="R47" s="301">
        <f t="shared" si="5"/>
        <v>28993.976923076923</v>
      </c>
      <c r="S47" s="302">
        <f t="shared" si="8"/>
        <v>347927.72307692305</v>
      </c>
      <c r="T47" s="303">
        <f t="shared" si="6"/>
        <v>41751.326769230764</v>
      </c>
      <c r="V47" s="167"/>
      <c r="W47" s="167" t="str">
        <f ca="1"/>
        <v>gorev</v>
      </c>
      <c r="X47" s="167" t="str">
        <f ca="1"/>
        <v>employe</v>
      </c>
      <c r="Y47" s="174" t="str">
        <f ca="1"/>
        <v>Quality</v>
      </c>
      <c r="Z47" s="174">
        <f ca="1"/>
        <v>21000</v>
      </c>
      <c r="AA47" s="174">
        <f ca="1"/>
        <v>2100</v>
      </c>
      <c r="AB47" s="174">
        <f ca="1"/>
        <v>2520</v>
      </c>
      <c r="AC47" s="174">
        <f ca="1"/>
        <v>210</v>
      </c>
      <c r="AD47" s="174">
        <f ca="1"/>
        <v>1260</v>
      </c>
      <c r="AE47" s="174">
        <f ca="1"/>
        <v>26880</v>
      </c>
      <c r="AF47" s="167">
        <f ca="1"/>
        <v>2688</v>
      </c>
      <c r="AG47" s="174">
        <f ca="1"/>
        <v>470.40000000000003</v>
      </c>
      <c r="AH47" s="167">
        <f ca="1"/>
        <v>2</v>
      </c>
      <c r="AI47" s="174">
        <f ca="1"/>
        <v>1615.3846153846155</v>
      </c>
      <c r="AJ47" s="174">
        <f ca="1"/>
        <v>14</v>
      </c>
      <c r="AK47" s="167"/>
      <c r="AL47" s="167"/>
      <c r="AM47" s="167"/>
      <c r="AN47" s="169" t="s">
        <v>615</v>
      </c>
      <c r="AO47" s="169">
        <v>1002</v>
      </c>
      <c r="AP47" s="171">
        <v>40000</v>
      </c>
      <c r="AQ47" s="171">
        <v>4000</v>
      </c>
      <c r="AR47" s="171">
        <v>4800</v>
      </c>
      <c r="AS47" s="171">
        <v>2400</v>
      </c>
      <c r="AT47" s="171">
        <v>51200</v>
      </c>
      <c r="AU47" s="171">
        <v>5120</v>
      </c>
      <c r="AV47" s="172">
        <v>896.00000000000011</v>
      </c>
      <c r="AW47" s="169">
        <v>4</v>
      </c>
      <c r="AX47" s="171">
        <v>6153.8461538461543</v>
      </c>
      <c r="AY47" s="169">
        <v>13</v>
      </c>
      <c r="AZ47" s="171">
        <v>2708.3333333333335</v>
      </c>
      <c r="BA47" s="172">
        <v>41738.48717948718</v>
      </c>
      <c r="BB47" s="172">
        <v>500861.84615384613</v>
      </c>
      <c r="BC47" s="172">
        <v>60103.421538461531</v>
      </c>
    </row>
    <row r="48" spans="1:55" ht="18" customHeight="1" x14ac:dyDescent="0.25">
      <c r="A48" s="304">
        <v>46</v>
      </c>
      <c r="B48" s="305">
        <v>1045</v>
      </c>
      <c r="C48" s="306" t="s">
        <v>336</v>
      </c>
      <c r="D48" s="306" t="s">
        <v>616</v>
      </c>
      <c r="E48" s="306" t="s">
        <v>1890</v>
      </c>
      <c r="F48" s="307">
        <v>20000</v>
      </c>
      <c r="G48" s="307">
        <v>2000</v>
      </c>
      <c r="H48" s="307">
        <v>2400</v>
      </c>
      <c r="I48" s="307">
        <f t="shared" si="1"/>
        <v>200</v>
      </c>
      <c r="J48" s="307">
        <v>1200</v>
      </c>
      <c r="K48" s="307">
        <v>25600</v>
      </c>
      <c r="L48" s="307">
        <v>2560</v>
      </c>
      <c r="M48" s="307">
        <v>448.00000000000006</v>
      </c>
      <c r="N48" s="308">
        <v>3</v>
      </c>
      <c r="O48" s="307">
        <f t="shared" si="9"/>
        <v>2307.6923076923076</v>
      </c>
      <c r="P48" s="308">
        <v>15</v>
      </c>
      <c r="Q48" s="307">
        <f t="shared" si="10"/>
        <v>1562.5</v>
      </c>
      <c r="R48" s="301">
        <f t="shared" si="5"/>
        <v>21846.807692307691</v>
      </c>
      <c r="S48" s="309">
        <f t="shared" si="8"/>
        <v>262161.69230769231</v>
      </c>
      <c r="T48" s="310">
        <f t="shared" si="6"/>
        <v>31459.403076923078</v>
      </c>
      <c r="V48" s="167"/>
      <c r="W48" s="167" t="str">
        <f ca="1"/>
        <v>ushank</v>
      </c>
      <c r="X48" s="167" t="str">
        <f ca="1"/>
        <v>employe</v>
      </c>
      <c r="Y48" s="174" t="str">
        <f ca="1"/>
        <v>Sales</v>
      </c>
      <c r="Z48" s="174">
        <f ca="1"/>
        <v>16000</v>
      </c>
      <c r="AA48" s="174">
        <f ca="1"/>
        <v>1600</v>
      </c>
      <c r="AB48" s="174">
        <f ca="1"/>
        <v>1920</v>
      </c>
      <c r="AC48" s="174">
        <f ca="1"/>
        <v>160</v>
      </c>
      <c r="AD48" s="174">
        <f ca="1"/>
        <v>960</v>
      </c>
      <c r="AE48" s="174">
        <f ca="1"/>
        <v>20480</v>
      </c>
      <c r="AF48" s="167">
        <f ca="1"/>
        <v>2048</v>
      </c>
      <c r="AG48" s="174">
        <f ca="1"/>
        <v>358.40000000000003</v>
      </c>
      <c r="AH48" s="167">
        <f ca="1"/>
        <v>3</v>
      </c>
      <c r="AI48" s="174">
        <f ca="1"/>
        <v>1846.1538461538462</v>
      </c>
      <c r="AJ48" s="174">
        <f ca="1"/>
        <v>15</v>
      </c>
      <c r="AK48" s="167"/>
      <c r="AL48" s="167"/>
      <c r="AM48" s="167"/>
      <c r="AN48" s="169" t="s">
        <v>131</v>
      </c>
      <c r="AO48" s="169">
        <v>2078</v>
      </c>
      <c r="AP48" s="171">
        <v>40000</v>
      </c>
      <c r="AQ48" s="171">
        <v>4000</v>
      </c>
      <c r="AR48" s="171">
        <v>4800</v>
      </c>
      <c r="AS48" s="171">
        <v>2400</v>
      </c>
      <c r="AT48" s="171">
        <v>51200</v>
      </c>
      <c r="AU48" s="171">
        <v>5120</v>
      </c>
      <c r="AV48" s="172">
        <v>896</v>
      </c>
      <c r="AW48" s="169">
        <v>8</v>
      </c>
      <c r="AX48" s="171">
        <v>6153.8461538461543</v>
      </c>
      <c r="AY48" s="169">
        <v>25</v>
      </c>
      <c r="AZ48" s="171">
        <v>2557.2916666666665</v>
      </c>
      <c r="BA48" s="172">
        <v>41587.445512820515</v>
      </c>
      <c r="BB48" s="172">
        <v>499049.34615384613</v>
      </c>
      <c r="BC48" s="172">
        <v>59885.921538461538</v>
      </c>
    </row>
    <row r="49" spans="1:55" ht="18" customHeight="1" x14ac:dyDescent="0.25">
      <c r="A49" s="296">
        <v>47</v>
      </c>
      <c r="B49" s="297">
        <v>1046</v>
      </c>
      <c r="C49" s="298" t="s">
        <v>342</v>
      </c>
      <c r="D49" s="298" t="s">
        <v>616</v>
      </c>
      <c r="E49" s="298" t="s">
        <v>1468</v>
      </c>
      <c r="F49" s="299">
        <v>20000</v>
      </c>
      <c r="G49" s="299">
        <v>2000</v>
      </c>
      <c r="H49" s="299">
        <v>2400</v>
      </c>
      <c r="I49" s="299">
        <f t="shared" si="1"/>
        <v>200</v>
      </c>
      <c r="J49" s="299">
        <v>1200</v>
      </c>
      <c r="K49" s="299">
        <v>25600</v>
      </c>
      <c r="L49" s="299">
        <v>2560</v>
      </c>
      <c r="M49" s="299">
        <v>448.00000000000006</v>
      </c>
      <c r="N49" s="300">
        <v>2</v>
      </c>
      <c r="O49" s="299">
        <f t="shared" si="9"/>
        <v>1538.4615384615386</v>
      </c>
      <c r="P49" s="300">
        <v>12</v>
      </c>
      <c r="Q49" s="299">
        <f t="shared" si="10"/>
        <v>1250</v>
      </c>
      <c r="R49" s="301">
        <f t="shared" si="5"/>
        <v>22303.538461538461</v>
      </c>
      <c r="S49" s="302">
        <f t="shared" si="8"/>
        <v>267642.4615384615</v>
      </c>
      <c r="T49" s="303">
        <f t="shared" si="6"/>
        <v>32117.095384615379</v>
      </c>
      <c r="V49" s="167"/>
      <c r="W49" s="167" t="str">
        <f ca="1"/>
        <v>ashu</v>
      </c>
      <c r="X49" s="167" t="str">
        <f ca="1"/>
        <v>employe</v>
      </c>
      <c r="Y49" s="174" t="str">
        <f ca="1"/>
        <v>Production</v>
      </c>
      <c r="Z49" s="174">
        <f ca="1"/>
        <v>29000</v>
      </c>
      <c r="AA49" s="174">
        <f ca="1"/>
        <v>2900</v>
      </c>
      <c r="AB49" s="174">
        <f ca="1"/>
        <v>3480</v>
      </c>
      <c r="AC49" s="174">
        <f ca="1"/>
        <v>290</v>
      </c>
      <c r="AD49" s="174">
        <f ca="1"/>
        <v>1740</v>
      </c>
      <c r="AE49" s="174">
        <f ca="1"/>
        <v>37120</v>
      </c>
      <c r="AF49" s="167">
        <f ca="1"/>
        <v>3712</v>
      </c>
      <c r="AG49" s="174">
        <f ca="1"/>
        <v>649.6</v>
      </c>
      <c r="AH49" s="167">
        <f ca="1"/>
        <v>2</v>
      </c>
      <c r="AI49" s="174">
        <f ca="1"/>
        <v>2230.7692307692309</v>
      </c>
      <c r="AJ49" s="174">
        <f ca="1"/>
        <v>15</v>
      </c>
      <c r="AK49" s="167"/>
      <c r="AL49" s="167"/>
      <c r="AM49" s="167"/>
      <c r="AN49" s="169" t="s">
        <v>616</v>
      </c>
      <c r="AO49" s="169">
        <v>2078</v>
      </c>
      <c r="AP49" s="171">
        <v>40000</v>
      </c>
      <c r="AQ49" s="171">
        <v>4000</v>
      </c>
      <c r="AR49" s="171">
        <v>4800</v>
      </c>
      <c r="AS49" s="171">
        <v>2400</v>
      </c>
      <c r="AT49" s="171">
        <v>51200</v>
      </c>
      <c r="AU49" s="171">
        <v>5120</v>
      </c>
      <c r="AV49" s="172">
        <v>896</v>
      </c>
      <c r="AW49" s="169">
        <v>8</v>
      </c>
      <c r="AX49" s="171">
        <v>6153.8461538461543</v>
      </c>
      <c r="AY49" s="169">
        <v>25</v>
      </c>
      <c r="AZ49" s="171">
        <v>2557.2916666666665</v>
      </c>
      <c r="BA49" s="172">
        <v>41587.445512820515</v>
      </c>
      <c r="BB49" s="172">
        <v>499049.34615384613</v>
      </c>
      <c r="BC49" s="172">
        <v>59885.921538461538</v>
      </c>
    </row>
    <row r="50" spans="1:55" ht="18" customHeight="1" x14ac:dyDescent="0.25">
      <c r="A50" s="304">
        <v>48</v>
      </c>
      <c r="B50" s="305">
        <v>1047</v>
      </c>
      <c r="C50" s="306" t="s">
        <v>348</v>
      </c>
      <c r="D50" s="306" t="s">
        <v>616</v>
      </c>
      <c r="E50" s="306" t="s">
        <v>1884</v>
      </c>
      <c r="F50" s="307">
        <v>18000</v>
      </c>
      <c r="G50" s="307">
        <v>1800</v>
      </c>
      <c r="H50" s="307">
        <v>2160</v>
      </c>
      <c r="I50" s="307">
        <f t="shared" si="1"/>
        <v>180</v>
      </c>
      <c r="J50" s="307">
        <v>1080</v>
      </c>
      <c r="K50" s="307">
        <v>23040</v>
      </c>
      <c r="L50" s="307">
        <v>2304</v>
      </c>
      <c r="M50" s="307">
        <v>403.20000000000005</v>
      </c>
      <c r="N50" s="308">
        <v>5</v>
      </c>
      <c r="O50" s="307">
        <f t="shared" si="9"/>
        <v>3461.5384615384614</v>
      </c>
      <c r="P50" s="308">
        <v>13</v>
      </c>
      <c r="Q50" s="307">
        <f t="shared" si="10"/>
        <v>1218.75</v>
      </c>
      <c r="R50" s="301">
        <f t="shared" si="5"/>
        <v>18090.011538461538</v>
      </c>
      <c r="S50" s="309">
        <f t="shared" si="8"/>
        <v>217080.13846153847</v>
      </c>
      <c r="T50" s="310">
        <f t="shared" si="6"/>
        <v>26049.616615384617</v>
      </c>
      <c r="V50" s="167"/>
      <c r="W50" s="167" t="str">
        <f ca="1"/>
        <v>anshu</v>
      </c>
      <c r="X50" s="167" t="str">
        <f ca="1"/>
        <v>employe</v>
      </c>
      <c r="Y50" s="174" t="str">
        <f ca="1"/>
        <v>Finance</v>
      </c>
      <c r="Z50" s="174">
        <f ca="1"/>
        <v>16000</v>
      </c>
      <c r="AA50" s="174">
        <f ca="1"/>
        <v>1600</v>
      </c>
      <c r="AB50" s="174">
        <f ca="1"/>
        <v>1920</v>
      </c>
      <c r="AC50" s="174">
        <f ca="1"/>
        <v>160</v>
      </c>
      <c r="AD50" s="174">
        <f ca="1"/>
        <v>960</v>
      </c>
      <c r="AE50" s="174">
        <f ca="1"/>
        <v>20480</v>
      </c>
      <c r="AF50" s="167">
        <f ca="1"/>
        <v>2048</v>
      </c>
      <c r="AG50" s="174">
        <f ca="1"/>
        <v>358.40000000000003</v>
      </c>
      <c r="AH50" s="167">
        <f ca="1"/>
        <v>5</v>
      </c>
      <c r="AI50" s="174">
        <f ca="1"/>
        <v>3076.9230769230767</v>
      </c>
      <c r="AJ50" s="174">
        <f ca="1"/>
        <v>15</v>
      </c>
      <c r="AK50" s="167"/>
      <c r="AL50" s="167"/>
      <c r="AM50" s="167"/>
      <c r="AN50" s="169" t="s">
        <v>62</v>
      </c>
      <c r="AO50" s="169">
        <v>1000</v>
      </c>
      <c r="AP50" s="171">
        <v>50000</v>
      </c>
      <c r="AQ50" s="171">
        <v>5000</v>
      </c>
      <c r="AR50" s="171">
        <v>6000</v>
      </c>
      <c r="AS50" s="171">
        <v>3000</v>
      </c>
      <c r="AT50" s="171">
        <v>64000</v>
      </c>
      <c r="AU50" s="171">
        <v>6400</v>
      </c>
      <c r="AV50" s="172">
        <v>1120</v>
      </c>
      <c r="AW50" s="169">
        <v>3</v>
      </c>
      <c r="AX50" s="171">
        <v>5769.2307692307695</v>
      </c>
      <c r="AY50" s="169">
        <v>15</v>
      </c>
      <c r="AZ50" s="171">
        <v>3125</v>
      </c>
      <c r="BA50" s="172">
        <v>53835.769230769234</v>
      </c>
      <c r="BB50" s="172">
        <v>646029.23076923075</v>
      </c>
      <c r="BC50" s="172">
        <v>77523.507692307685</v>
      </c>
    </row>
    <row r="51" spans="1:55" ht="18" customHeight="1" x14ac:dyDescent="0.25">
      <c r="A51" s="296">
        <v>49</v>
      </c>
      <c r="B51" s="297">
        <v>1048</v>
      </c>
      <c r="C51" s="298" t="s">
        <v>354</v>
      </c>
      <c r="D51" s="298" t="s">
        <v>616</v>
      </c>
      <c r="E51" s="298" t="s">
        <v>1885</v>
      </c>
      <c r="F51" s="299">
        <v>17000</v>
      </c>
      <c r="G51" s="299">
        <v>1700</v>
      </c>
      <c r="H51" s="299">
        <v>2040</v>
      </c>
      <c r="I51" s="299">
        <f t="shared" si="1"/>
        <v>170</v>
      </c>
      <c r="J51" s="299">
        <v>1020</v>
      </c>
      <c r="K51" s="299">
        <v>21760</v>
      </c>
      <c r="L51" s="299">
        <v>2176</v>
      </c>
      <c r="M51" s="299">
        <v>380.8</v>
      </c>
      <c r="N51" s="300">
        <v>4</v>
      </c>
      <c r="O51" s="299">
        <f t="shared" si="9"/>
        <v>2615.3846153846152</v>
      </c>
      <c r="P51" s="300">
        <v>13</v>
      </c>
      <c r="Q51" s="299">
        <f t="shared" si="10"/>
        <v>1151.0416666666667</v>
      </c>
      <c r="R51" s="301">
        <f t="shared" si="5"/>
        <v>17738.857051282055</v>
      </c>
      <c r="S51" s="302">
        <f t="shared" si="8"/>
        <v>212866.28461538465</v>
      </c>
      <c r="T51" s="303">
        <f t="shared" si="6"/>
        <v>25543.954153846156</v>
      </c>
      <c r="V51" s="167"/>
      <c r="W51" s="167" t="str">
        <f ca="1"/>
        <v>arman</v>
      </c>
      <c r="X51" s="167" t="str">
        <f ca="1"/>
        <v>employe</v>
      </c>
      <c r="Y51" s="174" t="str">
        <f ca="1"/>
        <v>HR</v>
      </c>
      <c r="Z51" s="174">
        <f ca="1"/>
        <v>14000</v>
      </c>
      <c r="AA51" s="174">
        <f ca="1"/>
        <v>1400</v>
      </c>
      <c r="AB51" s="174">
        <f ca="1"/>
        <v>1680</v>
      </c>
      <c r="AC51" s="174">
        <f ca="1"/>
        <v>140</v>
      </c>
      <c r="AD51" s="174">
        <f ca="1"/>
        <v>840</v>
      </c>
      <c r="AE51" s="174">
        <f ca="1"/>
        <v>17920</v>
      </c>
      <c r="AF51" s="167">
        <f ca="1"/>
        <v>1792</v>
      </c>
      <c r="AG51" s="174">
        <f ca="1"/>
        <v>313.60000000000002</v>
      </c>
      <c r="AH51" s="167">
        <f ca="1"/>
        <v>4</v>
      </c>
      <c r="AI51" s="174">
        <f ca="1"/>
        <v>2153.8461538461538</v>
      </c>
      <c r="AJ51" s="174">
        <f ca="1"/>
        <v>14</v>
      </c>
      <c r="AK51" s="167"/>
      <c r="AL51" s="167"/>
      <c r="AM51" s="167"/>
      <c r="AN51" s="169" t="s">
        <v>615</v>
      </c>
      <c r="AO51" s="169">
        <v>1000</v>
      </c>
      <c r="AP51" s="171">
        <v>50000</v>
      </c>
      <c r="AQ51" s="171">
        <v>5000</v>
      </c>
      <c r="AR51" s="171">
        <v>6000</v>
      </c>
      <c r="AS51" s="171">
        <v>3000</v>
      </c>
      <c r="AT51" s="171">
        <v>64000</v>
      </c>
      <c r="AU51" s="171">
        <v>6400</v>
      </c>
      <c r="AV51" s="172">
        <v>1120</v>
      </c>
      <c r="AW51" s="169">
        <v>3</v>
      </c>
      <c r="AX51" s="171">
        <v>5769.2307692307695</v>
      </c>
      <c r="AY51" s="169">
        <v>15</v>
      </c>
      <c r="AZ51" s="171">
        <v>3125</v>
      </c>
      <c r="BA51" s="172">
        <v>53835.769230769234</v>
      </c>
      <c r="BB51" s="172">
        <v>646029.23076923075</v>
      </c>
      <c r="BC51" s="172">
        <v>77523.507692307685</v>
      </c>
    </row>
    <row r="52" spans="1:55" ht="18" customHeight="1" x14ac:dyDescent="0.25">
      <c r="A52" s="304">
        <v>50</v>
      </c>
      <c r="B52" s="305">
        <v>1049</v>
      </c>
      <c r="C52" s="306" t="s">
        <v>360</v>
      </c>
      <c r="D52" s="306" t="s">
        <v>616</v>
      </c>
      <c r="E52" s="306" t="s">
        <v>895</v>
      </c>
      <c r="F52" s="307">
        <v>22000</v>
      </c>
      <c r="G52" s="307">
        <v>2200</v>
      </c>
      <c r="H52" s="307">
        <v>2640</v>
      </c>
      <c r="I52" s="307">
        <f t="shared" si="1"/>
        <v>220</v>
      </c>
      <c r="J52" s="307">
        <v>1320</v>
      </c>
      <c r="K52" s="307">
        <v>28160</v>
      </c>
      <c r="L52" s="307">
        <v>2816</v>
      </c>
      <c r="M52" s="307">
        <v>492.80000000000007</v>
      </c>
      <c r="N52" s="308">
        <v>3</v>
      </c>
      <c r="O52" s="307">
        <f t="shared" si="9"/>
        <v>2538.4615384615386</v>
      </c>
      <c r="P52" s="308">
        <v>12</v>
      </c>
      <c r="Q52" s="307">
        <f t="shared" si="10"/>
        <v>1375</v>
      </c>
      <c r="R52" s="301">
        <f t="shared" si="5"/>
        <v>23687.738461538462</v>
      </c>
      <c r="S52" s="309">
        <f t="shared" si="8"/>
        <v>284252.86153846153</v>
      </c>
      <c r="T52" s="310">
        <f t="shared" si="6"/>
        <v>34110.343384615378</v>
      </c>
      <c r="V52" s="167"/>
      <c r="W52" s="167" t="str">
        <f ca="1"/>
        <v>prakash</v>
      </c>
      <c r="X52" s="167" t="str">
        <f ca="1"/>
        <v>employe</v>
      </c>
      <c r="Y52" s="174" t="str">
        <f ca="1"/>
        <v>Operations</v>
      </c>
      <c r="Z52" s="174">
        <f ca="1"/>
        <v>12000</v>
      </c>
      <c r="AA52" s="174">
        <f ca="1"/>
        <v>1200</v>
      </c>
      <c r="AB52" s="174">
        <f ca="1"/>
        <v>1440</v>
      </c>
      <c r="AC52" s="174">
        <f ca="1"/>
        <v>120</v>
      </c>
      <c r="AD52" s="174">
        <f ca="1"/>
        <v>720</v>
      </c>
      <c r="AE52" s="174">
        <f ca="1"/>
        <v>15360</v>
      </c>
      <c r="AF52" s="167">
        <f ca="1"/>
        <v>1536</v>
      </c>
      <c r="AG52" s="174">
        <f ca="1"/>
        <v>268.8</v>
      </c>
      <c r="AH52" s="167">
        <f ca="1"/>
        <v>5</v>
      </c>
      <c r="AI52" s="174">
        <f ca="1"/>
        <v>2307.6923076923076</v>
      </c>
      <c r="AJ52" s="174">
        <f ca="1"/>
        <v>14</v>
      </c>
      <c r="AK52" s="167"/>
      <c r="AL52" s="167"/>
      <c r="AM52" s="167"/>
      <c r="AN52" s="169" t="s">
        <v>245</v>
      </c>
      <c r="AO52" s="169">
        <v>1030</v>
      </c>
      <c r="AP52" s="171">
        <v>29000</v>
      </c>
      <c r="AQ52" s="171">
        <v>2900</v>
      </c>
      <c r="AR52" s="171">
        <v>3480</v>
      </c>
      <c r="AS52" s="171">
        <v>1740</v>
      </c>
      <c r="AT52" s="171">
        <v>37120</v>
      </c>
      <c r="AU52" s="171">
        <v>3712</v>
      </c>
      <c r="AV52" s="172">
        <v>649.6</v>
      </c>
      <c r="AW52" s="169">
        <v>5</v>
      </c>
      <c r="AX52" s="171">
        <v>5576.9230769230771</v>
      </c>
      <c r="AY52" s="169">
        <v>15</v>
      </c>
      <c r="AZ52" s="171">
        <v>2265.625</v>
      </c>
      <c r="BA52" s="172">
        <v>29447.101923076923</v>
      </c>
      <c r="BB52" s="172">
        <v>353365.22307692305</v>
      </c>
      <c r="BC52" s="172">
        <v>42403.826769230764</v>
      </c>
    </row>
    <row r="53" spans="1:55" ht="18" customHeight="1" x14ac:dyDescent="0.25">
      <c r="A53" s="296">
        <v>51</v>
      </c>
      <c r="B53" s="297">
        <v>1050</v>
      </c>
      <c r="C53" s="298" t="s">
        <v>57</v>
      </c>
      <c r="D53" s="298" t="s">
        <v>616</v>
      </c>
      <c r="E53" s="298" t="s">
        <v>1886</v>
      </c>
      <c r="F53" s="299">
        <v>32000</v>
      </c>
      <c r="G53" s="299">
        <v>3200</v>
      </c>
      <c r="H53" s="299">
        <v>3840</v>
      </c>
      <c r="I53" s="299">
        <f t="shared" si="1"/>
        <v>320</v>
      </c>
      <c r="J53" s="299">
        <v>1920</v>
      </c>
      <c r="K53" s="299">
        <v>40960</v>
      </c>
      <c r="L53" s="299">
        <v>4096</v>
      </c>
      <c r="M53" s="299">
        <v>716.80000000000007</v>
      </c>
      <c r="N53" s="300">
        <v>4</v>
      </c>
      <c r="O53" s="299">
        <f t="shared" si="9"/>
        <v>4923.0769230769229</v>
      </c>
      <c r="P53" s="300">
        <v>15</v>
      </c>
      <c r="Q53" s="299">
        <f t="shared" si="10"/>
        <v>2500</v>
      </c>
      <c r="R53" s="301">
        <f t="shared" si="5"/>
        <v>33724.123076923075</v>
      </c>
      <c r="S53" s="302">
        <f t="shared" si="8"/>
        <v>404689.4769230769</v>
      </c>
      <c r="T53" s="303">
        <f t="shared" si="6"/>
        <v>48562.737230769228</v>
      </c>
      <c r="V53" s="167"/>
      <c r="W53" s="167"/>
      <c r="X53" s="167"/>
      <c r="Y53" s="167"/>
      <c r="Z53" s="167"/>
      <c r="AA53" s="167"/>
      <c r="AB53" s="167"/>
      <c r="AC53" s="167"/>
      <c r="AD53" s="167"/>
      <c r="AE53" s="167"/>
      <c r="AF53" s="167"/>
      <c r="AG53" s="167"/>
      <c r="AH53" s="167"/>
      <c r="AI53" s="167"/>
      <c r="AJ53" s="167"/>
      <c r="AK53" s="167"/>
      <c r="AL53" s="167"/>
      <c r="AM53" s="167"/>
      <c r="AN53" s="169" t="s">
        <v>616</v>
      </c>
      <c r="AO53" s="169">
        <v>1030</v>
      </c>
      <c r="AP53" s="171">
        <v>29000</v>
      </c>
      <c r="AQ53" s="171">
        <v>2900</v>
      </c>
      <c r="AR53" s="171">
        <v>3480</v>
      </c>
      <c r="AS53" s="171">
        <v>1740</v>
      </c>
      <c r="AT53" s="171">
        <v>37120</v>
      </c>
      <c r="AU53" s="171">
        <v>3712</v>
      </c>
      <c r="AV53" s="172">
        <v>649.6</v>
      </c>
      <c r="AW53" s="169">
        <v>5</v>
      </c>
      <c r="AX53" s="171">
        <v>5576.9230769230771</v>
      </c>
      <c r="AY53" s="169">
        <v>15</v>
      </c>
      <c r="AZ53" s="171">
        <v>2265.625</v>
      </c>
      <c r="BA53" s="172">
        <v>29447.101923076923</v>
      </c>
      <c r="BB53" s="172">
        <v>353365.22307692305</v>
      </c>
      <c r="BC53" s="172">
        <v>42403.826769230764</v>
      </c>
    </row>
    <row r="54" spans="1:55" ht="18" customHeight="1" x14ac:dyDescent="0.25">
      <c r="A54" s="304">
        <v>52</v>
      </c>
      <c r="B54" s="305">
        <v>1051</v>
      </c>
      <c r="C54" s="306" t="s">
        <v>66</v>
      </c>
      <c r="D54" s="306" t="s">
        <v>616</v>
      </c>
      <c r="E54" s="306" t="s">
        <v>1887</v>
      </c>
      <c r="F54" s="307">
        <v>26000</v>
      </c>
      <c r="G54" s="307">
        <v>2600</v>
      </c>
      <c r="H54" s="307">
        <v>3120</v>
      </c>
      <c r="I54" s="307">
        <f t="shared" si="1"/>
        <v>260</v>
      </c>
      <c r="J54" s="307">
        <v>1560</v>
      </c>
      <c r="K54" s="307">
        <v>33280</v>
      </c>
      <c r="L54" s="307">
        <v>3328</v>
      </c>
      <c r="M54" s="307">
        <v>582.40000000000009</v>
      </c>
      <c r="N54" s="308">
        <v>3</v>
      </c>
      <c r="O54" s="307">
        <f t="shared" si="9"/>
        <v>3000</v>
      </c>
      <c r="P54" s="308">
        <v>15</v>
      </c>
      <c r="Q54" s="307">
        <f t="shared" si="10"/>
        <v>2031.2499999999998</v>
      </c>
      <c r="R54" s="301">
        <f t="shared" si="5"/>
        <v>28400.85</v>
      </c>
      <c r="S54" s="309">
        <f t="shared" si="8"/>
        <v>340810.19999999995</v>
      </c>
      <c r="T54" s="310">
        <f t="shared" si="6"/>
        <v>40897.223999999995</v>
      </c>
      <c r="V54" s="167"/>
      <c r="W54" s="167"/>
      <c r="X54" s="167"/>
      <c r="Y54" s="167"/>
      <c r="Z54" s="167"/>
      <c r="AA54" s="167"/>
      <c r="AB54" s="167"/>
      <c r="AC54" s="167"/>
      <c r="AD54" s="167"/>
      <c r="AE54" s="167"/>
      <c r="AF54" s="167"/>
      <c r="AG54" s="167"/>
      <c r="AH54" s="167"/>
      <c r="AI54" s="167"/>
      <c r="AJ54" s="167"/>
      <c r="AK54" s="167"/>
      <c r="AL54" s="167"/>
      <c r="AM54" s="167"/>
      <c r="AN54" s="169" t="s">
        <v>265</v>
      </c>
      <c r="AO54" s="169">
        <v>2132</v>
      </c>
      <c r="AP54" s="171">
        <v>36000</v>
      </c>
      <c r="AQ54" s="171">
        <v>3600</v>
      </c>
      <c r="AR54" s="171">
        <v>4320</v>
      </c>
      <c r="AS54" s="171">
        <v>2160</v>
      </c>
      <c r="AT54" s="171">
        <v>46080</v>
      </c>
      <c r="AU54" s="171">
        <v>4608</v>
      </c>
      <c r="AV54" s="172">
        <v>806.40000000000009</v>
      </c>
      <c r="AW54" s="169">
        <v>7</v>
      </c>
      <c r="AX54" s="171">
        <v>4730.7692307692305</v>
      </c>
      <c r="AY54" s="169">
        <v>28</v>
      </c>
      <c r="AZ54" s="171">
        <v>2614.583333333333</v>
      </c>
      <c r="BA54" s="172">
        <v>38549.4141025641</v>
      </c>
      <c r="BB54" s="172">
        <v>462592.96923076926</v>
      </c>
      <c r="BC54" s="172">
        <v>55511.156307692305</v>
      </c>
    </row>
    <row r="55" spans="1:55" ht="18" customHeight="1" x14ac:dyDescent="0.25">
      <c r="A55" s="296">
        <v>53</v>
      </c>
      <c r="B55" s="297">
        <v>1052</v>
      </c>
      <c r="C55" s="298" t="s">
        <v>73</v>
      </c>
      <c r="D55" s="298" t="s">
        <v>616</v>
      </c>
      <c r="E55" s="298" t="s">
        <v>1033</v>
      </c>
      <c r="F55" s="299">
        <v>34000</v>
      </c>
      <c r="G55" s="299">
        <v>3400</v>
      </c>
      <c r="H55" s="299">
        <v>4080</v>
      </c>
      <c r="I55" s="299">
        <f t="shared" si="1"/>
        <v>340</v>
      </c>
      <c r="J55" s="299">
        <v>2040</v>
      </c>
      <c r="K55" s="299">
        <v>43520</v>
      </c>
      <c r="L55" s="299">
        <v>4352</v>
      </c>
      <c r="M55" s="299">
        <v>761.6</v>
      </c>
      <c r="N55" s="300">
        <v>2</v>
      </c>
      <c r="O55" s="299">
        <f t="shared" si="9"/>
        <v>2615.3846153846152</v>
      </c>
      <c r="P55" s="300">
        <v>12</v>
      </c>
      <c r="Q55" s="299">
        <f t="shared" si="10"/>
        <v>2125</v>
      </c>
      <c r="R55" s="301">
        <f t="shared" si="5"/>
        <v>37916.015384615384</v>
      </c>
      <c r="S55" s="302">
        <f t="shared" si="8"/>
        <v>454992.18461538461</v>
      </c>
      <c r="T55" s="303">
        <f t="shared" si="6"/>
        <v>54599.062153846149</v>
      </c>
      <c r="V55" s="167"/>
      <c r="W55" s="167"/>
      <c r="X55" s="167"/>
      <c r="Y55" s="167"/>
      <c r="Z55" s="167"/>
      <c r="AA55" s="167"/>
      <c r="AB55" s="167"/>
      <c r="AC55" s="167"/>
      <c r="AD55" s="167"/>
      <c r="AE55" s="167"/>
      <c r="AF55" s="167"/>
      <c r="AG55" s="167"/>
      <c r="AH55" s="167"/>
      <c r="AI55" s="167"/>
      <c r="AJ55" s="167"/>
      <c r="AK55" s="167"/>
      <c r="AL55" s="167"/>
      <c r="AM55" s="167"/>
      <c r="AN55" s="169" t="s">
        <v>616</v>
      </c>
      <c r="AO55" s="169">
        <v>2132</v>
      </c>
      <c r="AP55" s="171">
        <v>36000</v>
      </c>
      <c r="AQ55" s="171">
        <v>3600</v>
      </c>
      <c r="AR55" s="171">
        <v>4320</v>
      </c>
      <c r="AS55" s="171">
        <v>2160</v>
      </c>
      <c r="AT55" s="171">
        <v>46080</v>
      </c>
      <c r="AU55" s="171">
        <v>4608</v>
      </c>
      <c r="AV55" s="172">
        <v>806.40000000000009</v>
      </c>
      <c r="AW55" s="169">
        <v>7</v>
      </c>
      <c r="AX55" s="171">
        <v>4730.7692307692305</v>
      </c>
      <c r="AY55" s="169">
        <v>28</v>
      </c>
      <c r="AZ55" s="171">
        <v>2614.583333333333</v>
      </c>
      <c r="BA55" s="172">
        <v>38549.4141025641</v>
      </c>
      <c r="BB55" s="172">
        <v>462592.96923076926</v>
      </c>
      <c r="BC55" s="172">
        <v>55511.156307692305</v>
      </c>
    </row>
    <row r="56" spans="1:55" ht="18" customHeight="1" x14ac:dyDescent="0.25">
      <c r="A56" s="304">
        <v>54</v>
      </c>
      <c r="B56" s="305">
        <v>1053</v>
      </c>
      <c r="C56" s="306" t="s">
        <v>79</v>
      </c>
      <c r="D56" s="306" t="s">
        <v>616</v>
      </c>
      <c r="E56" s="306" t="s">
        <v>1888</v>
      </c>
      <c r="F56" s="307">
        <v>24000</v>
      </c>
      <c r="G56" s="307">
        <v>2400</v>
      </c>
      <c r="H56" s="307">
        <v>2880</v>
      </c>
      <c r="I56" s="307">
        <f t="shared" si="1"/>
        <v>240</v>
      </c>
      <c r="J56" s="307">
        <v>1440</v>
      </c>
      <c r="K56" s="307">
        <v>30720</v>
      </c>
      <c r="L56" s="307">
        <v>3072</v>
      </c>
      <c r="M56" s="307">
        <v>537.6</v>
      </c>
      <c r="N56" s="308">
        <v>2</v>
      </c>
      <c r="O56" s="307">
        <f t="shared" si="9"/>
        <v>1846.1538461538462</v>
      </c>
      <c r="P56" s="308">
        <v>12</v>
      </c>
      <c r="Q56" s="307">
        <f t="shared" si="10"/>
        <v>1500</v>
      </c>
      <c r="R56" s="301">
        <f t="shared" si="5"/>
        <v>26764.246153846154</v>
      </c>
      <c r="S56" s="309">
        <f t="shared" si="8"/>
        <v>321170.95384615386</v>
      </c>
      <c r="T56" s="310">
        <f t="shared" si="6"/>
        <v>38540.514461538463</v>
      </c>
      <c r="V56" s="167"/>
      <c r="W56" s="167"/>
      <c r="X56" s="167"/>
      <c r="Y56" s="167"/>
      <c r="Z56" s="167"/>
      <c r="AA56" s="167"/>
      <c r="AB56" s="167"/>
      <c r="AC56" s="167"/>
      <c r="AD56" s="167"/>
      <c r="AE56" s="167"/>
      <c r="AF56" s="167"/>
      <c r="AG56" s="167"/>
      <c r="AH56" s="167"/>
      <c r="AI56" s="167"/>
      <c r="AJ56" s="167"/>
      <c r="AK56" s="167"/>
      <c r="AL56" s="167"/>
      <c r="AM56" s="167"/>
      <c r="AN56" s="169" t="s">
        <v>306</v>
      </c>
      <c r="AO56" s="169">
        <v>1090</v>
      </c>
      <c r="AP56" s="171">
        <v>11000</v>
      </c>
      <c r="AQ56" s="171">
        <v>1100</v>
      </c>
      <c r="AR56" s="171">
        <v>1320</v>
      </c>
      <c r="AS56" s="171">
        <v>660</v>
      </c>
      <c r="AT56" s="171">
        <v>14080</v>
      </c>
      <c r="AU56" s="171">
        <v>1408</v>
      </c>
      <c r="AV56" s="172">
        <v>246.40000000000003</v>
      </c>
      <c r="AW56" s="169">
        <v>2</v>
      </c>
      <c r="AX56" s="171">
        <v>846.15384615384619</v>
      </c>
      <c r="AY56" s="169">
        <v>13</v>
      </c>
      <c r="AZ56" s="171">
        <v>744.79166666666663</v>
      </c>
      <c r="BA56" s="172">
        <v>12324.237820512821</v>
      </c>
      <c r="BB56" s="172">
        <v>147890.85384615386</v>
      </c>
      <c r="BC56" s="172">
        <v>17746.902461538462</v>
      </c>
    </row>
    <row r="57" spans="1:55" ht="18" customHeight="1" x14ac:dyDescent="0.25">
      <c r="A57" s="296">
        <v>55</v>
      </c>
      <c r="B57" s="297">
        <v>1054</v>
      </c>
      <c r="C57" s="298" t="s">
        <v>85</v>
      </c>
      <c r="D57" s="298" t="s">
        <v>616</v>
      </c>
      <c r="E57" s="298" t="s">
        <v>1889</v>
      </c>
      <c r="F57" s="299">
        <v>25000</v>
      </c>
      <c r="G57" s="299">
        <v>2500</v>
      </c>
      <c r="H57" s="299">
        <v>3000</v>
      </c>
      <c r="I57" s="299">
        <f t="shared" si="1"/>
        <v>250</v>
      </c>
      <c r="J57" s="299">
        <v>1500</v>
      </c>
      <c r="K57" s="299">
        <v>32000</v>
      </c>
      <c r="L57" s="299">
        <v>3200</v>
      </c>
      <c r="M57" s="299">
        <v>560</v>
      </c>
      <c r="N57" s="300">
        <v>3</v>
      </c>
      <c r="O57" s="299">
        <f t="shared" si="9"/>
        <v>2884.6153846153848</v>
      </c>
      <c r="P57" s="300">
        <v>13</v>
      </c>
      <c r="Q57" s="299">
        <f t="shared" si="10"/>
        <v>1692.7083333333335</v>
      </c>
      <c r="R57" s="301">
        <f t="shared" si="5"/>
        <v>27048.092948717949</v>
      </c>
      <c r="S57" s="302">
        <f t="shared" si="8"/>
        <v>324577.11538461538</v>
      </c>
      <c r="T57" s="303">
        <f t="shared" si="6"/>
        <v>38949.253846153842</v>
      </c>
      <c r="V57" s="167"/>
      <c r="W57" s="167"/>
      <c r="X57" s="167"/>
      <c r="Y57" s="167"/>
      <c r="Z57" s="167"/>
      <c r="AA57" s="167"/>
      <c r="AB57" s="167"/>
      <c r="AC57" s="167"/>
      <c r="AD57" s="167"/>
      <c r="AE57" s="167"/>
      <c r="AF57" s="167"/>
      <c r="AG57" s="167"/>
      <c r="AH57" s="167"/>
      <c r="AI57" s="167"/>
      <c r="AJ57" s="167"/>
      <c r="AK57" s="167"/>
      <c r="AL57" s="167"/>
      <c r="AM57" s="167"/>
      <c r="AN57" s="169" t="s">
        <v>616</v>
      </c>
      <c r="AO57" s="169">
        <v>1090</v>
      </c>
      <c r="AP57" s="171">
        <v>11000</v>
      </c>
      <c r="AQ57" s="171">
        <v>1100</v>
      </c>
      <c r="AR57" s="171">
        <v>1320</v>
      </c>
      <c r="AS57" s="171">
        <v>660</v>
      </c>
      <c r="AT57" s="171">
        <v>14080</v>
      </c>
      <c r="AU57" s="171">
        <v>1408</v>
      </c>
      <c r="AV57" s="172">
        <v>246.40000000000003</v>
      </c>
      <c r="AW57" s="169">
        <v>2</v>
      </c>
      <c r="AX57" s="171">
        <v>846.15384615384619</v>
      </c>
      <c r="AY57" s="169">
        <v>13</v>
      </c>
      <c r="AZ57" s="171">
        <v>744.79166666666663</v>
      </c>
      <c r="BA57" s="172">
        <v>12324.237820512821</v>
      </c>
      <c r="BB57" s="172">
        <v>147890.85384615386</v>
      </c>
      <c r="BC57" s="172">
        <v>17746.902461538462</v>
      </c>
    </row>
    <row r="58" spans="1:55" ht="18" customHeight="1" x14ac:dyDescent="0.25">
      <c r="A58" s="304">
        <v>56</v>
      </c>
      <c r="B58" s="305">
        <v>1055</v>
      </c>
      <c r="C58" s="306" t="s">
        <v>92</v>
      </c>
      <c r="D58" s="306" t="s">
        <v>616</v>
      </c>
      <c r="E58" s="306" t="s">
        <v>1890</v>
      </c>
      <c r="F58" s="307">
        <v>11000</v>
      </c>
      <c r="G58" s="307">
        <v>1100</v>
      </c>
      <c r="H58" s="307">
        <v>1320</v>
      </c>
      <c r="I58" s="307">
        <f t="shared" si="1"/>
        <v>110</v>
      </c>
      <c r="J58" s="307">
        <v>660</v>
      </c>
      <c r="K58" s="307">
        <v>14080</v>
      </c>
      <c r="L58" s="307">
        <v>1408</v>
      </c>
      <c r="M58" s="307">
        <v>246.40000000000003</v>
      </c>
      <c r="N58" s="308">
        <v>3</v>
      </c>
      <c r="O58" s="307">
        <f t="shared" si="9"/>
        <v>1269.2307692307693</v>
      </c>
      <c r="P58" s="308">
        <v>15</v>
      </c>
      <c r="Q58" s="307">
        <f t="shared" si="10"/>
        <v>859.375</v>
      </c>
      <c r="R58" s="301">
        <f t="shared" si="5"/>
        <v>12015.744230769231</v>
      </c>
      <c r="S58" s="309">
        <f t="shared" si="8"/>
        <v>144188.93076923076</v>
      </c>
      <c r="T58" s="310">
        <f t="shared" si="6"/>
        <v>17302.671692307689</v>
      </c>
      <c r="V58" s="167"/>
      <c r="W58" s="167"/>
      <c r="X58" s="167"/>
      <c r="Y58" s="167"/>
      <c r="Z58" s="167"/>
      <c r="AA58" s="167"/>
      <c r="AB58" s="167"/>
      <c r="AC58" s="167"/>
      <c r="AD58" s="167"/>
      <c r="AE58" s="167"/>
      <c r="AF58" s="167"/>
      <c r="AG58" s="167"/>
      <c r="AH58" s="167"/>
      <c r="AI58" s="167"/>
      <c r="AJ58" s="167"/>
      <c r="AK58" s="167"/>
      <c r="AL58" s="167"/>
      <c r="AM58" s="167"/>
      <c r="AN58" s="169" t="s">
        <v>277</v>
      </c>
      <c r="AO58" s="169">
        <v>1035</v>
      </c>
      <c r="AP58" s="171">
        <v>21000</v>
      </c>
      <c r="AQ58" s="171">
        <v>2100</v>
      </c>
      <c r="AR58" s="171">
        <v>2520</v>
      </c>
      <c r="AS58" s="171">
        <v>1260</v>
      </c>
      <c r="AT58" s="171">
        <v>26880</v>
      </c>
      <c r="AU58" s="171">
        <v>2688</v>
      </c>
      <c r="AV58" s="172">
        <v>470.40000000000003</v>
      </c>
      <c r="AW58" s="169">
        <v>2</v>
      </c>
      <c r="AX58" s="171">
        <v>1615.3846153846155</v>
      </c>
      <c r="AY58" s="169">
        <v>14</v>
      </c>
      <c r="AZ58" s="171">
        <v>1531.25</v>
      </c>
      <c r="BA58" s="172">
        <v>23637.465384615381</v>
      </c>
      <c r="BB58" s="172">
        <v>283649.58461538458</v>
      </c>
      <c r="BC58" s="172">
        <v>34037.950153846148</v>
      </c>
    </row>
    <row r="59" spans="1:55" ht="18" customHeight="1" x14ac:dyDescent="0.25">
      <c r="A59" s="296">
        <v>57</v>
      </c>
      <c r="B59" s="297">
        <v>1056</v>
      </c>
      <c r="C59" s="298" t="s">
        <v>98</v>
      </c>
      <c r="D59" s="298" t="s">
        <v>616</v>
      </c>
      <c r="E59" s="298" t="s">
        <v>1468</v>
      </c>
      <c r="F59" s="299">
        <v>20000</v>
      </c>
      <c r="G59" s="299">
        <v>2000</v>
      </c>
      <c r="H59" s="299">
        <v>2400</v>
      </c>
      <c r="I59" s="299">
        <f t="shared" si="1"/>
        <v>200</v>
      </c>
      <c r="J59" s="299">
        <v>1200</v>
      </c>
      <c r="K59" s="299">
        <v>25600</v>
      </c>
      <c r="L59" s="299">
        <v>2560</v>
      </c>
      <c r="M59" s="299">
        <v>448.00000000000006</v>
      </c>
      <c r="N59" s="300">
        <v>5</v>
      </c>
      <c r="O59" s="299">
        <f t="shared" si="9"/>
        <v>3846.1538461538466</v>
      </c>
      <c r="P59" s="300">
        <v>12</v>
      </c>
      <c r="Q59" s="299">
        <f t="shared" si="10"/>
        <v>1250</v>
      </c>
      <c r="R59" s="301">
        <f t="shared" si="5"/>
        <v>19995.846153846152</v>
      </c>
      <c r="S59" s="302">
        <f t="shared" si="8"/>
        <v>239950.15384615381</v>
      </c>
      <c r="T59" s="303">
        <f t="shared" si="6"/>
        <v>28794.018461538457</v>
      </c>
      <c r="V59" s="167"/>
      <c r="W59" s="167"/>
      <c r="X59" s="167"/>
      <c r="Y59" s="167"/>
      <c r="Z59" s="167"/>
      <c r="AA59" s="167"/>
      <c r="AB59" s="167"/>
      <c r="AC59" s="167"/>
      <c r="AD59" s="167"/>
      <c r="AE59" s="167"/>
      <c r="AF59" s="167"/>
      <c r="AG59" s="167"/>
      <c r="AH59" s="167"/>
      <c r="AI59" s="167"/>
      <c r="AJ59" s="167"/>
      <c r="AK59" s="167"/>
      <c r="AL59" s="167"/>
      <c r="AM59" s="167"/>
      <c r="AN59" s="169" t="s">
        <v>616</v>
      </c>
      <c r="AO59" s="169">
        <v>1035</v>
      </c>
      <c r="AP59" s="171">
        <v>21000</v>
      </c>
      <c r="AQ59" s="171">
        <v>2100</v>
      </c>
      <c r="AR59" s="171">
        <v>2520</v>
      </c>
      <c r="AS59" s="171">
        <v>1260</v>
      </c>
      <c r="AT59" s="171">
        <v>26880</v>
      </c>
      <c r="AU59" s="171">
        <v>2688</v>
      </c>
      <c r="AV59" s="172">
        <v>470.40000000000003</v>
      </c>
      <c r="AW59" s="169">
        <v>2</v>
      </c>
      <c r="AX59" s="171">
        <v>1615.3846153846155</v>
      </c>
      <c r="AY59" s="169">
        <v>14</v>
      </c>
      <c r="AZ59" s="171">
        <v>1531.25</v>
      </c>
      <c r="BA59" s="172">
        <v>23637.465384615381</v>
      </c>
      <c r="BB59" s="172">
        <v>283649.58461538458</v>
      </c>
      <c r="BC59" s="172">
        <v>34037.950153846148</v>
      </c>
    </row>
    <row r="60" spans="1:55" ht="18" customHeight="1" x14ac:dyDescent="0.25">
      <c r="A60" s="304">
        <v>58</v>
      </c>
      <c r="B60" s="305">
        <v>1057</v>
      </c>
      <c r="C60" s="306" t="s">
        <v>104</v>
      </c>
      <c r="D60" s="306" t="s">
        <v>616</v>
      </c>
      <c r="E60" s="306" t="s">
        <v>1884</v>
      </c>
      <c r="F60" s="307">
        <v>22000</v>
      </c>
      <c r="G60" s="307">
        <v>2200</v>
      </c>
      <c r="H60" s="307">
        <v>2640</v>
      </c>
      <c r="I60" s="307">
        <f t="shared" si="1"/>
        <v>220</v>
      </c>
      <c r="J60" s="307">
        <v>1320</v>
      </c>
      <c r="K60" s="307">
        <v>28160</v>
      </c>
      <c r="L60" s="307">
        <v>2816</v>
      </c>
      <c r="M60" s="307">
        <v>492.80000000000007</v>
      </c>
      <c r="N60" s="308">
        <v>3</v>
      </c>
      <c r="O60" s="307">
        <f t="shared" si="9"/>
        <v>2538.4615384615386</v>
      </c>
      <c r="P60" s="308">
        <v>15</v>
      </c>
      <c r="Q60" s="307">
        <f t="shared" si="10"/>
        <v>1718.75</v>
      </c>
      <c r="R60" s="301">
        <f t="shared" si="5"/>
        <v>24031.488461538462</v>
      </c>
      <c r="S60" s="309">
        <f t="shared" si="8"/>
        <v>288377.86153846153</v>
      </c>
      <c r="T60" s="310">
        <f t="shared" si="6"/>
        <v>34605.343384615378</v>
      </c>
      <c r="V60" s="167"/>
      <c r="W60" s="167"/>
      <c r="X60" s="167"/>
      <c r="Y60" s="167"/>
      <c r="Z60" s="167"/>
      <c r="AA60" s="167"/>
      <c r="AB60" s="167"/>
      <c r="AC60" s="167"/>
      <c r="AD60" s="167"/>
      <c r="AE60" s="167"/>
      <c r="AF60" s="167"/>
      <c r="AG60" s="167"/>
      <c r="AH60" s="167"/>
      <c r="AI60" s="167"/>
      <c r="AJ60" s="167"/>
      <c r="AK60" s="167"/>
      <c r="AL60" s="167"/>
      <c r="AM60" s="167"/>
      <c r="AN60" s="169" t="s">
        <v>313</v>
      </c>
      <c r="AO60" s="169">
        <v>2129</v>
      </c>
      <c r="AP60" s="171">
        <v>37000</v>
      </c>
      <c r="AQ60" s="171">
        <v>3700</v>
      </c>
      <c r="AR60" s="171">
        <v>4440</v>
      </c>
      <c r="AS60" s="171">
        <v>2220</v>
      </c>
      <c r="AT60" s="171">
        <v>47360</v>
      </c>
      <c r="AU60" s="171">
        <v>4736</v>
      </c>
      <c r="AV60" s="172">
        <v>828.80000000000007</v>
      </c>
      <c r="AW60" s="169">
        <v>8</v>
      </c>
      <c r="AX60" s="171">
        <v>5269.2307692307695</v>
      </c>
      <c r="AY60" s="169">
        <v>26</v>
      </c>
      <c r="AZ60" s="171">
        <v>2562.5</v>
      </c>
      <c r="BA60" s="172">
        <v>39088.469230769231</v>
      </c>
      <c r="BB60" s="172">
        <v>469061.63076923077</v>
      </c>
      <c r="BC60" s="172">
        <v>56287.395692307691</v>
      </c>
    </row>
    <row r="61" spans="1:55" ht="18" customHeight="1" x14ac:dyDescent="0.25">
      <c r="A61" s="296">
        <v>59</v>
      </c>
      <c r="B61" s="297">
        <v>1058</v>
      </c>
      <c r="C61" s="298" t="s">
        <v>111</v>
      </c>
      <c r="D61" s="298" t="s">
        <v>616</v>
      </c>
      <c r="E61" s="298" t="s">
        <v>1885</v>
      </c>
      <c r="F61" s="299">
        <v>28000</v>
      </c>
      <c r="G61" s="299">
        <v>2800</v>
      </c>
      <c r="H61" s="299">
        <v>3360</v>
      </c>
      <c r="I61" s="299">
        <f t="shared" si="1"/>
        <v>280</v>
      </c>
      <c r="J61" s="299">
        <v>1680</v>
      </c>
      <c r="K61" s="299">
        <v>35840</v>
      </c>
      <c r="L61" s="299">
        <v>3584</v>
      </c>
      <c r="M61" s="299">
        <v>627.20000000000005</v>
      </c>
      <c r="N61" s="300">
        <v>2</v>
      </c>
      <c r="O61" s="299">
        <f t="shared" si="9"/>
        <v>2153.8461538461538</v>
      </c>
      <c r="P61" s="300">
        <v>14</v>
      </c>
      <c r="Q61" s="299">
        <f t="shared" si="10"/>
        <v>2041.6666666666667</v>
      </c>
      <c r="R61" s="301">
        <f t="shared" si="5"/>
        <v>31516.620512820515</v>
      </c>
      <c r="S61" s="302">
        <f t="shared" si="8"/>
        <v>378199.44615384616</v>
      </c>
      <c r="T61" s="303">
        <f t="shared" si="6"/>
        <v>45383.933538461541</v>
      </c>
      <c r="V61" s="167"/>
      <c r="W61" s="167"/>
      <c r="X61" s="167"/>
      <c r="Y61" s="167"/>
      <c r="Z61" s="167"/>
      <c r="AA61" s="167"/>
      <c r="AB61" s="167"/>
      <c r="AC61" s="167"/>
      <c r="AD61" s="167"/>
      <c r="AE61" s="167"/>
      <c r="AF61" s="167"/>
      <c r="AG61" s="167"/>
      <c r="AH61" s="167"/>
      <c r="AI61" s="167"/>
      <c r="AJ61" s="167"/>
      <c r="AK61" s="167"/>
      <c r="AL61" s="167"/>
      <c r="AM61" s="167"/>
      <c r="AN61" s="169" t="s">
        <v>616</v>
      </c>
      <c r="AO61" s="169">
        <v>2129</v>
      </c>
      <c r="AP61" s="171">
        <v>37000</v>
      </c>
      <c r="AQ61" s="171">
        <v>3700</v>
      </c>
      <c r="AR61" s="171">
        <v>4440</v>
      </c>
      <c r="AS61" s="171">
        <v>2220</v>
      </c>
      <c r="AT61" s="171">
        <v>47360</v>
      </c>
      <c r="AU61" s="171">
        <v>4736</v>
      </c>
      <c r="AV61" s="172">
        <v>828.80000000000007</v>
      </c>
      <c r="AW61" s="169">
        <v>8</v>
      </c>
      <c r="AX61" s="171">
        <v>5269.2307692307695</v>
      </c>
      <c r="AY61" s="169">
        <v>26</v>
      </c>
      <c r="AZ61" s="171">
        <v>2562.5</v>
      </c>
      <c r="BA61" s="172">
        <v>39088.469230769231</v>
      </c>
      <c r="BB61" s="172">
        <v>469061.63076923077</v>
      </c>
      <c r="BC61" s="172">
        <v>56287.395692307691</v>
      </c>
    </row>
    <row r="62" spans="1:55" ht="18" customHeight="1" x14ac:dyDescent="0.25">
      <c r="A62" s="304">
        <v>60</v>
      </c>
      <c r="B62" s="305">
        <v>1059</v>
      </c>
      <c r="C62" s="306" t="s">
        <v>117</v>
      </c>
      <c r="D62" s="306" t="s">
        <v>616</v>
      </c>
      <c r="E62" s="306" t="s">
        <v>895</v>
      </c>
      <c r="F62" s="307">
        <v>26000</v>
      </c>
      <c r="G62" s="307">
        <v>2600</v>
      </c>
      <c r="H62" s="307">
        <v>3120</v>
      </c>
      <c r="I62" s="307">
        <f t="shared" si="1"/>
        <v>260</v>
      </c>
      <c r="J62" s="307">
        <v>1560</v>
      </c>
      <c r="K62" s="307">
        <v>33280</v>
      </c>
      <c r="L62" s="307">
        <v>3328</v>
      </c>
      <c r="M62" s="307">
        <v>582.40000000000009</v>
      </c>
      <c r="N62" s="308">
        <v>4</v>
      </c>
      <c r="O62" s="307">
        <f t="shared" si="9"/>
        <v>4000</v>
      </c>
      <c r="P62" s="308">
        <v>12</v>
      </c>
      <c r="Q62" s="307">
        <f t="shared" si="10"/>
        <v>1625</v>
      </c>
      <c r="R62" s="301">
        <f t="shared" si="5"/>
        <v>26994.6</v>
      </c>
      <c r="S62" s="309">
        <f t="shared" si="8"/>
        <v>323935.19999999995</v>
      </c>
      <c r="T62" s="310">
        <f t="shared" si="6"/>
        <v>38872.223999999995</v>
      </c>
      <c r="V62" s="167"/>
      <c r="W62" s="167"/>
      <c r="X62" s="167"/>
      <c r="Y62" s="167"/>
      <c r="Z62" s="167"/>
      <c r="AA62" s="167"/>
      <c r="AB62" s="167"/>
      <c r="AC62" s="167"/>
      <c r="AD62" s="167"/>
      <c r="AE62" s="167"/>
      <c r="AF62" s="167"/>
      <c r="AG62" s="167"/>
      <c r="AH62" s="167"/>
      <c r="AI62" s="167"/>
      <c r="AJ62" s="167"/>
      <c r="AK62" s="167"/>
      <c r="AL62" s="167"/>
      <c r="AM62" s="167"/>
      <c r="AN62" s="169" t="s">
        <v>352</v>
      </c>
      <c r="AO62" s="169">
        <v>1098</v>
      </c>
      <c r="AP62" s="171">
        <v>18000</v>
      </c>
      <c r="AQ62" s="171">
        <v>1800</v>
      </c>
      <c r="AR62" s="171">
        <v>2160</v>
      </c>
      <c r="AS62" s="171">
        <v>1080</v>
      </c>
      <c r="AT62" s="171">
        <v>23040</v>
      </c>
      <c r="AU62" s="171">
        <v>2304</v>
      </c>
      <c r="AV62" s="172">
        <v>403.20000000000005</v>
      </c>
      <c r="AW62" s="169">
        <v>3</v>
      </c>
      <c r="AX62" s="171">
        <v>2076.9230769230767</v>
      </c>
      <c r="AY62" s="169">
        <v>12</v>
      </c>
      <c r="AZ62" s="171">
        <v>1125</v>
      </c>
      <c r="BA62" s="172">
        <v>19380.876923076921</v>
      </c>
      <c r="BB62" s="172">
        <v>232570.52307692304</v>
      </c>
      <c r="BC62" s="172">
        <v>27908.462769230762</v>
      </c>
    </row>
    <row r="63" spans="1:55" ht="18" customHeight="1" x14ac:dyDescent="0.25">
      <c r="A63" s="296">
        <v>61</v>
      </c>
      <c r="B63" s="297">
        <v>1060</v>
      </c>
      <c r="C63" s="298" t="s">
        <v>124</v>
      </c>
      <c r="D63" s="298" t="s">
        <v>616</v>
      </c>
      <c r="E63" s="298" t="s">
        <v>1886</v>
      </c>
      <c r="F63" s="299">
        <v>19000</v>
      </c>
      <c r="G63" s="299">
        <v>1900</v>
      </c>
      <c r="H63" s="299">
        <v>2280</v>
      </c>
      <c r="I63" s="299">
        <f t="shared" si="1"/>
        <v>190</v>
      </c>
      <c r="J63" s="299">
        <v>1140</v>
      </c>
      <c r="K63" s="299">
        <v>24320</v>
      </c>
      <c r="L63" s="299">
        <v>2432</v>
      </c>
      <c r="M63" s="299">
        <v>425.6</v>
      </c>
      <c r="N63" s="300">
        <v>3</v>
      </c>
      <c r="O63" s="299">
        <f t="shared" si="9"/>
        <v>2192.3076923076924</v>
      </c>
      <c r="P63" s="300">
        <v>13</v>
      </c>
      <c r="Q63" s="299">
        <f t="shared" si="10"/>
        <v>1286.4583333333333</v>
      </c>
      <c r="R63" s="301">
        <f t="shared" si="5"/>
        <v>20556.550641025642</v>
      </c>
      <c r="S63" s="302">
        <f t="shared" si="8"/>
        <v>246678.60769230771</v>
      </c>
      <c r="T63" s="303">
        <f t="shared" si="6"/>
        <v>29601.432923076922</v>
      </c>
      <c r="V63" s="167"/>
      <c r="W63" s="167"/>
      <c r="X63" s="167"/>
      <c r="Y63" s="167"/>
      <c r="Z63" s="167"/>
      <c r="AA63" s="167"/>
      <c r="AB63" s="167"/>
      <c r="AC63" s="167"/>
      <c r="AD63" s="167"/>
      <c r="AE63" s="167"/>
      <c r="AF63" s="167"/>
      <c r="AG63" s="167"/>
      <c r="AH63" s="167"/>
      <c r="AI63" s="167"/>
      <c r="AJ63" s="167"/>
      <c r="AK63" s="167"/>
      <c r="AL63" s="167"/>
      <c r="AM63" s="167"/>
      <c r="AN63" s="169" t="s">
        <v>616</v>
      </c>
      <c r="AO63" s="169">
        <v>1098</v>
      </c>
      <c r="AP63" s="171">
        <v>18000</v>
      </c>
      <c r="AQ63" s="171">
        <v>1800</v>
      </c>
      <c r="AR63" s="171">
        <v>2160</v>
      </c>
      <c r="AS63" s="171">
        <v>1080</v>
      </c>
      <c r="AT63" s="171">
        <v>23040</v>
      </c>
      <c r="AU63" s="171">
        <v>2304</v>
      </c>
      <c r="AV63" s="172">
        <v>403.20000000000005</v>
      </c>
      <c r="AW63" s="169">
        <v>3</v>
      </c>
      <c r="AX63" s="171">
        <v>2076.9230769230767</v>
      </c>
      <c r="AY63" s="169">
        <v>12</v>
      </c>
      <c r="AZ63" s="171">
        <v>1125</v>
      </c>
      <c r="BA63" s="172">
        <v>19380.876923076921</v>
      </c>
      <c r="BB63" s="172">
        <v>232570.52307692304</v>
      </c>
      <c r="BC63" s="172">
        <v>27908.462769230762</v>
      </c>
    </row>
    <row r="64" spans="1:55" ht="18" customHeight="1" x14ac:dyDescent="0.25">
      <c r="A64" s="304">
        <v>62</v>
      </c>
      <c r="B64" s="305">
        <v>1061</v>
      </c>
      <c r="C64" s="306" t="s">
        <v>129</v>
      </c>
      <c r="D64" s="306" t="s">
        <v>616</v>
      </c>
      <c r="E64" s="306" t="s">
        <v>1887</v>
      </c>
      <c r="F64" s="307">
        <v>16000</v>
      </c>
      <c r="G64" s="307">
        <v>1600</v>
      </c>
      <c r="H64" s="307">
        <v>1920</v>
      </c>
      <c r="I64" s="307">
        <f t="shared" si="1"/>
        <v>160</v>
      </c>
      <c r="J64" s="307">
        <v>960</v>
      </c>
      <c r="K64" s="307">
        <v>20480</v>
      </c>
      <c r="L64" s="307">
        <v>2048</v>
      </c>
      <c r="M64" s="307">
        <v>358.40000000000003</v>
      </c>
      <c r="N64" s="308">
        <v>5</v>
      </c>
      <c r="O64" s="307">
        <f t="shared" si="9"/>
        <v>3076.9230769230767</v>
      </c>
      <c r="P64" s="308">
        <v>12</v>
      </c>
      <c r="Q64" s="307">
        <f t="shared" si="10"/>
        <v>1000</v>
      </c>
      <c r="R64" s="301">
        <f t="shared" si="5"/>
        <v>15996.676923076922</v>
      </c>
      <c r="S64" s="309">
        <f t="shared" si="8"/>
        <v>191960.12307692308</v>
      </c>
      <c r="T64" s="310">
        <f t="shared" si="6"/>
        <v>23035.21476923077</v>
      </c>
      <c r="V64" s="167"/>
      <c r="W64" s="167"/>
      <c r="X64" s="167"/>
      <c r="Y64" s="167"/>
      <c r="Z64" s="167"/>
      <c r="AA64" s="167"/>
      <c r="AB64" s="167"/>
      <c r="AC64" s="167"/>
      <c r="AD64" s="167"/>
      <c r="AE64" s="167"/>
      <c r="AF64" s="167"/>
      <c r="AG64" s="167"/>
      <c r="AH64" s="167"/>
      <c r="AI64" s="167"/>
      <c r="AJ64" s="167"/>
      <c r="AK64" s="167"/>
      <c r="AL64" s="167"/>
      <c r="AM64" s="167"/>
      <c r="AN64" s="169" t="s">
        <v>252</v>
      </c>
      <c r="AO64" s="169">
        <v>1031</v>
      </c>
      <c r="AP64" s="171">
        <v>24000</v>
      </c>
      <c r="AQ64" s="171">
        <v>2400</v>
      </c>
      <c r="AR64" s="171">
        <v>2880</v>
      </c>
      <c r="AS64" s="171">
        <v>1440</v>
      </c>
      <c r="AT64" s="171">
        <v>30720</v>
      </c>
      <c r="AU64" s="171">
        <v>3072</v>
      </c>
      <c r="AV64" s="172">
        <v>537.6</v>
      </c>
      <c r="AW64" s="169">
        <v>4</v>
      </c>
      <c r="AX64" s="171">
        <v>3692.3076923076924</v>
      </c>
      <c r="AY64" s="169">
        <v>15</v>
      </c>
      <c r="AZ64" s="171">
        <v>1875</v>
      </c>
      <c r="BA64" s="172">
        <v>25293.09230769231</v>
      </c>
      <c r="BB64" s="172">
        <v>303517.10769230773</v>
      </c>
      <c r="BC64" s="172">
        <v>36422.052923076924</v>
      </c>
    </row>
    <row r="65" spans="1:55" ht="18" customHeight="1" x14ac:dyDescent="0.25">
      <c r="A65" s="296">
        <v>63</v>
      </c>
      <c r="B65" s="297">
        <v>1062</v>
      </c>
      <c r="C65" s="298" t="s">
        <v>135</v>
      </c>
      <c r="D65" s="298" t="s">
        <v>616</v>
      </c>
      <c r="E65" s="298" t="s">
        <v>1033</v>
      </c>
      <c r="F65" s="299">
        <v>16000</v>
      </c>
      <c r="G65" s="299">
        <v>1600</v>
      </c>
      <c r="H65" s="299">
        <v>1920</v>
      </c>
      <c r="I65" s="299">
        <f t="shared" si="1"/>
        <v>160</v>
      </c>
      <c r="J65" s="299">
        <v>960</v>
      </c>
      <c r="K65" s="299">
        <v>20480</v>
      </c>
      <c r="L65" s="299">
        <v>2048</v>
      </c>
      <c r="M65" s="299">
        <v>358.40000000000003</v>
      </c>
      <c r="N65" s="300">
        <v>2</v>
      </c>
      <c r="O65" s="299">
        <f t="shared" si="9"/>
        <v>1230.7692307692307</v>
      </c>
      <c r="P65" s="300">
        <v>12</v>
      </c>
      <c r="Q65" s="299">
        <f t="shared" si="10"/>
        <v>1000</v>
      </c>
      <c r="R65" s="301">
        <f t="shared" si="5"/>
        <v>17842.830769230768</v>
      </c>
      <c r="S65" s="302">
        <f t="shared" si="8"/>
        <v>214113.9692307692</v>
      </c>
      <c r="T65" s="303">
        <f t="shared" si="6"/>
        <v>25693.676307692302</v>
      </c>
      <c r="V65" s="167"/>
      <c r="W65" s="167"/>
      <c r="X65" s="167"/>
      <c r="Y65" s="167"/>
      <c r="Z65" s="167"/>
      <c r="AA65" s="167"/>
      <c r="AB65" s="167"/>
      <c r="AC65" s="167"/>
      <c r="AD65" s="167"/>
      <c r="AE65" s="167"/>
      <c r="AF65" s="167"/>
      <c r="AG65" s="167"/>
      <c r="AH65" s="167"/>
      <c r="AI65" s="167"/>
      <c r="AJ65" s="167"/>
      <c r="AK65" s="167"/>
      <c r="AL65" s="167"/>
      <c r="AM65" s="167"/>
      <c r="AN65" s="169" t="s">
        <v>616</v>
      </c>
      <c r="AO65" s="169">
        <v>1031</v>
      </c>
      <c r="AP65" s="171">
        <v>24000</v>
      </c>
      <c r="AQ65" s="171">
        <v>2400</v>
      </c>
      <c r="AR65" s="171">
        <v>2880</v>
      </c>
      <c r="AS65" s="171">
        <v>1440</v>
      </c>
      <c r="AT65" s="171">
        <v>30720</v>
      </c>
      <c r="AU65" s="171">
        <v>3072</v>
      </c>
      <c r="AV65" s="172">
        <v>537.6</v>
      </c>
      <c r="AW65" s="169">
        <v>4</v>
      </c>
      <c r="AX65" s="171">
        <v>3692.3076923076924</v>
      </c>
      <c r="AY65" s="169">
        <v>15</v>
      </c>
      <c r="AZ65" s="171">
        <v>1875</v>
      </c>
      <c r="BA65" s="172">
        <v>25293.09230769231</v>
      </c>
      <c r="BB65" s="172">
        <v>303517.10769230773</v>
      </c>
      <c r="BC65" s="172">
        <v>36422.052923076924</v>
      </c>
    </row>
    <row r="66" spans="1:55" ht="18" customHeight="1" x14ac:dyDescent="0.25">
      <c r="A66" s="304">
        <v>64</v>
      </c>
      <c r="B66" s="305">
        <v>1063</v>
      </c>
      <c r="C66" s="306" t="s">
        <v>142</v>
      </c>
      <c r="D66" s="306" t="s">
        <v>616</v>
      </c>
      <c r="E66" s="306" t="s">
        <v>1888</v>
      </c>
      <c r="F66" s="307">
        <v>17000</v>
      </c>
      <c r="G66" s="307">
        <v>1700</v>
      </c>
      <c r="H66" s="307">
        <v>2040</v>
      </c>
      <c r="I66" s="307">
        <f t="shared" si="1"/>
        <v>170</v>
      </c>
      <c r="J66" s="307">
        <v>1020</v>
      </c>
      <c r="K66" s="307">
        <v>21760</v>
      </c>
      <c r="L66" s="307">
        <v>2176</v>
      </c>
      <c r="M66" s="307">
        <v>380.8</v>
      </c>
      <c r="N66" s="308">
        <v>2</v>
      </c>
      <c r="O66" s="307">
        <f t="shared" si="9"/>
        <v>1307.6923076923076</v>
      </c>
      <c r="P66" s="308">
        <v>14</v>
      </c>
      <c r="Q66" s="307">
        <f t="shared" si="10"/>
        <v>1239.5833333333335</v>
      </c>
      <c r="R66" s="301">
        <f t="shared" si="5"/>
        <v>19135.091025641024</v>
      </c>
      <c r="S66" s="309">
        <f t="shared" si="8"/>
        <v>229621.09230769228</v>
      </c>
      <c r="T66" s="310">
        <f t="shared" si="6"/>
        <v>27554.531076923071</v>
      </c>
      <c r="V66" s="167"/>
      <c r="W66" s="167"/>
      <c r="X66" s="167"/>
      <c r="Y66" s="167"/>
      <c r="Z66" s="167"/>
      <c r="AA66" s="167"/>
      <c r="AB66" s="167"/>
      <c r="AC66" s="167"/>
      <c r="AD66" s="167"/>
      <c r="AE66" s="167"/>
      <c r="AF66" s="167"/>
      <c r="AG66" s="167"/>
      <c r="AH66" s="167"/>
      <c r="AI66" s="167"/>
      <c r="AJ66" s="167"/>
      <c r="AK66" s="167"/>
      <c r="AL66" s="167"/>
      <c r="AM66" s="167"/>
      <c r="AN66" s="169" t="s">
        <v>325</v>
      </c>
      <c r="AO66" s="169">
        <v>1043</v>
      </c>
      <c r="AP66" s="171">
        <v>10000</v>
      </c>
      <c r="AQ66" s="171">
        <v>1000</v>
      </c>
      <c r="AR66" s="171">
        <v>1200</v>
      </c>
      <c r="AS66" s="171">
        <v>600</v>
      </c>
      <c r="AT66" s="171">
        <v>12800</v>
      </c>
      <c r="AU66" s="171">
        <v>1280</v>
      </c>
      <c r="AV66" s="172">
        <v>224.00000000000003</v>
      </c>
      <c r="AW66" s="169">
        <v>5</v>
      </c>
      <c r="AX66" s="171">
        <v>1923.0769230769233</v>
      </c>
      <c r="AY66" s="169">
        <v>14</v>
      </c>
      <c r="AZ66" s="171">
        <v>729.16666666666674</v>
      </c>
      <c r="BA66" s="172">
        <v>10102.089743589742</v>
      </c>
      <c r="BB66" s="172">
        <v>121225.07692307691</v>
      </c>
      <c r="BC66" s="172">
        <v>14547.009230769228</v>
      </c>
    </row>
    <row r="67" spans="1:55" ht="18" customHeight="1" x14ac:dyDescent="0.25">
      <c r="A67" s="296">
        <v>65</v>
      </c>
      <c r="B67" s="297">
        <v>1064</v>
      </c>
      <c r="C67" s="298" t="s">
        <v>148</v>
      </c>
      <c r="D67" s="298" t="s">
        <v>616</v>
      </c>
      <c r="E67" s="298" t="s">
        <v>1889</v>
      </c>
      <c r="F67" s="299">
        <v>23000</v>
      </c>
      <c r="G67" s="299">
        <v>2300</v>
      </c>
      <c r="H67" s="299">
        <v>2760</v>
      </c>
      <c r="I67" s="299">
        <f t="shared" si="1"/>
        <v>230</v>
      </c>
      <c r="J67" s="299">
        <v>1380</v>
      </c>
      <c r="K67" s="299">
        <v>29440</v>
      </c>
      <c r="L67" s="299">
        <v>2944</v>
      </c>
      <c r="M67" s="299">
        <v>515.20000000000005</v>
      </c>
      <c r="N67" s="300">
        <v>4</v>
      </c>
      <c r="O67" s="299">
        <f t="shared" ref="O67:O98" si="11">F67/26*N67</f>
        <v>3538.4615384615386</v>
      </c>
      <c r="P67" s="300">
        <v>14</v>
      </c>
      <c r="Q67" s="299">
        <f t="shared" si="10"/>
        <v>1677.0833333333335</v>
      </c>
      <c r="R67" s="301">
        <f t="shared" si="5"/>
        <v>24119.421794871792</v>
      </c>
      <c r="S67" s="302">
        <f t="shared" si="8"/>
        <v>289433.06153846148</v>
      </c>
      <c r="T67" s="303">
        <f t="shared" si="6"/>
        <v>34731.967384615375</v>
      </c>
      <c r="V67" s="167"/>
      <c r="W67" s="167"/>
      <c r="X67" s="167"/>
      <c r="Y67" s="167"/>
      <c r="Z67" s="167"/>
      <c r="AA67" s="167"/>
      <c r="AB67" s="167"/>
      <c r="AC67" s="167"/>
      <c r="AD67" s="167"/>
      <c r="AE67" s="167"/>
      <c r="AF67" s="167"/>
      <c r="AG67" s="167"/>
      <c r="AH67" s="167"/>
      <c r="AI67" s="167"/>
      <c r="AJ67" s="167"/>
      <c r="AK67" s="167"/>
      <c r="AL67" s="167"/>
      <c r="AM67" s="167"/>
      <c r="AN67" s="169" t="s">
        <v>616</v>
      </c>
      <c r="AO67" s="169">
        <v>1043</v>
      </c>
      <c r="AP67" s="171">
        <v>10000</v>
      </c>
      <c r="AQ67" s="171">
        <v>1000</v>
      </c>
      <c r="AR67" s="171">
        <v>1200</v>
      </c>
      <c r="AS67" s="171">
        <v>600</v>
      </c>
      <c r="AT67" s="171">
        <v>12800</v>
      </c>
      <c r="AU67" s="171">
        <v>1280</v>
      </c>
      <c r="AV67" s="172">
        <v>224.00000000000003</v>
      </c>
      <c r="AW67" s="169">
        <v>5</v>
      </c>
      <c r="AX67" s="171">
        <v>1923.0769230769233</v>
      </c>
      <c r="AY67" s="169">
        <v>14</v>
      </c>
      <c r="AZ67" s="171">
        <v>729.16666666666674</v>
      </c>
      <c r="BA67" s="172">
        <v>10102.089743589742</v>
      </c>
      <c r="BB67" s="172">
        <v>121225.07692307691</v>
      </c>
      <c r="BC67" s="172">
        <v>14547.009230769228</v>
      </c>
    </row>
    <row r="68" spans="1:55" ht="18" customHeight="1" x14ac:dyDescent="0.25">
      <c r="A68" s="304">
        <v>66</v>
      </c>
      <c r="B68" s="305">
        <v>1065</v>
      </c>
      <c r="C68" s="306" t="s">
        <v>153</v>
      </c>
      <c r="D68" s="306" t="s">
        <v>616</v>
      </c>
      <c r="E68" s="306" t="s">
        <v>1890</v>
      </c>
      <c r="F68" s="307">
        <v>18000</v>
      </c>
      <c r="G68" s="307">
        <v>1800</v>
      </c>
      <c r="H68" s="307">
        <v>2160</v>
      </c>
      <c r="I68" s="307">
        <f t="shared" ref="I68:I102" si="12">F68*1%</f>
        <v>180</v>
      </c>
      <c r="J68" s="307">
        <v>1080</v>
      </c>
      <c r="K68" s="307">
        <v>23040</v>
      </c>
      <c r="L68" s="307">
        <v>2304</v>
      </c>
      <c r="M68" s="307">
        <v>403.20000000000005</v>
      </c>
      <c r="N68" s="308">
        <v>5</v>
      </c>
      <c r="O68" s="307">
        <f t="shared" si="11"/>
        <v>3461.5384615384614</v>
      </c>
      <c r="P68" s="308">
        <v>12</v>
      </c>
      <c r="Q68" s="307">
        <f t="shared" si="10"/>
        <v>1125</v>
      </c>
      <c r="R68" s="301">
        <f t="shared" ref="R68:R102" si="13">K68-L68-M68-O68+Q68</f>
        <v>17996.261538461538</v>
      </c>
      <c r="S68" s="309">
        <f t="shared" ref="S68:S102" si="14">R68*12</f>
        <v>215955.13846153847</v>
      </c>
      <c r="T68" s="310">
        <f t="shared" ref="T68:T102" si="15">S68*12%</f>
        <v>25914.616615384617</v>
      </c>
      <c r="V68" s="167"/>
      <c r="W68" s="167"/>
      <c r="X68" s="167"/>
      <c r="Y68" s="167"/>
      <c r="Z68" s="167"/>
      <c r="AA68" s="167"/>
      <c r="AB68" s="167"/>
      <c r="AC68" s="167"/>
      <c r="AD68" s="167"/>
      <c r="AE68" s="167"/>
      <c r="AF68" s="167"/>
      <c r="AG68" s="167"/>
      <c r="AH68" s="167"/>
      <c r="AI68" s="167"/>
      <c r="AJ68" s="167"/>
      <c r="AK68" s="167"/>
      <c r="AL68" s="167"/>
      <c r="AM68" s="167"/>
      <c r="AN68" s="169" t="s">
        <v>233</v>
      </c>
      <c r="AO68" s="169">
        <v>2090</v>
      </c>
      <c r="AP68" s="171">
        <v>30000</v>
      </c>
      <c r="AQ68" s="171">
        <v>3000</v>
      </c>
      <c r="AR68" s="171">
        <v>3600</v>
      </c>
      <c r="AS68" s="171">
        <v>1800</v>
      </c>
      <c r="AT68" s="171">
        <v>38400</v>
      </c>
      <c r="AU68" s="171">
        <v>3840</v>
      </c>
      <c r="AV68" s="172">
        <v>672</v>
      </c>
      <c r="AW68" s="169">
        <v>4</v>
      </c>
      <c r="AX68" s="171">
        <v>2307.6923076923076</v>
      </c>
      <c r="AY68" s="169">
        <v>27</v>
      </c>
      <c r="AZ68" s="171">
        <v>2093.75</v>
      </c>
      <c r="BA68" s="172">
        <v>33674.057692307688</v>
      </c>
      <c r="BB68" s="172">
        <v>404088.69230769225</v>
      </c>
      <c r="BC68" s="172">
        <v>48490.643076923072</v>
      </c>
    </row>
    <row r="69" spans="1:55" ht="18" customHeight="1" x14ac:dyDescent="0.25">
      <c r="A69" s="296">
        <v>67</v>
      </c>
      <c r="B69" s="297">
        <v>1066</v>
      </c>
      <c r="C69" s="298" t="s">
        <v>159</v>
      </c>
      <c r="D69" s="298" t="s">
        <v>616</v>
      </c>
      <c r="E69" s="298" t="s">
        <v>1468</v>
      </c>
      <c r="F69" s="299">
        <v>13000</v>
      </c>
      <c r="G69" s="299">
        <v>1300</v>
      </c>
      <c r="H69" s="299">
        <v>1560</v>
      </c>
      <c r="I69" s="299">
        <f t="shared" si="12"/>
        <v>130</v>
      </c>
      <c r="J69" s="299">
        <v>780</v>
      </c>
      <c r="K69" s="299">
        <v>16640</v>
      </c>
      <c r="L69" s="299">
        <v>1664</v>
      </c>
      <c r="M69" s="299">
        <v>291.20000000000005</v>
      </c>
      <c r="N69" s="300">
        <v>4</v>
      </c>
      <c r="O69" s="299">
        <f t="shared" si="11"/>
        <v>2000</v>
      </c>
      <c r="P69" s="300">
        <v>12</v>
      </c>
      <c r="Q69" s="299">
        <f t="shared" ref="Q69:Q100" si="16">F69/24/8*P69</f>
        <v>812.5</v>
      </c>
      <c r="R69" s="301">
        <f t="shared" si="13"/>
        <v>13497.3</v>
      </c>
      <c r="S69" s="302">
        <f t="shared" si="14"/>
        <v>161967.59999999998</v>
      </c>
      <c r="T69" s="303">
        <f t="shared" si="15"/>
        <v>19436.111999999997</v>
      </c>
      <c r="V69" s="167"/>
      <c r="W69" s="167"/>
      <c r="X69" s="167"/>
      <c r="Y69" s="167"/>
      <c r="Z69" s="167"/>
      <c r="AA69" s="167"/>
      <c r="AB69" s="167"/>
      <c r="AC69" s="167"/>
      <c r="AD69" s="167"/>
      <c r="AE69" s="167"/>
      <c r="AF69" s="167"/>
      <c r="AG69" s="167"/>
      <c r="AH69" s="167"/>
      <c r="AI69" s="167"/>
      <c r="AJ69" s="167"/>
      <c r="AK69" s="167"/>
      <c r="AL69" s="167"/>
      <c r="AM69" s="167"/>
      <c r="AN69" s="169" t="s">
        <v>616</v>
      </c>
      <c r="AO69" s="169">
        <v>2090</v>
      </c>
      <c r="AP69" s="171">
        <v>30000</v>
      </c>
      <c r="AQ69" s="171">
        <v>3000</v>
      </c>
      <c r="AR69" s="171">
        <v>3600</v>
      </c>
      <c r="AS69" s="171">
        <v>1800</v>
      </c>
      <c r="AT69" s="171">
        <v>38400</v>
      </c>
      <c r="AU69" s="171">
        <v>3840</v>
      </c>
      <c r="AV69" s="172">
        <v>672</v>
      </c>
      <c r="AW69" s="169">
        <v>4</v>
      </c>
      <c r="AX69" s="171">
        <v>2307.6923076923076</v>
      </c>
      <c r="AY69" s="169">
        <v>27</v>
      </c>
      <c r="AZ69" s="171">
        <v>2093.75</v>
      </c>
      <c r="BA69" s="172">
        <v>33674.057692307688</v>
      </c>
      <c r="BB69" s="172">
        <v>404088.69230769225</v>
      </c>
      <c r="BC69" s="172">
        <v>48490.643076923072</v>
      </c>
    </row>
    <row r="70" spans="1:55" ht="18" customHeight="1" x14ac:dyDescent="0.25">
      <c r="A70" s="304">
        <v>68</v>
      </c>
      <c r="B70" s="305">
        <v>1067</v>
      </c>
      <c r="C70" s="306" t="s">
        <v>166</v>
      </c>
      <c r="D70" s="306" t="s">
        <v>616</v>
      </c>
      <c r="E70" s="306" t="s">
        <v>1884</v>
      </c>
      <c r="F70" s="307">
        <v>11000</v>
      </c>
      <c r="G70" s="307">
        <v>1100</v>
      </c>
      <c r="H70" s="307">
        <v>1320</v>
      </c>
      <c r="I70" s="307">
        <f t="shared" si="12"/>
        <v>110</v>
      </c>
      <c r="J70" s="307">
        <v>660</v>
      </c>
      <c r="K70" s="307">
        <v>14080</v>
      </c>
      <c r="L70" s="307">
        <v>1408</v>
      </c>
      <c r="M70" s="307">
        <v>246.40000000000003</v>
      </c>
      <c r="N70" s="308">
        <v>4</v>
      </c>
      <c r="O70" s="307">
        <f t="shared" si="11"/>
        <v>1692.3076923076924</v>
      </c>
      <c r="P70" s="308">
        <v>13</v>
      </c>
      <c r="Q70" s="307">
        <f t="shared" si="16"/>
        <v>744.79166666666663</v>
      </c>
      <c r="R70" s="301">
        <f t="shared" si="13"/>
        <v>11478.083974358973</v>
      </c>
      <c r="S70" s="309">
        <f t="shared" si="14"/>
        <v>137737.00769230767</v>
      </c>
      <c r="T70" s="310">
        <f t="shared" si="15"/>
        <v>16528.44092307692</v>
      </c>
      <c r="V70" s="167"/>
      <c r="W70" s="167"/>
      <c r="X70" s="167"/>
      <c r="Y70" s="167"/>
      <c r="Z70" s="167"/>
      <c r="AA70" s="167"/>
      <c r="AB70" s="167"/>
      <c r="AC70" s="167"/>
      <c r="AD70" s="167"/>
      <c r="AE70" s="167"/>
      <c r="AF70" s="167"/>
      <c r="AG70" s="167"/>
      <c r="AH70" s="167"/>
      <c r="AI70" s="167"/>
      <c r="AJ70" s="167"/>
      <c r="AK70" s="167"/>
      <c r="AL70" s="167"/>
      <c r="AM70" s="167"/>
      <c r="AN70" s="169" t="s">
        <v>111</v>
      </c>
      <c r="AO70" s="169">
        <v>1058</v>
      </c>
      <c r="AP70" s="171">
        <v>28000</v>
      </c>
      <c r="AQ70" s="171">
        <v>2800</v>
      </c>
      <c r="AR70" s="171">
        <v>3360</v>
      </c>
      <c r="AS70" s="171">
        <v>1680</v>
      </c>
      <c r="AT70" s="171">
        <v>35840</v>
      </c>
      <c r="AU70" s="171">
        <v>3584</v>
      </c>
      <c r="AV70" s="172">
        <v>627.20000000000005</v>
      </c>
      <c r="AW70" s="169">
        <v>2</v>
      </c>
      <c r="AX70" s="171">
        <v>2153.8461538461538</v>
      </c>
      <c r="AY70" s="169">
        <v>14</v>
      </c>
      <c r="AZ70" s="171">
        <v>2041.6666666666667</v>
      </c>
      <c r="BA70" s="172">
        <v>31516.620512820515</v>
      </c>
      <c r="BB70" s="172">
        <v>378199.44615384616</v>
      </c>
      <c r="BC70" s="172">
        <v>45383.933538461541</v>
      </c>
    </row>
    <row r="71" spans="1:55" ht="18" customHeight="1" x14ac:dyDescent="0.25">
      <c r="A71" s="296">
        <v>69</v>
      </c>
      <c r="B71" s="297">
        <v>1068</v>
      </c>
      <c r="C71" s="298" t="s">
        <v>172</v>
      </c>
      <c r="D71" s="298" t="s">
        <v>616</v>
      </c>
      <c r="E71" s="298" t="s">
        <v>1885</v>
      </c>
      <c r="F71" s="299">
        <v>10000</v>
      </c>
      <c r="G71" s="299">
        <v>1000</v>
      </c>
      <c r="H71" s="299">
        <v>1200</v>
      </c>
      <c r="I71" s="299">
        <f t="shared" si="12"/>
        <v>100</v>
      </c>
      <c r="J71" s="299">
        <v>600</v>
      </c>
      <c r="K71" s="299">
        <v>12800</v>
      </c>
      <c r="L71" s="299">
        <v>1280</v>
      </c>
      <c r="M71" s="299">
        <v>224.00000000000003</v>
      </c>
      <c r="N71" s="300">
        <v>3</v>
      </c>
      <c r="O71" s="299">
        <f t="shared" si="11"/>
        <v>1153.8461538461538</v>
      </c>
      <c r="P71" s="300">
        <v>14</v>
      </c>
      <c r="Q71" s="299">
        <f t="shared" si="16"/>
        <v>729.16666666666674</v>
      </c>
      <c r="R71" s="301">
        <f t="shared" si="13"/>
        <v>10871.320512820512</v>
      </c>
      <c r="S71" s="302">
        <f t="shared" si="14"/>
        <v>130455.84615384614</v>
      </c>
      <c r="T71" s="303">
        <f t="shared" si="15"/>
        <v>15654.701538461537</v>
      </c>
      <c r="V71" s="167"/>
      <c r="W71" s="167"/>
      <c r="X71" s="167"/>
      <c r="Y71" s="167"/>
      <c r="Z71" s="167"/>
      <c r="AA71" s="167"/>
      <c r="AB71" s="167"/>
      <c r="AC71" s="167"/>
      <c r="AD71" s="167"/>
      <c r="AE71" s="167"/>
      <c r="AF71" s="167"/>
      <c r="AG71" s="167"/>
      <c r="AH71" s="167"/>
      <c r="AI71" s="167"/>
      <c r="AJ71" s="167"/>
      <c r="AK71" s="167"/>
      <c r="AL71" s="167"/>
      <c r="AM71" s="167"/>
      <c r="AN71" s="169" t="s">
        <v>616</v>
      </c>
      <c r="AO71" s="169">
        <v>1058</v>
      </c>
      <c r="AP71" s="171">
        <v>28000</v>
      </c>
      <c r="AQ71" s="171">
        <v>2800</v>
      </c>
      <c r="AR71" s="171">
        <v>3360</v>
      </c>
      <c r="AS71" s="171">
        <v>1680</v>
      </c>
      <c r="AT71" s="171">
        <v>35840</v>
      </c>
      <c r="AU71" s="171">
        <v>3584</v>
      </c>
      <c r="AV71" s="172">
        <v>627.20000000000005</v>
      </c>
      <c r="AW71" s="169">
        <v>2</v>
      </c>
      <c r="AX71" s="171">
        <v>2153.8461538461538</v>
      </c>
      <c r="AY71" s="169">
        <v>14</v>
      </c>
      <c r="AZ71" s="171">
        <v>2041.6666666666667</v>
      </c>
      <c r="BA71" s="172">
        <v>31516.620512820515</v>
      </c>
      <c r="BB71" s="172">
        <v>378199.44615384616</v>
      </c>
      <c r="BC71" s="172">
        <v>45383.933538461541</v>
      </c>
    </row>
    <row r="72" spans="1:55" ht="18" customHeight="1" x14ac:dyDescent="0.25">
      <c r="A72" s="304">
        <v>70</v>
      </c>
      <c r="B72" s="305">
        <v>1069</v>
      </c>
      <c r="C72" s="306" t="s">
        <v>178</v>
      </c>
      <c r="D72" s="306" t="s">
        <v>616</v>
      </c>
      <c r="E72" s="306" t="s">
        <v>895</v>
      </c>
      <c r="F72" s="307">
        <v>27000</v>
      </c>
      <c r="G72" s="307">
        <v>2700</v>
      </c>
      <c r="H72" s="307">
        <v>3240</v>
      </c>
      <c r="I72" s="307">
        <f t="shared" si="12"/>
        <v>270</v>
      </c>
      <c r="J72" s="307">
        <v>1620</v>
      </c>
      <c r="K72" s="307">
        <v>34560</v>
      </c>
      <c r="L72" s="307">
        <v>3456</v>
      </c>
      <c r="M72" s="307">
        <v>604.80000000000007</v>
      </c>
      <c r="N72" s="308">
        <v>2</v>
      </c>
      <c r="O72" s="307">
        <f t="shared" si="11"/>
        <v>2076.9230769230771</v>
      </c>
      <c r="P72" s="308">
        <v>15</v>
      </c>
      <c r="Q72" s="307">
        <f t="shared" si="16"/>
        <v>2109.375</v>
      </c>
      <c r="R72" s="301">
        <f t="shared" si="13"/>
        <v>30531.651923076923</v>
      </c>
      <c r="S72" s="309">
        <f t="shared" si="14"/>
        <v>366379.82307692309</v>
      </c>
      <c r="T72" s="310">
        <f t="shared" si="15"/>
        <v>43965.578769230771</v>
      </c>
      <c r="V72" s="167"/>
      <c r="W72" s="167"/>
      <c r="X72" s="167"/>
      <c r="Y72" s="167"/>
      <c r="Z72" s="167"/>
      <c r="AA72" s="167"/>
      <c r="AB72" s="167"/>
      <c r="AC72" s="167"/>
      <c r="AD72" s="167"/>
      <c r="AE72" s="167"/>
      <c r="AF72" s="167"/>
      <c r="AG72" s="167"/>
      <c r="AH72" s="167"/>
      <c r="AI72" s="167"/>
      <c r="AJ72" s="167"/>
      <c r="AK72" s="167"/>
      <c r="AL72" s="167"/>
      <c r="AM72" s="167"/>
      <c r="AN72" s="169" t="s">
        <v>210</v>
      </c>
      <c r="AO72" s="169">
        <v>1024</v>
      </c>
      <c r="AP72" s="171">
        <v>10000</v>
      </c>
      <c r="AQ72" s="171">
        <v>1000</v>
      </c>
      <c r="AR72" s="171">
        <v>1200</v>
      </c>
      <c r="AS72" s="171">
        <v>600</v>
      </c>
      <c r="AT72" s="171">
        <v>12800</v>
      </c>
      <c r="AU72" s="171">
        <v>1280</v>
      </c>
      <c r="AV72" s="172">
        <v>224.00000000000003</v>
      </c>
      <c r="AW72" s="169">
        <v>3</v>
      </c>
      <c r="AX72" s="171">
        <v>1153.8461538461538</v>
      </c>
      <c r="AY72" s="169">
        <v>14</v>
      </c>
      <c r="AZ72" s="171">
        <v>729.16666666666674</v>
      </c>
      <c r="BA72" s="172">
        <v>10871.320512820512</v>
      </c>
      <c r="BB72" s="172">
        <v>130455.84615384614</v>
      </c>
      <c r="BC72" s="172">
        <v>15654.701538461537</v>
      </c>
    </row>
    <row r="73" spans="1:55" ht="18" customHeight="1" x14ac:dyDescent="0.25">
      <c r="A73" s="296">
        <v>71</v>
      </c>
      <c r="B73" s="297">
        <v>1070</v>
      </c>
      <c r="C73" s="298" t="s">
        <v>184</v>
      </c>
      <c r="D73" s="298" t="s">
        <v>616</v>
      </c>
      <c r="E73" s="298" t="s">
        <v>1886</v>
      </c>
      <c r="F73" s="299">
        <v>27890</v>
      </c>
      <c r="G73" s="299">
        <v>2789</v>
      </c>
      <c r="H73" s="299">
        <v>3346.7999999999997</v>
      </c>
      <c r="I73" s="299">
        <f t="shared" si="12"/>
        <v>278.90000000000003</v>
      </c>
      <c r="J73" s="299">
        <v>1673.3999999999999</v>
      </c>
      <c r="K73" s="299">
        <v>35699.200000000004</v>
      </c>
      <c r="L73" s="299">
        <v>3569.9200000000005</v>
      </c>
      <c r="M73" s="299">
        <v>624.7360000000001</v>
      </c>
      <c r="N73" s="300">
        <v>4</v>
      </c>
      <c r="O73" s="299">
        <f t="shared" si="11"/>
        <v>4290.7692307692305</v>
      </c>
      <c r="P73" s="300">
        <v>15</v>
      </c>
      <c r="Q73" s="299">
        <f t="shared" si="16"/>
        <v>2178.90625</v>
      </c>
      <c r="R73" s="301">
        <f t="shared" si="13"/>
        <v>29392.681019230771</v>
      </c>
      <c r="S73" s="302">
        <f t="shared" si="14"/>
        <v>352712.17223076924</v>
      </c>
      <c r="T73" s="303">
        <f t="shared" si="15"/>
        <v>42325.460667692307</v>
      </c>
      <c r="V73" s="167"/>
      <c r="W73" s="167"/>
      <c r="X73" s="167"/>
      <c r="Y73" s="167"/>
      <c r="Z73" s="167"/>
      <c r="AA73" s="167"/>
      <c r="AB73" s="167"/>
      <c r="AC73" s="167"/>
      <c r="AD73" s="167"/>
      <c r="AE73" s="167"/>
      <c r="AF73" s="167"/>
      <c r="AG73" s="167"/>
      <c r="AH73" s="167"/>
      <c r="AI73" s="167"/>
      <c r="AJ73" s="167"/>
      <c r="AK73" s="167"/>
      <c r="AL73" s="167"/>
      <c r="AM73" s="167"/>
      <c r="AN73" s="169" t="s">
        <v>616</v>
      </c>
      <c r="AO73" s="169">
        <v>1024</v>
      </c>
      <c r="AP73" s="171">
        <v>10000</v>
      </c>
      <c r="AQ73" s="171">
        <v>1000</v>
      </c>
      <c r="AR73" s="171">
        <v>1200</v>
      </c>
      <c r="AS73" s="171">
        <v>600</v>
      </c>
      <c r="AT73" s="171">
        <v>12800</v>
      </c>
      <c r="AU73" s="171">
        <v>1280</v>
      </c>
      <c r="AV73" s="172">
        <v>224.00000000000003</v>
      </c>
      <c r="AW73" s="169">
        <v>3</v>
      </c>
      <c r="AX73" s="171">
        <v>1153.8461538461538</v>
      </c>
      <c r="AY73" s="169">
        <v>14</v>
      </c>
      <c r="AZ73" s="171">
        <v>729.16666666666674</v>
      </c>
      <c r="BA73" s="172">
        <v>10871.320512820512</v>
      </c>
      <c r="BB73" s="172">
        <v>130455.84615384614</v>
      </c>
      <c r="BC73" s="172">
        <v>15654.701538461537</v>
      </c>
    </row>
    <row r="74" spans="1:55" ht="18" customHeight="1" x14ac:dyDescent="0.25">
      <c r="A74" s="304">
        <v>72</v>
      </c>
      <c r="B74" s="305">
        <v>1071</v>
      </c>
      <c r="C74" s="306" t="s">
        <v>190</v>
      </c>
      <c r="D74" s="306" t="s">
        <v>616</v>
      </c>
      <c r="E74" s="306" t="s">
        <v>1887</v>
      </c>
      <c r="F74" s="307">
        <v>34000</v>
      </c>
      <c r="G74" s="307">
        <v>3400</v>
      </c>
      <c r="H74" s="307">
        <v>4080</v>
      </c>
      <c r="I74" s="307">
        <f t="shared" si="12"/>
        <v>340</v>
      </c>
      <c r="J74" s="307">
        <v>2040</v>
      </c>
      <c r="K74" s="307">
        <v>43520</v>
      </c>
      <c r="L74" s="307">
        <v>4352</v>
      </c>
      <c r="M74" s="307">
        <v>761.6</v>
      </c>
      <c r="N74" s="308">
        <v>3</v>
      </c>
      <c r="O74" s="307">
        <f t="shared" si="11"/>
        <v>3923.0769230769229</v>
      </c>
      <c r="P74" s="308">
        <v>13</v>
      </c>
      <c r="Q74" s="307">
        <f t="shared" si="16"/>
        <v>2302.0833333333335</v>
      </c>
      <c r="R74" s="301">
        <f t="shared" si="13"/>
        <v>36785.406410256415</v>
      </c>
      <c r="S74" s="309">
        <f t="shared" si="14"/>
        <v>441424.87692307698</v>
      </c>
      <c r="T74" s="310">
        <f t="shared" si="15"/>
        <v>52970.985230769234</v>
      </c>
      <c r="V74" s="167"/>
      <c r="W74" s="167"/>
      <c r="X74" s="167"/>
      <c r="Y74" s="167"/>
      <c r="Z74" s="167"/>
      <c r="AA74" s="167"/>
      <c r="AB74" s="167"/>
      <c r="AC74" s="167"/>
      <c r="AD74" s="167"/>
      <c r="AE74" s="167"/>
      <c r="AF74" s="167"/>
      <c r="AG74" s="167"/>
      <c r="AH74" s="167"/>
      <c r="AI74" s="167"/>
      <c r="AJ74" s="167"/>
      <c r="AK74" s="167"/>
      <c r="AL74" s="167"/>
      <c r="AM74" s="167"/>
      <c r="AN74" s="169" t="s">
        <v>88</v>
      </c>
      <c r="AO74" s="169">
        <v>1004</v>
      </c>
      <c r="AP74" s="171">
        <v>70000</v>
      </c>
      <c r="AQ74" s="171">
        <v>7000</v>
      </c>
      <c r="AR74" s="171">
        <v>8400</v>
      </c>
      <c r="AS74" s="171">
        <v>4200</v>
      </c>
      <c r="AT74" s="171">
        <v>89600</v>
      </c>
      <c r="AU74" s="171">
        <v>8960</v>
      </c>
      <c r="AV74" s="172">
        <v>1568.0000000000002</v>
      </c>
      <c r="AW74" s="169">
        <v>5</v>
      </c>
      <c r="AX74" s="171">
        <v>13461.538461538461</v>
      </c>
      <c r="AY74" s="169">
        <v>15</v>
      </c>
      <c r="AZ74" s="171">
        <v>5468.75</v>
      </c>
      <c r="BA74" s="172">
        <v>71079.211538461532</v>
      </c>
      <c r="BB74" s="172">
        <v>852950.53846153838</v>
      </c>
      <c r="BC74" s="172">
        <v>102354.0646153846</v>
      </c>
    </row>
    <row r="75" spans="1:55" ht="18" customHeight="1" x14ac:dyDescent="0.25">
      <c r="A75" s="296">
        <v>73</v>
      </c>
      <c r="B75" s="297">
        <v>1072</v>
      </c>
      <c r="C75" s="298" t="s">
        <v>197</v>
      </c>
      <c r="D75" s="298" t="s">
        <v>616</v>
      </c>
      <c r="E75" s="298" t="s">
        <v>1033</v>
      </c>
      <c r="F75" s="299">
        <v>24000</v>
      </c>
      <c r="G75" s="299">
        <v>2400</v>
      </c>
      <c r="H75" s="299">
        <v>2880</v>
      </c>
      <c r="I75" s="299">
        <f t="shared" si="12"/>
        <v>240</v>
      </c>
      <c r="J75" s="299">
        <v>1440</v>
      </c>
      <c r="K75" s="299">
        <v>30720</v>
      </c>
      <c r="L75" s="299">
        <v>3072</v>
      </c>
      <c r="M75" s="299">
        <v>537.6</v>
      </c>
      <c r="N75" s="300">
        <v>3</v>
      </c>
      <c r="O75" s="299">
        <f t="shared" si="11"/>
        <v>2769.2307692307695</v>
      </c>
      <c r="P75" s="300">
        <v>13</v>
      </c>
      <c r="Q75" s="299">
        <f t="shared" si="16"/>
        <v>1625</v>
      </c>
      <c r="R75" s="301">
        <f t="shared" si="13"/>
        <v>25966.169230769232</v>
      </c>
      <c r="S75" s="302">
        <f t="shared" si="14"/>
        <v>311594.0307692308</v>
      </c>
      <c r="T75" s="303">
        <f t="shared" si="15"/>
        <v>37391.283692307697</v>
      </c>
      <c r="V75" s="167"/>
      <c r="W75" s="167"/>
      <c r="X75" s="167"/>
      <c r="Y75" s="167"/>
      <c r="Z75" s="167"/>
      <c r="AA75" s="167"/>
      <c r="AB75" s="167"/>
      <c r="AC75" s="167"/>
      <c r="AD75" s="167"/>
      <c r="AE75" s="167"/>
      <c r="AF75" s="167"/>
      <c r="AG75" s="167"/>
      <c r="AH75" s="167"/>
      <c r="AI75" s="167"/>
      <c r="AJ75" s="167"/>
      <c r="AK75" s="167"/>
      <c r="AL75" s="167"/>
      <c r="AM75" s="167"/>
      <c r="AN75" s="169" t="s">
        <v>615</v>
      </c>
      <c r="AO75" s="169">
        <v>1004</v>
      </c>
      <c r="AP75" s="171">
        <v>70000</v>
      </c>
      <c r="AQ75" s="171">
        <v>7000</v>
      </c>
      <c r="AR75" s="171">
        <v>8400</v>
      </c>
      <c r="AS75" s="171">
        <v>4200</v>
      </c>
      <c r="AT75" s="171">
        <v>89600</v>
      </c>
      <c r="AU75" s="171">
        <v>8960</v>
      </c>
      <c r="AV75" s="172">
        <v>1568.0000000000002</v>
      </c>
      <c r="AW75" s="169">
        <v>5</v>
      </c>
      <c r="AX75" s="171">
        <v>13461.538461538461</v>
      </c>
      <c r="AY75" s="169">
        <v>15</v>
      </c>
      <c r="AZ75" s="171">
        <v>5468.75</v>
      </c>
      <c r="BA75" s="172">
        <v>71079.211538461532</v>
      </c>
      <c r="BB75" s="172">
        <v>852950.53846153838</v>
      </c>
      <c r="BC75" s="172">
        <v>102354.0646153846</v>
      </c>
    </row>
    <row r="76" spans="1:55" ht="18" customHeight="1" x14ac:dyDescent="0.25">
      <c r="A76" s="304">
        <v>74</v>
      </c>
      <c r="B76" s="305">
        <v>1073</v>
      </c>
      <c r="C76" s="306" t="s">
        <v>202</v>
      </c>
      <c r="D76" s="306" t="s">
        <v>616</v>
      </c>
      <c r="E76" s="306" t="s">
        <v>1888</v>
      </c>
      <c r="F76" s="307">
        <v>24000</v>
      </c>
      <c r="G76" s="307">
        <v>2400</v>
      </c>
      <c r="H76" s="307">
        <v>2880</v>
      </c>
      <c r="I76" s="307">
        <f t="shared" si="12"/>
        <v>240</v>
      </c>
      <c r="J76" s="307">
        <v>1440</v>
      </c>
      <c r="K76" s="307">
        <v>30720</v>
      </c>
      <c r="L76" s="307">
        <v>3072</v>
      </c>
      <c r="M76" s="307">
        <v>537.6</v>
      </c>
      <c r="N76" s="308">
        <v>5</v>
      </c>
      <c r="O76" s="307">
        <f t="shared" si="11"/>
        <v>4615.3846153846152</v>
      </c>
      <c r="P76" s="308">
        <v>13</v>
      </c>
      <c r="Q76" s="307">
        <f t="shared" si="16"/>
        <v>1625</v>
      </c>
      <c r="R76" s="301">
        <f t="shared" si="13"/>
        <v>24120.015384615384</v>
      </c>
      <c r="S76" s="309">
        <f t="shared" si="14"/>
        <v>289440.18461538461</v>
      </c>
      <c r="T76" s="310">
        <f t="shared" si="15"/>
        <v>34732.822153846151</v>
      </c>
      <c r="V76" s="167"/>
      <c r="W76" s="167"/>
      <c r="X76" s="167"/>
      <c r="Y76" s="167"/>
      <c r="Z76" s="167"/>
      <c r="AA76" s="167"/>
      <c r="AB76" s="167"/>
      <c r="AC76" s="167"/>
      <c r="AD76" s="167"/>
      <c r="AE76" s="167"/>
      <c r="AF76" s="167"/>
      <c r="AG76" s="167"/>
      <c r="AH76" s="167"/>
      <c r="AI76" s="167"/>
      <c r="AJ76" s="167"/>
      <c r="AK76" s="167"/>
      <c r="AL76" s="167"/>
      <c r="AM76" s="167"/>
      <c r="AN76" s="169" t="s">
        <v>204</v>
      </c>
      <c r="AO76" s="169">
        <v>1023</v>
      </c>
      <c r="AP76" s="171">
        <v>17000</v>
      </c>
      <c r="AQ76" s="171">
        <v>1700</v>
      </c>
      <c r="AR76" s="171">
        <v>2040</v>
      </c>
      <c r="AS76" s="171">
        <v>1020</v>
      </c>
      <c r="AT76" s="171">
        <v>21760</v>
      </c>
      <c r="AU76" s="171">
        <v>2176</v>
      </c>
      <c r="AV76" s="172">
        <v>380.8</v>
      </c>
      <c r="AW76" s="169">
        <v>2</v>
      </c>
      <c r="AX76" s="171">
        <v>1307.6923076923076</v>
      </c>
      <c r="AY76" s="169">
        <v>15</v>
      </c>
      <c r="AZ76" s="171">
        <v>1328.125</v>
      </c>
      <c r="BA76" s="172">
        <v>19223.632692307692</v>
      </c>
      <c r="BB76" s="172">
        <v>230683.59230769231</v>
      </c>
      <c r="BC76" s="172">
        <v>27682.031076923075</v>
      </c>
    </row>
    <row r="77" spans="1:55" ht="18" customHeight="1" x14ac:dyDescent="0.25">
      <c r="A77" s="296">
        <v>75</v>
      </c>
      <c r="B77" s="297">
        <v>1074</v>
      </c>
      <c r="C77" s="298" t="s">
        <v>208</v>
      </c>
      <c r="D77" s="298" t="s">
        <v>616</v>
      </c>
      <c r="E77" s="298" t="s">
        <v>1889</v>
      </c>
      <c r="F77" s="299">
        <v>33000</v>
      </c>
      <c r="G77" s="299">
        <v>3300</v>
      </c>
      <c r="H77" s="299">
        <v>3960</v>
      </c>
      <c r="I77" s="299">
        <f t="shared" si="12"/>
        <v>330</v>
      </c>
      <c r="J77" s="299">
        <v>1980</v>
      </c>
      <c r="K77" s="299">
        <v>42240</v>
      </c>
      <c r="L77" s="299">
        <v>4224</v>
      </c>
      <c r="M77" s="299">
        <v>739.2</v>
      </c>
      <c r="N77" s="300">
        <v>4</v>
      </c>
      <c r="O77" s="299">
        <f t="shared" si="11"/>
        <v>5076.9230769230771</v>
      </c>
      <c r="P77" s="300">
        <v>14</v>
      </c>
      <c r="Q77" s="299">
        <f t="shared" si="16"/>
        <v>2406.25</v>
      </c>
      <c r="R77" s="301">
        <f t="shared" si="13"/>
        <v>34606.126923076925</v>
      </c>
      <c r="S77" s="302">
        <f t="shared" si="14"/>
        <v>415273.5230769231</v>
      </c>
      <c r="T77" s="303">
        <f t="shared" si="15"/>
        <v>49832.82276923077</v>
      </c>
      <c r="V77" s="167"/>
      <c r="W77" s="167"/>
      <c r="X77" s="167"/>
      <c r="Y77" s="167"/>
      <c r="Z77" s="167"/>
      <c r="AA77" s="167"/>
      <c r="AB77" s="167"/>
      <c r="AC77" s="167"/>
      <c r="AD77" s="167"/>
      <c r="AE77" s="167"/>
      <c r="AF77" s="167"/>
      <c r="AG77" s="167"/>
      <c r="AH77" s="167"/>
      <c r="AI77" s="167"/>
      <c r="AJ77" s="167"/>
      <c r="AK77" s="167"/>
      <c r="AL77" s="167"/>
      <c r="AM77" s="167"/>
      <c r="AN77" s="169" t="s">
        <v>616</v>
      </c>
      <c r="AO77" s="169">
        <v>1023</v>
      </c>
      <c r="AP77" s="171">
        <v>17000</v>
      </c>
      <c r="AQ77" s="171">
        <v>1700</v>
      </c>
      <c r="AR77" s="171">
        <v>2040</v>
      </c>
      <c r="AS77" s="171">
        <v>1020</v>
      </c>
      <c r="AT77" s="171">
        <v>21760</v>
      </c>
      <c r="AU77" s="171">
        <v>2176</v>
      </c>
      <c r="AV77" s="172">
        <v>380.8</v>
      </c>
      <c r="AW77" s="169">
        <v>2</v>
      </c>
      <c r="AX77" s="171">
        <v>1307.6923076923076</v>
      </c>
      <c r="AY77" s="169">
        <v>15</v>
      </c>
      <c r="AZ77" s="171">
        <v>1328.125</v>
      </c>
      <c r="BA77" s="172">
        <v>19223.632692307692</v>
      </c>
      <c r="BB77" s="172">
        <v>230683.59230769231</v>
      </c>
      <c r="BC77" s="172">
        <v>27682.031076923075</v>
      </c>
    </row>
    <row r="78" spans="1:55" ht="18" customHeight="1" x14ac:dyDescent="0.25">
      <c r="A78" s="304">
        <v>76</v>
      </c>
      <c r="B78" s="305">
        <v>1075</v>
      </c>
      <c r="C78" s="306" t="s">
        <v>214</v>
      </c>
      <c r="D78" s="306" t="s">
        <v>616</v>
      </c>
      <c r="E78" s="306" t="s">
        <v>1890</v>
      </c>
      <c r="F78" s="307">
        <v>31000</v>
      </c>
      <c r="G78" s="307">
        <v>3100</v>
      </c>
      <c r="H78" s="307">
        <v>3720</v>
      </c>
      <c r="I78" s="307">
        <f t="shared" si="12"/>
        <v>310</v>
      </c>
      <c r="J78" s="307">
        <v>1860</v>
      </c>
      <c r="K78" s="307">
        <v>39680</v>
      </c>
      <c r="L78" s="307">
        <v>3968</v>
      </c>
      <c r="M78" s="307">
        <v>694.40000000000009</v>
      </c>
      <c r="N78" s="308">
        <v>4</v>
      </c>
      <c r="O78" s="307">
        <f t="shared" si="11"/>
        <v>4769.2307692307695</v>
      </c>
      <c r="P78" s="308">
        <v>15</v>
      </c>
      <c r="Q78" s="307">
        <f t="shared" si="16"/>
        <v>2421.875</v>
      </c>
      <c r="R78" s="301">
        <f t="shared" si="13"/>
        <v>32670.244230769229</v>
      </c>
      <c r="S78" s="309">
        <f t="shared" si="14"/>
        <v>392042.93076923076</v>
      </c>
      <c r="T78" s="310">
        <f t="shared" si="15"/>
        <v>47045.151692307692</v>
      </c>
      <c r="V78" s="167"/>
      <c r="W78" s="167"/>
      <c r="X78" s="167"/>
      <c r="Y78" s="167"/>
      <c r="Z78" s="167"/>
      <c r="AA78" s="167"/>
      <c r="AB78" s="167"/>
      <c r="AC78" s="167"/>
      <c r="AD78" s="167"/>
      <c r="AE78" s="167"/>
      <c r="AF78" s="167"/>
      <c r="AG78" s="167"/>
      <c r="AH78" s="167"/>
      <c r="AI78" s="167"/>
      <c r="AJ78" s="167"/>
      <c r="AK78" s="167"/>
      <c r="AL78" s="167"/>
      <c r="AM78" s="167"/>
      <c r="AN78" s="169" t="s">
        <v>186</v>
      </c>
      <c r="AO78" s="169">
        <v>2090</v>
      </c>
      <c r="AP78" s="171">
        <v>39890</v>
      </c>
      <c r="AQ78" s="171">
        <v>3989</v>
      </c>
      <c r="AR78" s="171">
        <v>4786.7999999999993</v>
      </c>
      <c r="AS78" s="171">
        <v>2393.3999999999996</v>
      </c>
      <c r="AT78" s="171">
        <v>51059.200000000004</v>
      </c>
      <c r="AU78" s="171">
        <v>5105.92</v>
      </c>
      <c r="AV78" s="172">
        <v>893.53600000000006</v>
      </c>
      <c r="AW78" s="169">
        <v>9</v>
      </c>
      <c r="AX78" s="171">
        <v>6598.4615384615381</v>
      </c>
      <c r="AY78" s="169">
        <v>27</v>
      </c>
      <c r="AZ78" s="171">
        <v>2928.90625</v>
      </c>
      <c r="BA78" s="172">
        <v>41390.18871153846</v>
      </c>
      <c r="BB78" s="172">
        <v>496682.26453846158</v>
      </c>
      <c r="BC78" s="172">
        <v>59601.871744615382</v>
      </c>
    </row>
    <row r="79" spans="1:55" ht="18" customHeight="1" x14ac:dyDescent="0.25">
      <c r="A79" s="296">
        <v>77</v>
      </c>
      <c r="B79" s="297">
        <v>1076</v>
      </c>
      <c r="C79" s="298" t="s">
        <v>219</v>
      </c>
      <c r="D79" s="298" t="s">
        <v>616</v>
      </c>
      <c r="E79" s="298" t="s">
        <v>1468</v>
      </c>
      <c r="F79" s="299">
        <v>23000</v>
      </c>
      <c r="G79" s="299">
        <v>2300</v>
      </c>
      <c r="H79" s="299">
        <v>2760</v>
      </c>
      <c r="I79" s="299">
        <f t="shared" si="12"/>
        <v>230</v>
      </c>
      <c r="J79" s="299">
        <v>1380</v>
      </c>
      <c r="K79" s="299">
        <v>29440</v>
      </c>
      <c r="L79" s="299">
        <v>2944</v>
      </c>
      <c r="M79" s="299">
        <v>515.20000000000005</v>
      </c>
      <c r="N79" s="300">
        <v>4</v>
      </c>
      <c r="O79" s="299">
        <f t="shared" si="11"/>
        <v>3538.4615384615386</v>
      </c>
      <c r="P79" s="300">
        <v>15</v>
      </c>
      <c r="Q79" s="299">
        <f t="shared" si="16"/>
        <v>1796.875</v>
      </c>
      <c r="R79" s="301">
        <f t="shared" si="13"/>
        <v>24239.21346153846</v>
      </c>
      <c r="S79" s="302">
        <f t="shared" si="14"/>
        <v>290870.56153846154</v>
      </c>
      <c r="T79" s="303">
        <f t="shared" si="15"/>
        <v>34904.467384615382</v>
      </c>
      <c r="V79" s="167"/>
      <c r="W79" s="167"/>
      <c r="X79" s="167"/>
      <c r="Y79" s="167"/>
      <c r="Z79" s="167"/>
      <c r="AA79" s="167"/>
      <c r="AB79" s="167"/>
      <c r="AC79" s="167"/>
      <c r="AD79" s="167"/>
      <c r="AE79" s="167"/>
      <c r="AF79" s="167"/>
      <c r="AG79" s="167"/>
      <c r="AH79" s="167"/>
      <c r="AI79" s="167"/>
      <c r="AJ79" s="167"/>
      <c r="AK79" s="167"/>
      <c r="AL79" s="167"/>
      <c r="AM79" s="167"/>
      <c r="AN79" s="169" t="s">
        <v>616</v>
      </c>
      <c r="AO79" s="169">
        <v>2090</v>
      </c>
      <c r="AP79" s="171">
        <v>39890</v>
      </c>
      <c r="AQ79" s="171">
        <v>3989</v>
      </c>
      <c r="AR79" s="171">
        <v>4786.7999999999993</v>
      </c>
      <c r="AS79" s="171">
        <v>2393.3999999999996</v>
      </c>
      <c r="AT79" s="171">
        <v>51059.200000000004</v>
      </c>
      <c r="AU79" s="171">
        <v>5105.92</v>
      </c>
      <c r="AV79" s="172">
        <v>893.53600000000006</v>
      </c>
      <c r="AW79" s="169">
        <v>9</v>
      </c>
      <c r="AX79" s="171">
        <v>6598.4615384615381</v>
      </c>
      <c r="AY79" s="169">
        <v>27</v>
      </c>
      <c r="AZ79" s="171">
        <v>2928.90625</v>
      </c>
      <c r="BA79" s="172">
        <v>41390.18871153846</v>
      </c>
      <c r="BB79" s="172">
        <v>496682.26453846158</v>
      </c>
      <c r="BC79" s="172">
        <v>59601.871744615382</v>
      </c>
    </row>
    <row r="80" spans="1:55" ht="18" customHeight="1" x14ac:dyDescent="0.25">
      <c r="A80" s="304">
        <v>78</v>
      </c>
      <c r="B80" s="305">
        <v>1077</v>
      </c>
      <c r="C80" s="306" t="s">
        <v>225</v>
      </c>
      <c r="D80" s="306" t="s">
        <v>616</v>
      </c>
      <c r="E80" s="306" t="s">
        <v>1884</v>
      </c>
      <c r="F80" s="307">
        <v>13000</v>
      </c>
      <c r="G80" s="307">
        <v>1300</v>
      </c>
      <c r="H80" s="307">
        <v>1560</v>
      </c>
      <c r="I80" s="307">
        <f t="shared" si="12"/>
        <v>130</v>
      </c>
      <c r="J80" s="307">
        <v>780</v>
      </c>
      <c r="K80" s="307">
        <v>16640</v>
      </c>
      <c r="L80" s="307">
        <v>1664</v>
      </c>
      <c r="M80" s="307">
        <v>291.20000000000005</v>
      </c>
      <c r="N80" s="308">
        <v>2</v>
      </c>
      <c r="O80" s="307">
        <f t="shared" si="11"/>
        <v>1000</v>
      </c>
      <c r="P80" s="308">
        <v>13</v>
      </c>
      <c r="Q80" s="307">
        <f t="shared" si="16"/>
        <v>880.20833333333326</v>
      </c>
      <c r="R80" s="301">
        <f t="shared" si="13"/>
        <v>14565.008333333333</v>
      </c>
      <c r="S80" s="309">
        <f t="shared" si="14"/>
        <v>174780.1</v>
      </c>
      <c r="T80" s="310">
        <f t="shared" si="15"/>
        <v>20973.612000000001</v>
      </c>
      <c r="V80" s="167"/>
      <c r="W80" s="167"/>
      <c r="X80" s="167"/>
      <c r="Y80" s="167"/>
      <c r="Z80" s="167"/>
      <c r="AA80" s="167"/>
      <c r="AB80" s="167"/>
      <c r="AC80" s="167"/>
      <c r="AD80" s="167"/>
      <c r="AE80" s="167"/>
      <c r="AF80" s="167"/>
      <c r="AG80" s="167"/>
      <c r="AH80" s="167"/>
      <c r="AI80" s="167"/>
      <c r="AJ80" s="167"/>
      <c r="AK80" s="167"/>
      <c r="AL80" s="167"/>
      <c r="AM80" s="167"/>
      <c r="AN80" s="169" t="s">
        <v>221</v>
      </c>
      <c r="AO80" s="169">
        <v>1026</v>
      </c>
      <c r="AP80" s="171">
        <v>26000</v>
      </c>
      <c r="AQ80" s="171">
        <v>2600</v>
      </c>
      <c r="AR80" s="171">
        <v>3120</v>
      </c>
      <c r="AS80" s="171">
        <v>1560</v>
      </c>
      <c r="AT80" s="171">
        <v>33280</v>
      </c>
      <c r="AU80" s="171">
        <v>3328</v>
      </c>
      <c r="AV80" s="172">
        <v>582.40000000000009</v>
      </c>
      <c r="AW80" s="169">
        <v>5</v>
      </c>
      <c r="AX80" s="171">
        <v>5000</v>
      </c>
      <c r="AY80" s="169">
        <v>13</v>
      </c>
      <c r="AZ80" s="171">
        <v>1760.4166666666665</v>
      </c>
      <c r="BA80" s="172">
        <v>26130.016666666666</v>
      </c>
      <c r="BB80" s="172">
        <v>313560.2</v>
      </c>
      <c r="BC80" s="172">
        <v>37627.224000000002</v>
      </c>
    </row>
    <row r="81" spans="1:55" ht="18" customHeight="1" x14ac:dyDescent="0.25">
      <c r="A81" s="296">
        <v>79</v>
      </c>
      <c r="B81" s="297">
        <v>1078</v>
      </c>
      <c r="C81" s="298" t="s">
        <v>231</v>
      </c>
      <c r="D81" s="298" t="s">
        <v>616</v>
      </c>
      <c r="E81" s="298" t="s">
        <v>1885</v>
      </c>
      <c r="F81" s="299">
        <v>25000</v>
      </c>
      <c r="G81" s="299">
        <v>2500</v>
      </c>
      <c r="H81" s="299">
        <v>3000</v>
      </c>
      <c r="I81" s="299">
        <f t="shared" si="12"/>
        <v>250</v>
      </c>
      <c r="J81" s="299">
        <v>1500</v>
      </c>
      <c r="K81" s="299">
        <v>32000</v>
      </c>
      <c r="L81" s="299">
        <v>3200</v>
      </c>
      <c r="M81" s="299">
        <v>560</v>
      </c>
      <c r="N81" s="300">
        <v>4</v>
      </c>
      <c r="O81" s="299">
        <f t="shared" si="11"/>
        <v>3846.1538461538462</v>
      </c>
      <c r="P81" s="300">
        <v>12</v>
      </c>
      <c r="Q81" s="299">
        <f t="shared" si="16"/>
        <v>1562.5</v>
      </c>
      <c r="R81" s="301">
        <f t="shared" si="13"/>
        <v>25956.346153846152</v>
      </c>
      <c r="S81" s="302">
        <f t="shared" si="14"/>
        <v>311476.15384615381</v>
      </c>
      <c r="T81" s="303">
        <f t="shared" si="15"/>
        <v>37377.13846153846</v>
      </c>
      <c r="V81" s="167"/>
      <c r="W81" s="167"/>
      <c r="X81" s="167"/>
      <c r="Y81" s="167"/>
      <c r="Z81" s="167"/>
      <c r="AA81" s="167"/>
      <c r="AB81" s="167"/>
      <c r="AC81" s="167"/>
      <c r="AD81" s="167"/>
      <c r="AE81" s="167"/>
      <c r="AF81" s="167"/>
      <c r="AG81" s="167"/>
      <c r="AH81" s="167"/>
      <c r="AI81" s="167"/>
      <c r="AJ81" s="167"/>
      <c r="AK81" s="167"/>
      <c r="AL81" s="167"/>
      <c r="AM81" s="167"/>
      <c r="AN81" s="169" t="s">
        <v>616</v>
      </c>
      <c r="AO81" s="169">
        <v>1026</v>
      </c>
      <c r="AP81" s="171">
        <v>26000</v>
      </c>
      <c r="AQ81" s="171">
        <v>2600</v>
      </c>
      <c r="AR81" s="171">
        <v>3120</v>
      </c>
      <c r="AS81" s="171">
        <v>1560</v>
      </c>
      <c r="AT81" s="171">
        <v>33280</v>
      </c>
      <c r="AU81" s="171">
        <v>3328</v>
      </c>
      <c r="AV81" s="172">
        <v>582.40000000000009</v>
      </c>
      <c r="AW81" s="169">
        <v>5</v>
      </c>
      <c r="AX81" s="171">
        <v>5000</v>
      </c>
      <c r="AY81" s="169">
        <v>13</v>
      </c>
      <c r="AZ81" s="171">
        <v>1760.4166666666665</v>
      </c>
      <c r="BA81" s="172">
        <v>26130.016666666666</v>
      </c>
      <c r="BB81" s="172">
        <v>313560.2</v>
      </c>
      <c r="BC81" s="172">
        <v>37627.224000000002</v>
      </c>
    </row>
    <row r="82" spans="1:55" ht="18" customHeight="1" x14ac:dyDescent="0.25">
      <c r="A82" s="304">
        <v>80</v>
      </c>
      <c r="B82" s="305">
        <v>1079</v>
      </c>
      <c r="C82" s="306" t="s">
        <v>237</v>
      </c>
      <c r="D82" s="306" t="s">
        <v>616</v>
      </c>
      <c r="E82" s="306" t="s">
        <v>895</v>
      </c>
      <c r="F82" s="307">
        <v>14000</v>
      </c>
      <c r="G82" s="307">
        <v>1400</v>
      </c>
      <c r="H82" s="307">
        <v>1680</v>
      </c>
      <c r="I82" s="307">
        <f t="shared" si="12"/>
        <v>140</v>
      </c>
      <c r="J82" s="307">
        <v>840</v>
      </c>
      <c r="K82" s="307">
        <v>17920</v>
      </c>
      <c r="L82" s="307">
        <v>1792</v>
      </c>
      <c r="M82" s="307">
        <v>313.60000000000002</v>
      </c>
      <c r="N82" s="308">
        <v>3</v>
      </c>
      <c r="O82" s="307">
        <f t="shared" si="11"/>
        <v>1615.3846153846152</v>
      </c>
      <c r="P82" s="308">
        <v>15</v>
      </c>
      <c r="Q82" s="307">
        <f t="shared" si="16"/>
        <v>1093.75</v>
      </c>
      <c r="R82" s="301">
        <f t="shared" si="13"/>
        <v>15292.765384615384</v>
      </c>
      <c r="S82" s="309">
        <f t="shared" si="14"/>
        <v>183513.18461538461</v>
      </c>
      <c r="T82" s="310">
        <f t="shared" si="15"/>
        <v>22021.582153846153</v>
      </c>
      <c r="V82" s="167"/>
      <c r="W82" s="167"/>
      <c r="X82" s="167"/>
      <c r="Y82" s="167"/>
      <c r="Z82" s="167"/>
      <c r="AA82" s="167"/>
      <c r="AB82" s="167"/>
      <c r="AC82" s="167"/>
      <c r="AD82" s="167"/>
      <c r="AE82" s="167"/>
      <c r="AF82" s="167"/>
      <c r="AG82" s="167"/>
      <c r="AH82" s="167"/>
      <c r="AI82" s="167"/>
      <c r="AJ82" s="167"/>
      <c r="AK82" s="167"/>
      <c r="AL82" s="167"/>
      <c r="AM82" s="167"/>
      <c r="AN82" s="169" t="s">
        <v>237</v>
      </c>
      <c r="AO82" s="169">
        <v>1079</v>
      </c>
      <c r="AP82" s="171">
        <v>14000</v>
      </c>
      <c r="AQ82" s="171">
        <v>1400</v>
      </c>
      <c r="AR82" s="171">
        <v>1680</v>
      </c>
      <c r="AS82" s="171">
        <v>840</v>
      </c>
      <c r="AT82" s="171">
        <v>17920</v>
      </c>
      <c r="AU82" s="171">
        <v>1792</v>
      </c>
      <c r="AV82" s="172">
        <v>313.60000000000002</v>
      </c>
      <c r="AW82" s="169">
        <v>3</v>
      </c>
      <c r="AX82" s="171">
        <v>1615.3846153846152</v>
      </c>
      <c r="AY82" s="169">
        <v>15</v>
      </c>
      <c r="AZ82" s="171">
        <v>1093.75</v>
      </c>
      <c r="BA82" s="172">
        <v>15292.765384615384</v>
      </c>
      <c r="BB82" s="172">
        <v>183513.18461538461</v>
      </c>
      <c r="BC82" s="172">
        <v>22021.582153846153</v>
      </c>
    </row>
    <row r="83" spans="1:55" ht="18" customHeight="1" x14ac:dyDescent="0.25">
      <c r="A83" s="296">
        <v>81</v>
      </c>
      <c r="B83" s="297">
        <v>1080</v>
      </c>
      <c r="C83" s="298" t="s">
        <v>243</v>
      </c>
      <c r="D83" s="298" t="s">
        <v>616</v>
      </c>
      <c r="E83" s="298" t="s">
        <v>1886</v>
      </c>
      <c r="F83" s="299">
        <v>16000</v>
      </c>
      <c r="G83" s="299">
        <v>1600</v>
      </c>
      <c r="H83" s="299">
        <v>1920</v>
      </c>
      <c r="I83" s="299">
        <f t="shared" si="12"/>
        <v>160</v>
      </c>
      <c r="J83" s="299">
        <v>960</v>
      </c>
      <c r="K83" s="299">
        <v>20480</v>
      </c>
      <c r="L83" s="299">
        <v>2048</v>
      </c>
      <c r="M83" s="299">
        <v>358.40000000000003</v>
      </c>
      <c r="N83" s="300">
        <v>5</v>
      </c>
      <c r="O83" s="299">
        <f t="shared" si="11"/>
        <v>3076.9230769230767</v>
      </c>
      <c r="P83" s="300">
        <v>14</v>
      </c>
      <c r="Q83" s="299">
        <f t="shared" si="16"/>
        <v>1166.6666666666665</v>
      </c>
      <c r="R83" s="301">
        <f t="shared" si="13"/>
        <v>16163.343589743588</v>
      </c>
      <c r="S83" s="302">
        <f t="shared" si="14"/>
        <v>193960.12307692308</v>
      </c>
      <c r="T83" s="303">
        <f t="shared" si="15"/>
        <v>23275.21476923077</v>
      </c>
      <c r="V83" s="167"/>
      <c r="W83" s="167"/>
      <c r="X83" s="167"/>
      <c r="Y83" s="167"/>
      <c r="Z83" s="167"/>
      <c r="AA83" s="167"/>
      <c r="AB83" s="167"/>
      <c r="AC83" s="167"/>
      <c r="AD83" s="167"/>
      <c r="AE83" s="167"/>
      <c r="AF83" s="167"/>
      <c r="AG83" s="167"/>
      <c r="AH83" s="167"/>
      <c r="AI83" s="167"/>
      <c r="AJ83" s="167"/>
      <c r="AK83" s="167"/>
      <c r="AL83" s="167"/>
      <c r="AM83" s="167"/>
      <c r="AN83" s="169" t="s">
        <v>616</v>
      </c>
      <c r="AO83" s="169">
        <v>1079</v>
      </c>
      <c r="AP83" s="171">
        <v>14000</v>
      </c>
      <c r="AQ83" s="171">
        <v>1400</v>
      </c>
      <c r="AR83" s="171">
        <v>1680</v>
      </c>
      <c r="AS83" s="171">
        <v>840</v>
      </c>
      <c r="AT83" s="171">
        <v>17920</v>
      </c>
      <c r="AU83" s="171">
        <v>1792</v>
      </c>
      <c r="AV83" s="172">
        <v>313.60000000000002</v>
      </c>
      <c r="AW83" s="169">
        <v>3</v>
      </c>
      <c r="AX83" s="171">
        <v>1615.3846153846152</v>
      </c>
      <c r="AY83" s="169">
        <v>15</v>
      </c>
      <c r="AZ83" s="171">
        <v>1093.75</v>
      </c>
      <c r="BA83" s="172">
        <v>15292.765384615384</v>
      </c>
      <c r="BB83" s="172">
        <v>183513.18461538461</v>
      </c>
      <c r="BC83" s="172">
        <v>22021.582153846153</v>
      </c>
    </row>
    <row r="84" spans="1:55" ht="18" customHeight="1" x14ac:dyDescent="0.25">
      <c r="A84" s="304">
        <v>82</v>
      </c>
      <c r="B84" s="305">
        <v>1081</v>
      </c>
      <c r="C84" s="306" t="s">
        <v>249</v>
      </c>
      <c r="D84" s="306" t="s">
        <v>616</v>
      </c>
      <c r="E84" s="306" t="s">
        <v>1887</v>
      </c>
      <c r="F84" s="307">
        <v>20000</v>
      </c>
      <c r="G84" s="307">
        <v>2000</v>
      </c>
      <c r="H84" s="307">
        <v>2400</v>
      </c>
      <c r="I84" s="307">
        <f t="shared" si="12"/>
        <v>200</v>
      </c>
      <c r="J84" s="307">
        <v>1200</v>
      </c>
      <c r="K84" s="307">
        <v>25600</v>
      </c>
      <c r="L84" s="307">
        <v>2560</v>
      </c>
      <c r="M84" s="307">
        <v>448.00000000000006</v>
      </c>
      <c r="N84" s="308">
        <v>4</v>
      </c>
      <c r="O84" s="307">
        <f t="shared" si="11"/>
        <v>3076.9230769230771</v>
      </c>
      <c r="P84" s="308">
        <v>13</v>
      </c>
      <c r="Q84" s="307">
        <f t="shared" si="16"/>
        <v>1354.1666666666667</v>
      </c>
      <c r="R84" s="301">
        <f t="shared" si="13"/>
        <v>20869.24358974359</v>
      </c>
      <c r="S84" s="309">
        <f t="shared" si="14"/>
        <v>250430.92307692306</v>
      </c>
      <c r="T84" s="310">
        <f t="shared" si="15"/>
        <v>30051.710769230765</v>
      </c>
      <c r="V84" s="167"/>
      <c r="W84" s="167"/>
      <c r="X84" s="167"/>
      <c r="Y84" s="167"/>
      <c r="Z84" s="167"/>
      <c r="AA84" s="167"/>
      <c r="AB84" s="167"/>
      <c r="AC84" s="167"/>
      <c r="AD84" s="167"/>
      <c r="AE84" s="167"/>
      <c r="AF84" s="167"/>
      <c r="AG84" s="167"/>
      <c r="AH84" s="167"/>
      <c r="AI84" s="167"/>
      <c r="AJ84" s="167"/>
      <c r="AK84" s="167"/>
      <c r="AL84" s="167"/>
      <c r="AM84" s="167"/>
      <c r="AN84" s="169" t="s">
        <v>100</v>
      </c>
      <c r="AO84" s="169">
        <v>2014</v>
      </c>
      <c r="AP84" s="171">
        <v>29000</v>
      </c>
      <c r="AQ84" s="171">
        <v>2900</v>
      </c>
      <c r="AR84" s="171">
        <v>3480</v>
      </c>
      <c r="AS84" s="171">
        <v>1740</v>
      </c>
      <c r="AT84" s="171">
        <v>37120</v>
      </c>
      <c r="AU84" s="171">
        <v>3712</v>
      </c>
      <c r="AV84" s="172">
        <v>649.60000000000014</v>
      </c>
      <c r="AW84" s="169">
        <v>6</v>
      </c>
      <c r="AX84" s="171">
        <v>3615.3846153846152</v>
      </c>
      <c r="AY84" s="169">
        <v>28</v>
      </c>
      <c r="AZ84" s="171">
        <v>2078.125</v>
      </c>
      <c r="BA84" s="172">
        <v>31221.140384615384</v>
      </c>
      <c r="BB84" s="172">
        <v>374653.68461538461</v>
      </c>
      <c r="BC84" s="172">
        <v>44958.442153846154</v>
      </c>
    </row>
    <row r="85" spans="1:55" ht="18" customHeight="1" x14ac:dyDescent="0.25">
      <c r="A85" s="296">
        <v>83</v>
      </c>
      <c r="B85" s="297">
        <v>1082</v>
      </c>
      <c r="C85" s="298" t="s">
        <v>256</v>
      </c>
      <c r="D85" s="298" t="s">
        <v>616</v>
      </c>
      <c r="E85" s="298" t="s">
        <v>1033</v>
      </c>
      <c r="F85" s="299">
        <v>29000</v>
      </c>
      <c r="G85" s="299">
        <v>2900</v>
      </c>
      <c r="H85" s="299">
        <v>3480</v>
      </c>
      <c r="I85" s="299">
        <f t="shared" si="12"/>
        <v>290</v>
      </c>
      <c r="J85" s="299">
        <v>1740</v>
      </c>
      <c r="K85" s="299">
        <v>37120</v>
      </c>
      <c r="L85" s="299">
        <v>3712</v>
      </c>
      <c r="M85" s="299">
        <v>649.6</v>
      </c>
      <c r="N85" s="300">
        <v>3</v>
      </c>
      <c r="O85" s="299">
        <f t="shared" si="11"/>
        <v>3346.1538461538466</v>
      </c>
      <c r="P85" s="300">
        <v>13</v>
      </c>
      <c r="Q85" s="299">
        <f t="shared" si="16"/>
        <v>1963.5416666666665</v>
      </c>
      <c r="R85" s="301">
        <f t="shared" si="13"/>
        <v>31375.787820512822</v>
      </c>
      <c r="S85" s="302">
        <f t="shared" si="14"/>
        <v>376509.45384615386</v>
      </c>
      <c r="T85" s="303">
        <f t="shared" si="15"/>
        <v>45181.134461538459</v>
      </c>
      <c r="V85" s="167"/>
      <c r="W85" s="167"/>
      <c r="X85" s="167"/>
      <c r="Y85" s="167"/>
      <c r="Z85" s="167"/>
      <c r="AA85" s="167"/>
      <c r="AB85" s="167"/>
      <c r="AC85" s="167"/>
      <c r="AD85" s="167"/>
      <c r="AE85" s="167"/>
      <c r="AF85" s="167"/>
      <c r="AG85" s="167"/>
      <c r="AH85" s="167"/>
      <c r="AI85" s="167"/>
      <c r="AJ85" s="167"/>
      <c r="AK85" s="167"/>
      <c r="AL85" s="167"/>
      <c r="AM85" s="167"/>
      <c r="AN85" s="169" t="s">
        <v>616</v>
      </c>
      <c r="AO85" s="169">
        <v>2014</v>
      </c>
      <c r="AP85" s="171">
        <v>29000</v>
      </c>
      <c r="AQ85" s="171">
        <v>2900</v>
      </c>
      <c r="AR85" s="171">
        <v>3480</v>
      </c>
      <c r="AS85" s="171">
        <v>1740</v>
      </c>
      <c r="AT85" s="171">
        <v>37120</v>
      </c>
      <c r="AU85" s="171">
        <v>3712</v>
      </c>
      <c r="AV85" s="172">
        <v>649.60000000000014</v>
      </c>
      <c r="AW85" s="169">
        <v>6</v>
      </c>
      <c r="AX85" s="171">
        <v>3615.3846153846152</v>
      </c>
      <c r="AY85" s="169">
        <v>28</v>
      </c>
      <c r="AZ85" s="171">
        <v>2078.125</v>
      </c>
      <c r="BA85" s="172">
        <v>31221.140384615384</v>
      </c>
      <c r="BB85" s="172">
        <v>374653.68461538461</v>
      </c>
      <c r="BC85" s="172">
        <v>44958.442153846154</v>
      </c>
    </row>
    <row r="86" spans="1:55" ht="18" customHeight="1" x14ac:dyDescent="0.25">
      <c r="A86" s="304">
        <v>84</v>
      </c>
      <c r="B86" s="305">
        <v>1083</v>
      </c>
      <c r="C86" s="306" t="s">
        <v>262</v>
      </c>
      <c r="D86" s="306" t="s">
        <v>616</v>
      </c>
      <c r="E86" s="306" t="s">
        <v>1888</v>
      </c>
      <c r="F86" s="307">
        <v>12000</v>
      </c>
      <c r="G86" s="307">
        <v>1200</v>
      </c>
      <c r="H86" s="307">
        <v>1440</v>
      </c>
      <c r="I86" s="307">
        <f t="shared" si="12"/>
        <v>120</v>
      </c>
      <c r="J86" s="307">
        <v>720</v>
      </c>
      <c r="K86" s="307">
        <v>15360</v>
      </c>
      <c r="L86" s="307">
        <v>1536</v>
      </c>
      <c r="M86" s="307">
        <v>268.8</v>
      </c>
      <c r="N86" s="308">
        <v>4</v>
      </c>
      <c r="O86" s="307">
        <f t="shared" si="11"/>
        <v>1846.1538461538462</v>
      </c>
      <c r="P86" s="308">
        <v>13</v>
      </c>
      <c r="Q86" s="307">
        <f t="shared" si="16"/>
        <v>812.5</v>
      </c>
      <c r="R86" s="301">
        <f t="shared" si="13"/>
        <v>12521.546153846155</v>
      </c>
      <c r="S86" s="309">
        <f t="shared" si="14"/>
        <v>150258.55384615387</v>
      </c>
      <c r="T86" s="310">
        <f t="shared" si="15"/>
        <v>18031.026461538462</v>
      </c>
      <c r="V86" s="167"/>
      <c r="W86" s="167"/>
      <c r="X86" s="167"/>
      <c r="Y86" s="167"/>
      <c r="Z86" s="167"/>
      <c r="AA86" s="167"/>
      <c r="AB86" s="167"/>
      <c r="AC86" s="167"/>
      <c r="AD86" s="167"/>
      <c r="AE86" s="167"/>
      <c r="AF86" s="167"/>
      <c r="AG86" s="167"/>
      <c r="AH86" s="167"/>
      <c r="AI86" s="167"/>
      <c r="AJ86" s="167"/>
      <c r="AK86" s="167"/>
      <c r="AL86" s="167"/>
      <c r="AM86" s="167"/>
      <c r="AN86" s="169" t="s">
        <v>346</v>
      </c>
      <c r="AO86" s="169">
        <v>1097</v>
      </c>
      <c r="AP86" s="171">
        <v>23000</v>
      </c>
      <c r="AQ86" s="171">
        <v>2300</v>
      </c>
      <c r="AR86" s="171">
        <v>2760</v>
      </c>
      <c r="AS86" s="171">
        <v>1380</v>
      </c>
      <c r="AT86" s="171">
        <v>29440</v>
      </c>
      <c r="AU86" s="171">
        <v>2944</v>
      </c>
      <c r="AV86" s="172">
        <v>515.20000000000005</v>
      </c>
      <c r="AW86" s="169">
        <v>2</v>
      </c>
      <c r="AX86" s="171">
        <v>1769.2307692307693</v>
      </c>
      <c r="AY86" s="169">
        <v>14</v>
      </c>
      <c r="AZ86" s="171">
        <v>1677.0833333333335</v>
      </c>
      <c r="BA86" s="172">
        <v>25888.652564102562</v>
      </c>
      <c r="BB86" s="172">
        <v>310663.83076923073</v>
      </c>
      <c r="BC86" s="172">
        <v>37279.659692307687</v>
      </c>
    </row>
    <row r="87" spans="1:55" ht="18" customHeight="1" x14ac:dyDescent="0.25">
      <c r="A87" s="296">
        <v>85</v>
      </c>
      <c r="B87" s="297">
        <v>1084</v>
      </c>
      <c r="C87" s="298" t="s">
        <v>269</v>
      </c>
      <c r="D87" s="298" t="s">
        <v>616</v>
      </c>
      <c r="E87" s="298" t="s">
        <v>1889</v>
      </c>
      <c r="F87" s="299">
        <v>20000</v>
      </c>
      <c r="G87" s="299">
        <v>2000</v>
      </c>
      <c r="H87" s="299">
        <v>2400</v>
      </c>
      <c r="I87" s="299">
        <f t="shared" si="12"/>
        <v>200</v>
      </c>
      <c r="J87" s="299">
        <v>1200</v>
      </c>
      <c r="K87" s="299">
        <v>25600</v>
      </c>
      <c r="L87" s="299">
        <v>2560</v>
      </c>
      <c r="M87" s="299">
        <v>448.00000000000006</v>
      </c>
      <c r="N87" s="300">
        <v>3</v>
      </c>
      <c r="O87" s="299">
        <f t="shared" si="11"/>
        <v>2307.6923076923076</v>
      </c>
      <c r="P87" s="300">
        <v>13</v>
      </c>
      <c r="Q87" s="299">
        <f t="shared" si="16"/>
        <v>1354.1666666666667</v>
      </c>
      <c r="R87" s="301">
        <f t="shared" si="13"/>
        <v>21638.474358974359</v>
      </c>
      <c r="S87" s="302">
        <f t="shared" si="14"/>
        <v>259661.69230769231</v>
      </c>
      <c r="T87" s="303">
        <f t="shared" si="15"/>
        <v>31159.403076923078</v>
      </c>
      <c r="V87" s="167"/>
      <c r="W87" s="167"/>
      <c r="X87" s="167"/>
      <c r="Y87" s="167"/>
      <c r="Z87" s="167"/>
      <c r="AA87" s="167"/>
      <c r="AB87" s="167"/>
      <c r="AC87" s="167"/>
      <c r="AD87" s="167"/>
      <c r="AE87" s="167"/>
      <c r="AF87" s="167"/>
      <c r="AG87" s="167"/>
      <c r="AH87" s="167"/>
      <c r="AI87" s="167"/>
      <c r="AJ87" s="167"/>
      <c r="AK87" s="167"/>
      <c r="AL87" s="167"/>
      <c r="AM87" s="167"/>
      <c r="AN87" s="169" t="s">
        <v>616</v>
      </c>
      <c r="AO87" s="169">
        <v>1097</v>
      </c>
      <c r="AP87" s="171">
        <v>23000</v>
      </c>
      <c r="AQ87" s="171">
        <v>2300</v>
      </c>
      <c r="AR87" s="171">
        <v>2760</v>
      </c>
      <c r="AS87" s="171">
        <v>1380</v>
      </c>
      <c r="AT87" s="171">
        <v>29440</v>
      </c>
      <c r="AU87" s="171">
        <v>2944</v>
      </c>
      <c r="AV87" s="172">
        <v>515.20000000000005</v>
      </c>
      <c r="AW87" s="169">
        <v>2</v>
      </c>
      <c r="AX87" s="171">
        <v>1769.2307692307693</v>
      </c>
      <c r="AY87" s="169">
        <v>14</v>
      </c>
      <c r="AZ87" s="171">
        <v>1677.0833333333335</v>
      </c>
      <c r="BA87" s="172">
        <v>25888.652564102562</v>
      </c>
      <c r="BB87" s="172">
        <v>310663.83076923073</v>
      </c>
      <c r="BC87" s="172">
        <v>37279.659692307687</v>
      </c>
    </row>
    <row r="88" spans="1:55" ht="18" customHeight="1" x14ac:dyDescent="0.25">
      <c r="A88" s="304">
        <v>86</v>
      </c>
      <c r="B88" s="305">
        <v>1085</v>
      </c>
      <c r="C88" s="306" t="s">
        <v>275</v>
      </c>
      <c r="D88" s="306" t="s">
        <v>616</v>
      </c>
      <c r="E88" s="306" t="s">
        <v>1890</v>
      </c>
      <c r="F88" s="307">
        <v>26000</v>
      </c>
      <c r="G88" s="307">
        <v>2600</v>
      </c>
      <c r="H88" s="307">
        <v>3120</v>
      </c>
      <c r="I88" s="307">
        <f t="shared" si="12"/>
        <v>260</v>
      </c>
      <c r="J88" s="307">
        <v>1560</v>
      </c>
      <c r="K88" s="307">
        <v>33280</v>
      </c>
      <c r="L88" s="307">
        <v>3328</v>
      </c>
      <c r="M88" s="307">
        <v>582.40000000000009</v>
      </c>
      <c r="N88" s="308">
        <v>5</v>
      </c>
      <c r="O88" s="307">
        <f t="shared" si="11"/>
        <v>5000</v>
      </c>
      <c r="P88" s="308">
        <v>15</v>
      </c>
      <c r="Q88" s="307">
        <f t="shared" si="16"/>
        <v>2031.2499999999998</v>
      </c>
      <c r="R88" s="301">
        <f t="shared" si="13"/>
        <v>26400.85</v>
      </c>
      <c r="S88" s="309">
        <f t="shared" si="14"/>
        <v>316810.19999999995</v>
      </c>
      <c r="T88" s="310">
        <f t="shared" si="15"/>
        <v>38017.223999999995</v>
      </c>
      <c r="V88" s="167"/>
      <c r="W88" s="167"/>
      <c r="X88" s="167"/>
      <c r="Y88" s="167"/>
      <c r="Z88" s="167"/>
      <c r="AA88" s="167"/>
      <c r="AB88" s="167"/>
      <c r="AC88" s="167"/>
      <c r="AD88" s="167"/>
      <c r="AE88" s="167"/>
      <c r="AF88" s="167"/>
      <c r="AG88" s="167"/>
      <c r="AH88" s="167"/>
      <c r="AI88" s="167"/>
      <c r="AJ88" s="167"/>
      <c r="AK88" s="167"/>
      <c r="AL88" s="167"/>
      <c r="AM88" s="167"/>
      <c r="AN88" s="169" t="s">
        <v>180</v>
      </c>
      <c r="AO88" s="169">
        <v>2091</v>
      </c>
      <c r="AP88" s="171">
        <v>49000</v>
      </c>
      <c r="AQ88" s="171">
        <v>4900</v>
      </c>
      <c r="AR88" s="171">
        <v>5880</v>
      </c>
      <c r="AS88" s="171">
        <v>2940</v>
      </c>
      <c r="AT88" s="171">
        <v>62720</v>
      </c>
      <c r="AU88" s="171">
        <v>6272</v>
      </c>
      <c r="AV88" s="172">
        <v>1097.5999999999999</v>
      </c>
      <c r="AW88" s="169">
        <v>8</v>
      </c>
      <c r="AX88" s="171">
        <v>7576.9230769230771</v>
      </c>
      <c r="AY88" s="169">
        <v>28</v>
      </c>
      <c r="AZ88" s="171">
        <v>3578.125</v>
      </c>
      <c r="BA88" s="172">
        <v>51351.601923076923</v>
      </c>
      <c r="BB88" s="172">
        <v>616219.22307692305</v>
      </c>
      <c r="BC88" s="172">
        <v>73946.306769230781</v>
      </c>
    </row>
    <row r="89" spans="1:55" ht="18" customHeight="1" x14ac:dyDescent="0.25">
      <c r="A89" s="296">
        <v>87</v>
      </c>
      <c r="B89" s="297">
        <v>1086</v>
      </c>
      <c r="C89" s="298" t="s">
        <v>281</v>
      </c>
      <c r="D89" s="298" t="s">
        <v>616</v>
      </c>
      <c r="E89" s="298" t="s">
        <v>1468</v>
      </c>
      <c r="F89" s="299">
        <v>19000</v>
      </c>
      <c r="G89" s="299">
        <v>1900</v>
      </c>
      <c r="H89" s="299">
        <v>2280</v>
      </c>
      <c r="I89" s="299">
        <f t="shared" si="12"/>
        <v>190</v>
      </c>
      <c r="J89" s="299">
        <v>1140</v>
      </c>
      <c r="K89" s="299">
        <v>24320</v>
      </c>
      <c r="L89" s="299">
        <v>2432</v>
      </c>
      <c r="M89" s="299">
        <v>425.6</v>
      </c>
      <c r="N89" s="300">
        <v>5</v>
      </c>
      <c r="O89" s="299">
        <f t="shared" si="11"/>
        <v>3653.8461538461534</v>
      </c>
      <c r="P89" s="300">
        <v>13</v>
      </c>
      <c r="Q89" s="299">
        <f t="shared" si="16"/>
        <v>1286.4583333333333</v>
      </c>
      <c r="R89" s="301">
        <f t="shared" si="13"/>
        <v>19095.012179487181</v>
      </c>
      <c r="S89" s="302">
        <f t="shared" si="14"/>
        <v>229140.14615384617</v>
      </c>
      <c r="T89" s="303">
        <f t="shared" si="15"/>
        <v>27496.817538461539</v>
      </c>
      <c r="V89" s="167"/>
      <c r="W89" s="167"/>
      <c r="X89" s="167"/>
      <c r="Y89" s="167"/>
      <c r="Z89" s="167"/>
      <c r="AA89" s="167"/>
      <c r="AB89" s="167"/>
      <c r="AC89" s="167"/>
      <c r="AD89" s="167"/>
      <c r="AE89" s="167"/>
      <c r="AF89" s="167"/>
      <c r="AG89" s="167"/>
      <c r="AH89" s="167"/>
      <c r="AI89" s="167"/>
      <c r="AJ89" s="167"/>
      <c r="AK89" s="167"/>
      <c r="AL89" s="167"/>
      <c r="AM89" s="167"/>
      <c r="AN89" s="169" t="s">
        <v>616</v>
      </c>
      <c r="AO89" s="169">
        <v>2091</v>
      </c>
      <c r="AP89" s="171">
        <v>49000</v>
      </c>
      <c r="AQ89" s="171">
        <v>4900</v>
      </c>
      <c r="AR89" s="171">
        <v>5880</v>
      </c>
      <c r="AS89" s="171">
        <v>2940</v>
      </c>
      <c r="AT89" s="171">
        <v>62720</v>
      </c>
      <c r="AU89" s="171">
        <v>6272</v>
      </c>
      <c r="AV89" s="172">
        <v>1097.5999999999999</v>
      </c>
      <c r="AW89" s="169">
        <v>8</v>
      </c>
      <c r="AX89" s="171">
        <v>7576.9230769230771</v>
      </c>
      <c r="AY89" s="169">
        <v>28</v>
      </c>
      <c r="AZ89" s="171">
        <v>3578.125</v>
      </c>
      <c r="BA89" s="172">
        <v>51351.601923076923</v>
      </c>
      <c r="BB89" s="172">
        <v>616219.22307692305</v>
      </c>
      <c r="BC89" s="172">
        <v>73946.306769230781</v>
      </c>
    </row>
    <row r="90" spans="1:55" ht="18" customHeight="1" x14ac:dyDescent="0.25">
      <c r="A90" s="304">
        <v>88</v>
      </c>
      <c r="B90" s="305">
        <v>1087</v>
      </c>
      <c r="C90" s="306" t="s">
        <v>288</v>
      </c>
      <c r="D90" s="306" t="s">
        <v>616</v>
      </c>
      <c r="E90" s="306" t="s">
        <v>1884</v>
      </c>
      <c r="F90" s="307">
        <v>16000</v>
      </c>
      <c r="G90" s="307">
        <v>1600</v>
      </c>
      <c r="H90" s="307">
        <v>1920</v>
      </c>
      <c r="I90" s="307">
        <f t="shared" si="12"/>
        <v>160</v>
      </c>
      <c r="J90" s="307">
        <v>960</v>
      </c>
      <c r="K90" s="307">
        <v>20480</v>
      </c>
      <c r="L90" s="307">
        <v>2048</v>
      </c>
      <c r="M90" s="307">
        <v>358.40000000000003</v>
      </c>
      <c r="N90" s="308">
        <v>2</v>
      </c>
      <c r="O90" s="307">
        <f t="shared" si="11"/>
        <v>1230.7692307692307</v>
      </c>
      <c r="P90" s="308">
        <v>12</v>
      </c>
      <c r="Q90" s="307">
        <f t="shared" si="16"/>
        <v>1000</v>
      </c>
      <c r="R90" s="301">
        <f t="shared" si="13"/>
        <v>17842.830769230768</v>
      </c>
      <c r="S90" s="309">
        <f t="shared" si="14"/>
        <v>214113.9692307692</v>
      </c>
      <c r="T90" s="310">
        <f t="shared" si="15"/>
        <v>25693.676307692302</v>
      </c>
      <c r="V90" s="167"/>
      <c r="W90" s="167"/>
      <c r="X90" s="167"/>
      <c r="Y90" s="167"/>
      <c r="Z90" s="167"/>
      <c r="AA90" s="167"/>
      <c r="AB90" s="167"/>
      <c r="AC90" s="167"/>
      <c r="AD90" s="167"/>
      <c r="AE90" s="167"/>
      <c r="AF90" s="167"/>
      <c r="AG90" s="167"/>
      <c r="AH90" s="167"/>
      <c r="AI90" s="167"/>
      <c r="AJ90" s="167"/>
      <c r="AK90" s="167"/>
      <c r="AL90" s="167"/>
      <c r="AM90" s="167"/>
      <c r="AN90" s="169" t="s">
        <v>300</v>
      </c>
      <c r="AO90" s="169">
        <v>1089</v>
      </c>
      <c r="AP90" s="171">
        <v>34000</v>
      </c>
      <c r="AQ90" s="171">
        <v>3400</v>
      </c>
      <c r="AR90" s="171">
        <v>4080</v>
      </c>
      <c r="AS90" s="171">
        <v>2040</v>
      </c>
      <c r="AT90" s="171">
        <v>43520</v>
      </c>
      <c r="AU90" s="171">
        <v>4352</v>
      </c>
      <c r="AV90" s="172">
        <v>761.6</v>
      </c>
      <c r="AW90" s="169">
        <v>4</v>
      </c>
      <c r="AX90" s="171">
        <v>5230.7692307692305</v>
      </c>
      <c r="AY90" s="169">
        <v>12</v>
      </c>
      <c r="AZ90" s="171">
        <v>2125</v>
      </c>
      <c r="BA90" s="172">
        <v>35300.630769230775</v>
      </c>
      <c r="BB90" s="172">
        <v>423607.5692307693</v>
      </c>
      <c r="BC90" s="172">
        <v>50832.908307692313</v>
      </c>
    </row>
    <row r="91" spans="1:55" ht="18" customHeight="1" x14ac:dyDescent="0.25">
      <c r="A91" s="296">
        <v>89</v>
      </c>
      <c r="B91" s="297">
        <v>1088</v>
      </c>
      <c r="C91" s="298" t="s">
        <v>294</v>
      </c>
      <c r="D91" s="298" t="s">
        <v>616</v>
      </c>
      <c r="E91" s="298" t="s">
        <v>1885</v>
      </c>
      <c r="F91" s="299">
        <v>24000</v>
      </c>
      <c r="G91" s="299">
        <v>2400</v>
      </c>
      <c r="H91" s="299">
        <v>2880</v>
      </c>
      <c r="I91" s="299">
        <f t="shared" si="12"/>
        <v>240</v>
      </c>
      <c r="J91" s="299">
        <v>1440</v>
      </c>
      <c r="K91" s="299">
        <v>30720</v>
      </c>
      <c r="L91" s="299">
        <v>3072</v>
      </c>
      <c r="M91" s="299">
        <v>537.6</v>
      </c>
      <c r="N91" s="300">
        <v>3</v>
      </c>
      <c r="O91" s="299">
        <f t="shared" si="11"/>
        <v>2769.2307692307695</v>
      </c>
      <c r="P91" s="300">
        <v>14</v>
      </c>
      <c r="Q91" s="299">
        <f t="shared" si="16"/>
        <v>1750</v>
      </c>
      <c r="R91" s="301">
        <f t="shared" si="13"/>
        <v>26091.169230769232</v>
      </c>
      <c r="S91" s="302">
        <f t="shared" si="14"/>
        <v>313094.0307692308</v>
      </c>
      <c r="T91" s="303">
        <f t="shared" si="15"/>
        <v>37571.283692307697</v>
      </c>
      <c r="V91" s="167"/>
      <c r="W91" s="167"/>
      <c r="X91" s="167"/>
      <c r="Y91" s="167"/>
      <c r="Z91" s="167"/>
      <c r="AA91" s="167"/>
      <c r="AB91" s="167"/>
      <c r="AC91" s="167"/>
      <c r="AD91" s="167"/>
      <c r="AE91" s="167"/>
      <c r="AF91" s="167"/>
      <c r="AG91" s="167"/>
      <c r="AH91" s="167"/>
      <c r="AI91" s="167"/>
      <c r="AJ91" s="167"/>
      <c r="AK91" s="167"/>
      <c r="AL91" s="167"/>
      <c r="AM91" s="167"/>
      <c r="AN91" s="169" t="s">
        <v>616</v>
      </c>
      <c r="AO91" s="169">
        <v>1089</v>
      </c>
      <c r="AP91" s="171">
        <v>34000</v>
      </c>
      <c r="AQ91" s="171">
        <v>3400</v>
      </c>
      <c r="AR91" s="171">
        <v>4080</v>
      </c>
      <c r="AS91" s="171">
        <v>2040</v>
      </c>
      <c r="AT91" s="171">
        <v>43520</v>
      </c>
      <c r="AU91" s="171">
        <v>4352</v>
      </c>
      <c r="AV91" s="172">
        <v>761.6</v>
      </c>
      <c r="AW91" s="169">
        <v>4</v>
      </c>
      <c r="AX91" s="171">
        <v>5230.7692307692305</v>
      </c>
      <c r="AY91" s="169">
        <v>12</v>
      </c>
      <c r="AZ91" s="171">
        <v>2125</v>
      </c>
      <c r="BA91" s="172">
        <v>35300.630769230775</v>
      </c>
      <c r="BB91" s="172">
        <v>423607.5692307693</v>
      </c>
      <c r="BC91" s="172">
        <v>50832.908307692313</v>
      </c>
    </row>
    <row r="92" spans="1:55" ht="18" customHeight="1" x14ac:dyDescent="0.25">
      <c r="A92" s="304">
        <v>90</v>
      </c>
      <c r="B92" s="305">
        <v>1089</v>
      </c>
      <c r="C92" s="306" t="s">
        <v>300</v>
      </c>
      <c r="D92" s="306" t="s">
        <v>616</v>
      </c>
      <c r="E92" s="306" t="s">
        <v>895</v>
      </c>
      <c r="F92" s="307">
        <v>34000</v>
      </c>
      <c r="G92" s="307">
        <v>3400</v>
      </c>
      <c r="H92" s="307">
        <v>4080</v>
      </c>
      <c r="I92" s="307">
        <f t="shared" si="12"/>
        <v>340</v>
      </c>
      <c r="J92" s="307">
        <v>2040</v>
      </c>
      <c r="K92" s="307">
        <v>43520</v>
      </c>
      <c r="L92" s="307">
        <v>4352</v>
      </c>
      <c r="M92" s="307">
        <v>761.6</v>
      </c>
      <c r="N92" s="308">
        <v>4</v>
      </c>
      <c r="O92" s="307">
        <f t="shared" si="11"/>
        <v>5230.7692307692305</v>
      </c>
      <c r="P92" s="308">
        <v>12</v>
      </c>
      <c r="Q92" s="307">
        <f t="shared" si="16"/>
        <v>2125</v>
      </c>
      <c r="R92" s="301">
        <f t="shared" si="13"/>
        <v>35300.630769230775</v>
      </c>
      <c r="S92" s="309">
        <f t="shared" si="14"/>
        <v>423607.5692307693</v>
      </c>
      <c r="T92" s="310">
        <f t="shared" si="15"/>
        <v>50832.908307692313</v>
      </c>
      <c r="V92" s="167"/>
      <c r="W92" s="167"/>
      <c r="X92" s="167"/>
      <c r="Y92" s="167"/>
      <c r="Z92" s="167"/>
      <c r="AA92" s="167"/>
      <c r="AB92" s="167"/>
      <c r="AC92" s="167"/>
      <c r="AD92" s="167"/>
      <c r="AE92" s="167"/>
      <c r="AF92" s="167"/>
      <c r="AG92" s="167"/>
      <c r="AH92" s="167"/>
      <c r="AI92" s="167"/>
      <c r="AJ92" s="167"/>
      <c r="AK92" s="167"/>
      <c r="AL92" s="167"/>
      <c r="AM92" s="167"/>
      <c r="AN92" s="169" t="s">
        <v>334</v>
      </c>
      <c r="AO92" s="169">
        <v>1095</v>
      </c>
      <c r="AP92" s="171">
        <v>21000</v>
      </c>
      <c r="AQ92" s="171">
        <v>2100</v>
      </c>
      <c r="AR92" s="171">
        <v>2520</v>
      </c>
      <c r="AS92" s="171">
        <v>1260</v>
      </c>
      <c r="AT92" s="171">
        <v>26880</v>
      </c>
      <c r="AU92" s="171">
        <v>2688</v>
      </c>
      <c r="AV92" s="172">
        <v>470.40000000000003</v>
      </c>
      <c r="AW92" s="169">
        <v>3</v>
      </c>
      <c r="AX92" s="171">
        <v>2423.0769230769233</v>
      </c>
      <c r="AY92" s="169">
        <v>13</v>
      </c>
      <c r="AZ92" s="171">
        <v>1421.875</v>
      </c>
      <c r="BA92" s="172">
        <v>22720.398076923077</v>
      </c>
      <c r="BB92" s="172">
        <v>272644.77692307695</v>
      </c>
      <c r="BC92" s="172">
        <v>32717.373230769233</v>
      </c>
    </row>
    <row r="93" spans="1:55" ht="18" customHeight="1" x14ac:dyDescent="0.25">
      <c r="A93" s="296">
        <v>91</v>
      </c>
      <c r="B93" s="297">
        <v>1090</v>
      </c>
      <c r="C93" s="298" t="s">
        <v>306</v>
      </c>
      <c r="D93" s="298" t="s">
        <v>616</v>
      </c>
      <c r="E93" s="298" t="s">
        <v>1886</v>
      </c>
      <c r="F93" s="299">
        <v>11000</v>
      </c>
      <c r="G93" s="299">
        <v>1100</v>
      </c>
      <c r="H93" s="299">
        <v>1320</v>
      </c>
      <c r="I93" s="299">
        <f t="shared" si="12"/>
        <v>110</v>
      </c>
      <c r="J93" s="299">
        <v>660</v>
      </c>
      <c r="K93" s="299">
        <v>14080</v>
      </c>
      <c r="L93" s="299">
        <v>1408</v>
      </c>
      <c r="M93" s="299">
        <v>246.40000000000003</v>
      </c>
      <c r="N93" s="300">
        <v>2</v>
      </c>
      <c r="O93" s="299">
        <f t="shared" si="11"/>
        <v>846.15384615384619</v>
      </c>
      <c r="P93" s="300">
        <v>13</v>
      </c>
      <c r="Q93" s="299">
        <f t="shared" si="16"/>
        <v>744.79166666666663</v>
      </c>
      <c r="R93" s="301">
        <f t="shared" si="13"/>
        <v>12324.237820512821</v>
      </c>
      <c r="S93" s="302">
        <f t="shared" si="14"/>
        <v>147890.85384615386</v>
      </c>
      <c r="T93" s="303">
        <f t="shared" si="15"/>
        <v>17746.902461538462</v>
      </c>
      <c r="V93" s="167"/>
      <c r="W93" s="167"/>
      <c r="X93" s="167"/>
      <c r="Y93" s="167"/>
      <c r="Z93" s="167"/>
      <c r="AA93" s="167"/>
      <c r="AB93" s="167"/>
      <c r="AC93" s="167"/>
      <c r="AD93" s="167"/>
      <c r="AE93" s="167"/>
      <c r="AF93" s="167"/>
      <c r="AG93" s="167"/>
      <c r="AH93" s="167"/>
      <c r="AI93" s="167"/>
      <c r="AJ93" s="167"/>
      <c r="AK93" s="167"/>
      <c r="AL93" s="167"/>
      <c r="AM93" s="167"/>
      <c r="AN93" s="169" t="s">
        <v>616</v>
      </c>
      <c r="AO93" s="169">
        <v>1095</v>
      </c>
      <c r="AP93" s="171">
        <v>21000</v>
      </c>
      <c r="AQ93" s="171">
        <v>2100</v>
      </c>
      <c r="AR93" s="171">
        <v>2520</v>
      </c>
      <c r="AS93" s="171">
        <v>1260</v>
      </c>
      <c r="AT93" s="171">
        <v>26880</v>
      </c>
      <c r="AU93" s="171">
        <v>2688</v>
      </c>
      <c r="AV93" s="172">
        <v>470.40000000000003</v>
      </c>
      <c r="AW93" s="169">
        <v>3</v>
      </c>
      <c r="AX93" s="171">
        <v>2423.0769230769233</v>
      </c>
      <c r="AY93" s="169">
        <v>13</v>
      </c>
      <c r="AZ93" s="171">
        <v>1421.875</v>
      </c>
      <c r="BA93" s="172">
        <v>22720.398076923077</v>
      </c>
      <c r="BB93" s="172">
        <v>272644.77692307695</v>
      </c>
      <c r="BC93" s="172">
        <v>32717.373230769233</v>
      </c>
    </row>
    <row r="94" spans="1:55" ht="18" customHeight="1" x14ac:dyDescent="0.25">
      <c r="A94" s="304">
        <v>92</v>
      </c>
      <c r="B94" s="305">
        <v>1091</v>
      </c>
      <c r="C94" s="306" t="s">
        <v>311</v>
      </c>
      <c r="D94" s="306" t="s">
        <v>616</v>
      </c>
      <c r="E94" s="306" t="s">
        <v>1887</v>
      </c>
      <c r="F94" s="307">
        <v>27000</v>
      </c>
      <c r="G94" s="307">
        <v>2700</v>
      </c>
      <c r="H94" s="307">
        <v>3240</v>
      </c>
      <c r="I94" s="307">
        <f t="shared" si="12"/>
        <v>270</v>
      </c>
      <c r="J94" s="307">
        <v>1620</v>
      </c>
      <c r="K94" s="307">
        <v>34560</v>
      </c>
      <c r="L94" s="307">
        <v>3456</v>
      </c>
      <c r="M94" s="307">
        <v>604.80000000000007</v>
      </c>
      <c r="N94" s="308">
        <v>2</v>
      </c>
      <c r="O94" s="307">
        <f t="shared" si="11"/>
        <v>2076.9230769230771</v>
      </c>
      <c r="P94" s="308">
        <v>13</v>
      </c>
      <c r="Q94" s="307">
        <f t="shared" si="16"/>
        <v>1828.125</v>
      </c>
      <c r="R94" s="301">
        <f t="shared" si="13"/>
        <v>30250.401923076923</v>
      </c>
      <c r="S94" s="309">
        <f t="shared" si="14"/>
        <v>363004.82307692309</v>
      </c>
      <c r="T94" s="310">
        <f t="shared" si="15"/>
        <v>43560.578769230771</v>
      </c>
      <c r="V94" s="167"/>
      <c r="W94" s="167"/>
      <c r="X94" s="167"/>
      <c r="Y94" s="167"/>
      <c r="Z94" s="167"/>
      <c r="AA94" s="167"/>
      <c r="AB94" s="167"/>
      <c r="AC94" s="167"/>
      <c r="AD94" s="167"/>
      <c r="AE94" s="167"/>
      <c r="AF94" s="167"/>
      <c r="AG94" s="167"/>
      <c r="AH94" s="167"/>
      <c r="AI94" s="167"/>
      <c r="AJ94" s="167"/>
      <c r="AK94" s="167"/>
      <c r="AL94" s="167"/>
      <c r="AM94" s="167"/>
      <c r="AN94" s="169" t="s">
        <v>202</v>
      </c>
      <c r="AO94" s="169">
        <v>1073</v>
      </c>
      <c r="AP94" s="171">
        <v>24000</v>
      </c>
      <c r="AQ94" s="171">
        <v>2400</v>
      </c>
      <c r="AR94" s="171">
        <v>2880</v>
      </c>
      <c r="AS94" s="171">
        <v>1440</v>
      </c>
      <c r="AT94" s="171">
        <v>30720</v>
      </c>
      <c r="AU94" s="171">
        <v>3072</v>
      </c>
      <c r="AV94" s="172">
        <v>537.6</v>
      </c>
      <c r="AW94" s="169">
        <v>5</v>
      </c>
      <c r="AX94" s="171">
        <v>4615.3846153846152</v>
      </c>
      <c r="AY94" s="169">
        <v>13</v>
      </c>
      <c r="AZ94" s="171">
        <v>1625</v>
      </c>
      <c r="BA94" s="172">
        <v>24120.015384615384</v>
      </c>
      <c r="BB94" s="172">
        <v>289440.18461538461</v>
      </c>
      <c r="BC94" s="172">
        <v>34732.822153846151</v>
      </c>
    </row>
    <row r="95" spans="1:55" ht="18" customHeight="1" x14ac:dyDescent="0.25">
      <c r="A95" s="296">
        <v>93</v>
      </c>
      <c r="B95" s="297">
        <v>1092</v>
      </c>
      <c r="C95" s="298" t="s">
        <v>317</v>
      </c>
      <c r="D95" s="298" t="s">
        <v>616</v>
      </c>
      <c r="E95" s="298" t="s">
        <v>1033</v>
      </c>
      <c r="F95" s="299">
        <v>32000</v>
      </c>
      <c r="G95" s="299">
        <v>3200</v>
      </c>
      <c r="H95" s="299">
        <v>3840</v>
      </c>
      <c r="I95" s="299">
        <f t="shared" si="12"/>
        <v>320</v>
      </c>
      <c r="J95" s="299">
        <v>1920</v>
      </c>
      <c r="K95" s="299">
        <v>40960</v>
      </c>
      <c r="L95" s="299">
        <v>4096</v>
      </c>
      <c r="M95" s="299">
        <v>716.80000000000007</v>
      </c>
      <c r="N95" s="300">
        <v>2</v>
      </c>
      <c r="O95" s="299">
        <f t="shared" si="11"/>
        <v>2461.5384615384614</v>
      </c>
      <c r="P95" s="300">
        <v>14</v>
      </c>
      <c r="Q95" s="299">
        <f t="shared" si="16"/>
        <v>2333.333333333333</v>
      </c>
      <c r="R95" s="301">
        <f t="shared" si="13"/>
        <v>36018.994871794872</v>
      </c>
      <c r="S95" s="302">
        <f t="shared" si="14"/>
        <v>432227.93846153846</v>
      </c>
      <c r="T95" s="303">
        <f t="shared" si="15"/>
        <v>51867.352615384611</v>
      </c>
      <c r="V95" s="167"/>
      <c r="W95" s="167"/>
      <c r="X95" s="167"/>
      <c r="Y95" s="167"/>
      <c r="Z95" s="167"/>
      <c r="AA95" s="167"/>
      <c r="AB95" s="167"/>
      <c r="AC95" s="167"/>
      <c r="AD95" s="167"/>
      <c r="AE95" s="167"/>
      <c r="AF95" s="167"/>
      <c r="AG95" s="167"/>
      <c r="AH95" s="167"/>
      <c r="AI95" s="167"/>
      <c r="AJ95" s="167"/>
      <c r="AK95" s="167"/>
      <c r="AL95" s="167"/>
      <c r="AM95" s="167"/>
      <c r="AN95" s="169" t="s">
        <v>616</v>
      </c>
      <c r="AO95" s="169">
        <v>1073</v>
      </c>
      <c r="AP95" s="171">
        <v>24000</v>
      </c>
      <c r="AQ95" s="171">
        <v>2400</v>
      </c>
      <c r="AR95" s="171">
        <v>2880</v>
      </c>
      <c r="AS95" s="171">
        <v>1440</v>
      </c>
      <c r="AT95" s="171">
        <v>30720</v>
      </c>
      <c r="AU95" s="171">
        <v>3072</v>
      </c>
      <c r="AV95" s="172">
        <v>537.6</v>
      </c>
      <c r="AW95" s="169">
        <v>5</v>
      </c>
      <c r="AX95" s="171">
        <v>4615.3846153846152</v>
      </c>
      <c r="AY95" s="169">
        <v>13</v>
      </c>
      <c r="AZ95" s="171">
        <v>1625</v>
      </c>
      <c r="BA95" s="172">
        <v>24120.015384615384</v>
      </c>
      <c r="BB95" s="172">
        <v>289440.18461538461</v>
      </c>
      <c r="BC95" s="172">
        <v>34732.822153846151</v>
      </c>
    </row>
    <row r="96" spans="1:55" ht="18" customHeight="1" x14ac:dyDescent="0.25">
      <c r="A96" s="304">
        <v>94</v>
      </c>
      <c r="B96" s="305">
        <v>1093</v>
      </c>
      <c r="C96" s="306" t="s">
        <v>323</v>
      </c>
      <c r="D96" s="306" t="s">
        <v>616</v>
      </c>
      <c r="E96" s="306" t="s">
        <v>1888</v>
      </c>
      <c r="F96" s="307">
        <v>18000</v>
      </c>
      <c r="G96" s="307">
        <v>1800</v>
      </c>
      <c r="H96" s="307">
        <v>2160</v>
      </c>
      <c r="I96" s="307">
        <f t="shared" si="12"/>
        <v>180</v>
      </c>
      <c r="J96" s="307">
        <v>1080</v>
      </c>
      <c r="K96" s="307">
        <v>23040</v>
      </c>
      <c r="L96" s="307">
        <v>2304</v>
      </c>
      <c r="M96" s="307">
        <v>403.20000000000005</v>
      </c>
      <c r="N96" s="308">
        <v>2</v>
      </c>
      <c r="O96" s="307">
        <f t="shared" si="11"/>
        <v>1384.6153846153845</v>
      </c>
      <c r="P96" s="308">
        <v>14</v>
      </c>
      <c r="Q96" s="307">
        <f t="shared" si="16"/>
        <v>1312.5</v>
      </c>
      <c r="R96" s="301">
        <f t="shared" si="13"/>
        <v>20260.684615384616</v>
      </c>
      <c r="S96" s="309">
        <f t="shared" si="14"/>
        <v>243128.21538461541</v>
      </c>
      <c r="T96" s="310">
        <f t="shared" si="15"/>
        <v>29175.385846153848</v>
      </c>
      <c r="V96" s="167"/>
      <c r="W96" s="167"/>
      <c r="X96" s="167"/>
      <c r="Y96" s="167"/>
      <c r="Z96" s="167"/>
      <c r="AA96" s="167"/>
      <c r="AB96" s="167"/>
      <c r="AC96" s="167"/>
      <c r="AD96" s="167"/>
      <c r="AE96" s="167"/>
      <c r="AF96" s="167"/>
      <c r="AG96" s="167"/>
      <c r="AH96" s="167"/>
      <c r="AI96" s="167"/>
      <c r="AJ96" s="167"/>
      <c r="AK96" s="167"/>
      <c r="AL96" s="167"/>
      <c r="AM96" s="167"/>
      <c r="AN96" s="169" t="s">
        <v>243</v>
      </c>
      <c r="AO96" s="169">
        <v>1080</v>
      </c>
      <c r="AP96" s="171">
        <v>16000</v>
      </c>
      <c r="AQ96" s="171">
        <v>1600</v>
      </c>
      <c r="AR96" s="171">
        <v>1920</v>
      </c>
      <c r="AS96" s="171">
        <v>960</v>
      </c>
      <c r="AT96" s="171">
        <v>20480</v>
      </c>
      <c r="AU96" s="171">
        <v>2048</v>
      </c>
      <c r="AV96" s="172">
        <v>358.40000000000003</v>
      </c>
      <c r="AW96" s="169">
        <v>5</v>
      </c>
      <c r="AX96" s="171">
        <v>3076.9230769230767</v>
      </c>
      <c r="AY96" s="169">
        <v>14</v>
      </c>
      <c r="AZ96" s="171">
        <v>1166.6666666666665</v>
      </c>
      <c r="BA96" s="172">
        <v>16163.343589743588</v>
      </c>
      <c r="BB96" s="172">
        <v>193960.12307692308</v>
      </c>
      <c r="BC96" s="172">
        <v>23275.21476923077</v>
      </c>
    </row>
    <row r="97" spans="1:55" ht="18" customHeight="1" x14ac:dyDescent="0.25">
      <c r="A97" s="296">
        <v>95</v>
      </c>
      <c r="B97" s="297">
        <v>1094</v>
      </c>
      <c r="C97" s="298" t="s">
        <v>329</v>
      </c>
      <c r="D97" s="298" t="s">
        <v>616</v>
      </c>
      <c r="E97" s="298" t="s">
        <v>1889</v>
      </c>
      <c r="F97" s="299">
        <v>34000</v>
      </c>
      <c r="G97" s="299">
        <v>3400</v>
      </c>
      <c r="H97" s="299">
        <v>4080</v>
      </c>
      <c r="I97" s="299">
        <f t="shared" si="12"/>
        <v>340</v>
      </c>
      <c r="J97" s="299">
        <v>2040</v>
      </c>
      <c r="K97" s="299">
        <v>43520</v>
      </c>
      <c r="L97" s="299">
        <v>4352</v>
      </c>
      <c r="M97" s="299">
        <v>761.6</v>
      </c>
      <c r="N97" s="300">
        <v>2</v>
      </c>
      <c r="O97" s="299">
        <f t="shared" si="11"/>
        <v>2615.3846153846152</v>
      </c>
      <c r="P97" s="300">
        <v>14</v>
      </c>
      <c r="Q97" s="299">
        <f t="shared" si="16"/>
        <v>2479.166666666667</v>
      </c>
      <c r="R97" s="301">
        <f t="shared" si="13"/>
        <v>38270.182051282049</v>
      </c>
      <c r="S97" s="302">
        <f t="shared" si="14"/>
        <v>459242.18461538455</v>
      </c>
      <c r="T97" s="303">
        <f t="shared" si="15"/>
        <v>55109.062153846142</v>
      </c>
      <c r="V97" s="167"/>
      <c r="W97" s="167"/>
      <c r="X97" s="167"/>
      <c r="Y97" s="167"/>
      <c r="Z97" s="167"/>
      <c r="AA97" s="167"/>
      <c r="AB97" s="167"/>
      <c r="AC97" s="167"/>
      <c r="AD97" s="167"/>
      <c r="AE97" s="167"/>
      <c r="AF97" s="167"/>
      <c r="AG97" s="167"/>
      <c r="AH97" s="167"/>
      <c r="AI97" s="167"/>
      <c r="AJ97" s="167"/>
      <c r="AK97" s="167"/>
      <c r="AL97" s="167"/>
      <c r="AM97" s="167"/>
      <c r="AN97" s="169" t="s">
        <v>616</v>
      </c>
      <c r="AO97" s="169">
        <v>1080</v>
      </c>
      <c r="AP97" s="171">
        <v>16000</v>
      </c>
      <c r="AQ97" s="171">
        <v>1600</v>
      </c>
      <c r="AR97" s="171">
        <v>1920</v>
      </c>
      <c r="AS97" s="171">
        <v>960</v>
      </c>
      <c r="AT97" s="171">
        <v>20480</v>
      </c>
      <c r="AU97" s="171">
        <v>2048</v>
      </c>
      <c r="AV97" s="172">
        <v>358.40000000000003</v>
      </c>
      <c r="AW97" s="169">
        <v>5</v>
      </c>
      <c r="AX97" s="171">
        <v>3076.9230769230767</v>
      </c>
      <c r="AY97" s="169">
        <v>14</v>
      </c>
      <c r="AZ97" s="171">
        <v>1166.6666666666665</v>
      </c>
      <c r="BA97" s="172">
        <v>16163.343589743588</v>
      </c>
      <c r="BB97" s="172">
        <v>193960.12307692308</v>
      </c>
      <c r="BC97" s="172">
        <v>23275.21476923077</v>
      </c>
    </row>
    <row r="98" spans="1:55" ht="18" customHeight="1" x14ac:dyDescent="0.25">
      <c r="A98" s="304">
        <v>96</v>
      </c>
      <c r="B98" s="305">
        <v>1095</v>
      </c>
      <c r="C98" s="306" t="s">
        <v>334</v>
      </c>
      <c r="D98" s="306" t="s">
        <v>616</v>
      </c>
      <c r="E98" s="306" t="s">
        <v>1890</v>
      </c>
      <c r="F98" s="307">
        <v>21000</v>
      </c>
      <c r="G98" s="307">
        <v>2100</v>
      </c>
      <c r="H98" s="307">
        <v>2520</v>
      </c>
      <c r="I98" s="307">
        <f t="shared" si="12"/>
        <v>210</v>
      </c>
      <c r="J98" s="307">
        <v>1260</v>
      </c>
      <c r="K98" s="307">
        <v>26880</v>
      </c>
      <c r="L98" s="307">
        <v>2688</v>
      </c>
      <c r="M98" s="307">
        <v>470.40000000000003</v>
      </c>
      <c r="N98" s="308">
        <v>3</v>
      </c>
      <c r="O98" s="307">
        <f t="shared" si="11"/>
        <v>2423.0769230769233</v>
      </c>
      <c r="P98" s="308">
        <v>13</v>
      </c>
      <c r="Q98" s="307">
        <f t="shared" si="16"/>
        <v>1421.875</v>
      </c>
      <c r="R98" s="301">
        <f t="shared" si="13"/>
        <v>22720.398076923077</v>
      </c>
      <c r="S98" s="309">
        <f t="shared" si="14"/>
        <v>272644.77692307695</v>
      </c>
      <c r="T98" s="310">
        <f t="shared" si="15"/>
        <v>32717.373230769233</v>
      </c>
      <c r="V98" s="167"/>
      <c r="W98" s="167"/>
      <c r="X98" s="167"/>
      <c r="Y98" s="167"/>
      <c r="Z98" s="167"/>
      <c r="AA98" s="167"/>
      <c r="AB98" s="167"/>
      <c r="AC98" s="167"/>
      <c r="AD98" s="167"/>
      <c r="AE98" s="167"/>
      <c r="AF98" s="167"/>
      <c r="AG98" s="167"/>
      <c r="AH98" s="167"/>
      <c r="AI98" s="167"/>
      <c r="AJ98" s="167"/>
      <c r="AK98" s="167"/>
      <c r="AL98" s="167"/>
      <c r="AM98" s="167"/>
      <c r="AN98" s="169" t="s">
        <v>174</v>
      </c>
      <c r="AO98" s="169">
        <v>1018</v>
      </c>
      <c r="AP98" s="171">
        <v>29000</v>
      </c>
      <c r="AQ98" s="171">
        <v>2900</v>
      </c>
      <c r="AR98" s="171">
        <v>3480</v>
      </c>
      <c r="AS98" s="171">
        <v>1740</v>
      </c>
      <c r="AT98" s="171">
        <v>37120</v>
      </c>
      <c r="AU98" s="171">
        <v>3712</v>
      </c>
      <c r="AV98" s="172">
        <v>649.6</v>
      </c>
      <c r="AW98" s="169">
        <v>3</v>
      </c>
      <c r="AX98" s="171">
        <v>3346.1538461538466</v>
      </c>
      <c r="AY98" s="169">
        <v>14</v>
      </c>
      <c r="AZ98" s="171">
        <v>2114.583333333333</v>
      </c>
      <c r="BA98" s="172">
        <v>31526.829487179486</v>
      </c>
      <c r="BB98" s="172">
        <v>378321.9538461538</v>
      </c>
      <c r="BC98" s="172">
        <v>45398.634461538451</v>
      </c>
    </row>
    <row r="99" spans="1:55" ht="18" customHeight="1" x14ac:dyDescent="0.25">
      <c r="A99" s="296">
        <v>97</v>
      </c>
      <c r="B99" s="297">
        <v>1096</v>
      </c>
      <c r="C99" s="298" t="s">
        <v>340</v>
      </c>
      <c r="D99" s="298" t="s">
        <v>616</v>
      </c>
      <c r="E99" s="298" t="s">
        <v>1468</v>
      </c>
      <c r="F99" s="299">
        <v>23000</v>
      </c>
      <c r="G99" s="299">
        <v>2300</v>
      </c>
      <c r="H99" s="299">
        <v>2760</v>
      </c>
      <c r="I99" s="299">
        <f t="shared" si="12"/>
        <v>230</v>
      </c>
      <c r="J99" s="299">
        <v>1380</v>
      </c>
      <c r="K99" s="299">
        <v>29440</v>
      </c>
      <c r="L99" s="299">
        <v>2944</v>
      </c>
      <c r="M99" s="299">
        <v>515.20000000000005</v>
      </c>
      <c r="N99" s="300">
        <v>2</v>
      </c>
      <c r="O99" s="299">
        <f t="shared" ref="O99:O102" si="17">F99/26*N99</f>
        <v>1769.2307692307693</v>
      </c>
      <c r="P99" s="300">
        <v>12</v>
      </c>
      <c r="Q99" s="299">
        <f t="shared" si="16"/>
        <v>1437.5</v>
      </c>
      <c r="R99" s="301">
        <f t="shared" si="13"/>
        <v>25649.06923076923</v>
      </c>
      <c r="S99" s="302">
        <f t="shared" si="14"/>
        <v>307788.83076923073</v>
      </c>
      <c r="T99" s="303">
        <f t="shared" si="15"/>
        <v>36934.659692307687</v>
      </c>
      <c r="V99" s="167"/>
      <c r="W99" s="167"/>
      <c r="X99" s="167"/>
      <c r="Y99" s="167"/>
      <c r="Z99" s="167"/>
      <c r="AA99" s="167"/>
      <c r="AB99" s="167"/>
      <c r="AC99" s="167"/>
      <c r="AD99" s="167"/>
      <c r="AE99" s="167"/>
      <c r="AF99" s="167"/>
      <c r="AG99" s="167"/>
      <c r="AH99" s="167"/>
      <c r="AI99" s="167"/>
      <c r="AJ99" s="167"/>
      <c r="AK99" s="167"/>
      <c r="AL99" s="167"/>
      <c r="AM99" s="167"/>
      <c r="AN99" s="169" t="s">
        <v>616</v>
      </c>
      <c r="AO99" s="169">
        <v>1018</v>
      </c>
      <c r="AP99" s="171">
        <v>29000</v>
      </c>
      <c r="AQ99" s="171">
        <v>2900</v>
      </c>
      <c r="AR99" s="171">
        <v>3480</v>
      </c>
      <c r="AS99" s="171">
        <v>1740</v>
      </c>
      <c r="AT99" s="171">
        <v>37120</v>
      </c>
      <c r="AU99" s="171">
        <v>3712</v>
      </c>
      <c r="AV99" s="172">
        <v>649.6</v>
      </c>
      <c r="AW99" s="169">
        <v>3</v>
      </c>
      <c r="AX99" s="171">
        <v>3346.1538461538466</v>
      </c>
      <c r="AY99" s="169">
        <v>14</v>
      </c>
      <c r="AZ99" s="171">
        <v>2114.583333333333</v>
      </c>
      <c r="BA99" s="172">
        <v>31526.829487179486</v>
      </c>
      <c r="BB99" s="172">
        <v>378321.9538461538</v>
      </c>
      <c r="BC99" s="172">
        <v>45398.634461538451</v>
      </c>
    </row>
    <row r="100" spans="1:55" ht="18" customHeight="1" x14ac:dyDescent="0.25">
      <c r="A100" s="304">
        <v>98</v>
      </c>
      <c r="B100" s="305">
        <v>1097</v>
      </c>
      <c r="C100" s="306" t="s">
        <v>346</v>
      </c>
      <c r="D100" s="306" t="s">
        <v>616</v>
      </c>
      <c r="E100" s="306" t="s">
        <v>1884</v>
      </c>
      <c r="F100" s="307">
        <v>23000</v>
      </c>
      <c r="G100" s="307">
        <v>2300</v>
      </c>
      <c r="H100" s="307">
        <v>2760</v>
      </c>
      <c r="I100" s="307">
        <f t="shared" si="12"/>
        <v>230</v>
      </c>
      <c r="J100" s="307">
        <v>1380</v>
      </c>
      <c r="K100" s="307">
        <v>29440</v>
      </c>
      <c r="L100" s="307">
        <v>2944</v>
      </c>
      <c r="M100" s="307">
        <v>515.20000000000005</v>
      </c>
      <c r="N100" s="308">
        <v>2</v>
      </c>
      <c r="O100" s="307">
        <f t="shared" si="17"/>
        <v>1769.2307692307693</v>
      </c>
      <c r="P100" s="308">
        <v>14</v>
      </c>
      <c r="Q100" s="307">
        <f t="shared" si="16"/>
        <v>1677.0833333333335</v>
      </c>
      <c r="R100" s="301">
        <f t="shared" si="13"/>
        <v>25888.652564102562</v>
      </c>
      <c r="S100" s="309">
        <f t="shared" si="14"/>
        <v>310663.83076923073</v>
      </c>
      <c r="T100" s="310">
        <f t="shared" si="15"/>
        <v>37279.659692307687</v>
      </c>
      <c r="V100" s="167"/>
      <c r="W100" s="167"/>
      <c r="X100" s="167"/>
      <c r="Y100" s="167"/>
      <c r="Z100" s="167"/>
      <c r="AA100" s="167"/>
      <c r="AB100" s="167"/>
      <c r="AC100" s="167"/>
      <c r="AD100" s="167"/>
      <c r="AE100" s="167"/>
      <c r="AF100" s="167"/>
      <c r="AG100" s="167"/>
      <c r="AH100" s="167"/>
      <c r="AI100" s="167"/>
      <c r="AJ100" s="167"/>
      <c r="AK100" s="167"/>
      <c r="AL100" s="167"/>
      <c r="AM100" s="167"/>
      <c r="AN100" s="169" t="s">
        <v>249</v>
      </c>
      <c r="AO100" s="169">
        <v>1081</v>
      </c>
      <c r="AP100" s="171">
        <v>20000</v>
      </c>
      <c r="AQ100" s="171">
        <v>2000</v>
      </c>
      <c r="AR100" s="171">
        <v>2400</v>
      </c>
      <c r="AS100" s="171">
        <v>1200</v>
      </c>
      <c r="AT100" s="171">
        <v>25600</v>
      </c>
      <c r="AU100" s="171">
        <v>2560</v>
      </c>
      <c r="AV100" s="172">
        <v>448.00000000000006</v>
      </c>
      <c r="AW100" s="169">
        <v>4</v>
      </c>
      <c r="AX100" s="171">
        <v>3076.9230769230771</v>
      </c>
      <c r="AY100" s="169">
        <v>13</v>
      </c>
      <c r="AZ100" s="171">
        <v>1354.1666666666667</v>
      </c>
      <c r="BA100" s="172">
        <v>20869.24358974359</v>
      </c>
      <c r="BB100" s="172">
        <v>250430.92307692306</v>
      </c>
      <c r="BC100" s="172">
        <v>30051.710769230765</v>
      </c>
    </row>
    <row r="101" spans="1:55" ht="18" customHeight="1" x14ac:dyDescent="0.25">
      <c r="A101" s="296">
        <v>99</v>
      </c>
      <c r="B101" s="297">
        <v>1098</v>
      </c>
      <c r="C101" s="298" t="s">
        <v>352</v>
      </c>
      <c r="D101" s="298" t="s">
        <v>616</v>
      </c>
      <c r="E101" s="298" t="s">
        <v>1885</v>
      </c>
      <c r="F101" s="299">
        <v>18000</v>
      </c>
      <c r="G101" s="299">
        <v>1800</v>
      </c>
      <c r="H101" s="299">
        <v>2160</v>
      </c>
      <c r="I101" s="299">
        <f t="shared" si="12"/>
        <v>180</v>
      </c>
      <c r="J101" s="299">
        <v>1080</v>
      </c>
      <c r="K101" s="299">
        <v>23040</v>
      </c>
      <c r="L101" s="299">
        <v>2304</v>
      </c>
      <c r="M101" s="299">
        <v>403.20000000000005</v>
      </c>
      <c r="N101" s="300">
        <v>3</v>
      </c>
      <c r="O101" s="299">
        <f t="shared" si="17"/>
        <v>2076.9230769230767</v>
      </c>
      <c r="P101" s="300">
        <v>12</v>
      </c>
      <c r="Q101" s="299">
        <f t="shared" ref="Q101:Q102" si="18">F101/24/8*P101</f>
        <v>1125</v>
      </c>
      <c r="R101" s="301">
        <f t="shared" si="13"/>
        <v>19380.876923076921</v>
      </c>
      <c r="S101" s="302">
        <f t="shared" si="14"/>
        <v>232570.52307692304</v>
      </c>
      <c r="T101" s="303">
        <f t="shared" si="15"/>
        <v>27908.462769230762</v>
      </c>
      <c r="V101" s="167"/>
      <c r="W101" s="167"/>
      <c r="X101" s="167"/>
      <c r="Y101" s="167"/>
      <c r="Z101" s="167"/>
      <c r="AA101" s="167"/>
      <c r="AB101" s="167"/>
      <c r="AC101" s="167"/>
      <c r="AD101" s="167"/>
      <c r="AE101" s="167"/>
      <c r="AF101" s="167"/>
      <c r="AG101" s="167"/>
      <c r="AH101" s="167"/>
      <c r="AI101" s="167"/>
      <c r="AJ101" s="167"/>
      <c r="AK101" s="167"/>
      <c r="AL101" s="167"/>
      <c r="AM101" s="167"/>
      <c r="AN101" s="169" t="s">
        <v>616</v>
      </c>
      <c r="AO101" s="169">
        <v>1081</v>
      </c>
      <c r="AP101" s="171">
        <v>20000</v>
      </c>
      <c r="AQ101" s="171">
        <v>2000</v>
      </c>
      <c r="AR101" s="171">
        <v>2400</v>
      </c>
      <c r="AS101" s="171">
        <v>1200</v>
      </c>
      <c r="AT101" s="171">
        <v>25600</v>
      </c>
      <c r="AU101" s="171">
        <v>2560</v>
      </c>
      <c r="AV101" s="172">
        <v>448.00000000000006</v>
      </c>
      <c r="AW101" s="169">
        <v>4</v>
      </c>
      <c r="AX101" s="171">
        <v>3076.9230769230771</v>
      </c>
      <c r="AY101" s="169">
        <v>13</v>
      </c>
      <c r="AZ101" s="171">
        <v>1354.1666666666667</v>
      </c>
      <c r="BA101" s="172">
        <v>20869.24358974359</v>
      </c>
      <c r="BB101" s="172">
        <v>250430.92307692306</v>
      </c>
      <c r="BC101" s="172">
        <v>30051.710769230765</v>
      </c>
    </row>
    <row r="102" spans="1:55" ht="18" customHeight="1" x14ac:dyDescent="0.25">
      <c r="A102" s="304">
        <v>100</v>
      </c>
      <c r="B102" s="305">
        <v>1099</v>
      </c>
      <c r="C102" s="306" t="s">
        <v>358</v>
      </c>
      <c r="D102" s="306" t="s">
        <v>616</v>
      </c>
      <c r="E102" s="306" t="s">
        <v>895</v>
      </c>
      <c r="F102" s="307">
        <v>17000</v>
      </c>
      <c r="G102" s="307">
        <v>1700</v>
      </c>
      <c r="H102" s="307">
        <v>2040</v>
      </c>
      <c r="I102" s="307">
        <f t="shared" si="12"/>
        <v>170</v>
      </c>
      <c r="J102" s="307">
        <v>1020</v>
      </c>
      <c r="K102" s="307">
        <v>21760</v>
      </c>
      <c r="L102" s="307">
        <v>2176</v>
      </c>
      <c r="M102" s="307">
        <v>380.8</v>
      </c>
      <c r="N102" s="308">
        <v>5</v>
      </c>
      <c r="O102" s="307">
        <f t="shared" si="17"/>
        <v>3269.2307692307691</v>
      </c>
      <c r="P102" s="308">
        <v>15</v>
      </c>
      <c r="Q102" s="307">
        <f t="shared" si="18"/>
        <v>1328.125</v>
      </c>
      <c r="R102" s="301">
        <f t="shared" si="13"/>
        <v>17262.094230769231</v>
      </c>
      <c r="S102" s="309">
        <f t="shared" si="14"/>
        <v>207145.13076923077</v>
      </c>
      <c r="T102" s="310">
        <f t="shared" si="15"/>
        <v>24857.415692307692</v>
      </c>
      <c r="V102" s="167"/>
      <c r="W102" s="167"/>
      <c r="X102" s="167"/>
      <c r="Y102" s="167"/>
      <c r="Z102" s="167"/>
      <c r="AA102" s="167"/>
      <c r="AB102" s="167"/>
      <c r="AC102" s="167"/>
      <c r="AD102" s="167"/>
      <c r="AE102" s="167"/>
      <c r="AF102" s="167"/>
      <c r="AG102" s="167"/>
      <c r="AH102" s="167"/>
      <c r="AI102" s="167"/>
      <c r="AJ102" s="167"/>
      <c r="AK102" s="167"/>
      <c r="AL102" s="167"/>
      <c r="AM102" s="167"/>
      <c r="AN102" s="169" t="s">
        <v>73</v>
      </c>
      <c r="AO102" s="169">
        <v>2092</v>
      </c>
      <c r="AP102" s="171">
        <v>46000</v>
      </c>
      <c r="AQ102" s="171">
        <v>4600</v>
      </c>
      <c r="AR102" s="171">
        <v>5520</v>
      </c>
      <c r="AS102" s="171">
        <v>2760</v>
      </c>
      <c r="AT102" s="171">
        <v>58880</v>
      </c>
      <c r="AU102" s="171">
        <v>5888</v>
      </c>
      <c r="AV102" s="172">
        <v>1030.4000000000001</v>
      </c>
      <c r="AW102" s="169">
        <v>7</v>
      </c>
      <c r="AX102" s="171">
        <v>4923.0769230769229</v>
      </c>
      <c r="AY102" s="169">
        <v>26</v>
      </c>
      <c r="AZ102" s="171">
        <v>3000</v>
      </c>
      <c r="BA102" s="172">
        <v>50038.523076923077</v>
      </c>
      <c r="BB102" s="172">
        <v>600462.27692307695</v>
      </c>
      <c r="BC102" s="172">
        <v>72055.473230769217</v>
      </c>
    </row>
    <row r="103" spans="1:55" ht="21.95" customHeight="1" thickBot="1" x14ac:dyDescent="0.3">
      <c r="A103" s="470" t="s">
        <v>1947</v>
      </c>
      <c r="B103" s="471"/>
      <c r="C103" s="471"/>
      <c r="D103" s="471"/>
      <c r="E103" s="471"/>
      <c r="F103" s="311">
        <f t="shared" ref="F103:M103" si="19">SUM(F3:F102)</f>
        <v>2309890</v>
      </c>
      <c r="G103" s="311">
        <f t="shared" si="19"/>
        <v>230989</v>
      </c>
      <c r="H103" s="311">
        <f t="shared" si="19"/>
        <v>277186.8</v>
      </c>
      <c r="I103" s="311">
        <f>SUM(I3:I102)</f>
        <v>23098.9</v>
      </c>
      <c r="J103" s="311">
        <f t="shared" si="19"/>
        <v>138593.4</v>
      </c>
      <c r="K103" s="311">
        <f t="shared" si="19"/>
        <v>2960529.2</v>
      </c>
      <c r="L103" s="311">
        <f t="shared" si="19"/>
        <v>296052.92000000004</v>
      </c>
      <c r="M103" s="311">
        <f t="shared" si="19"/>
        <v>51809.260999999984</v>
      </c>
      <c r="N103" s="311"/>
      <c r="O103" s="311">
        <f>SUM(O3:O102)</f>
        <v>306252.30769230769</v>
      </c>
      <c r="P103" s="311"/>
      <c r="Q103" s="311">
        <f>SUM(Q3:Q102)</f>
        <v>162788.28124999997</v>
      </c>
      <c r="R103" s="311">
        <f>SUM(R3:R102)</f>
        <v>2469202.9925576928</v>
      </c>
      <c r="S103" s="311">
        <f>SUM(S3:S102)</f>
        <v>29589452.610692289</v>
      </c>
      <c r="T103" s="312">
        <f>SUM(T3:T102)</f>
        <v>3550734.313283076</v>
      </c>
      <c r="V103" s="167"/>
      <c r="W103" s="167"/>
      <c r="X103" s="167"/>
      <c r="Y103" s="167"/>
      <c r="Z103" s="167"/>
      <c r="AA103" s="167"/>
      <c r="AB103" s="167"/>
      <c r="AC103" s="167"/>
      <c r="AD103" s="167"/>
      <c r="AE103" s="167"/>
      <c r="AF103" s="167"/>
      <c r="AG103" s="167"/>
      <c r="AH103" s="167"/>
      <c r="AI103" s="167"/>
      <c r="AJ103" s="167"/>
      <c r="AK103" s="167"/>
      <c r="AL103" s="167"/>
      <c r="AM103" s="167"/>
      <c r="AN103" s="169" t="s">
        <v>616</v>
      </c>
      <c r="AO103" s="169">
        <v>2092</v>
      </c>
      <c r="AP103" s="171">
        <v>46000</v>
      </c>
      <c r="AQ103" s="171">
        <v>4600</v>
      </c>
      <c r="AR103" s="171">
        <v>5520</v>
      </c>
      <c r="AS103" s="171">
        <v>2760</v>
      </c>
      <c r="AT103" s="171">
        <v>58880</v>
      </c>
      <c r="AU103" s="171">
        <v>5888</v>
      </c>
      <c r="AV103" s="172">
        <v>1030.4000000000001</v>
      </c>
      <c r="AW103" s="169">
        <v>7</v>
      </c>
      <c r="AX103" s="171">
        <v>4923.0769230769229</v>
      </c>
      <c r="AY103" s="169">
        <v>26</v>
      </c>
      <c r="AZ103" s="171">
        <v>3000</v>
      </c>
      <c r="BA103" s="172">
        <v>50038.523076923077</v>
      </c>
      <c r="BB103" s="172">
        <v>600462.27692307695</v>
      </c>
      <c r="BC103" s="172">
        <v>72055.473230769217</v>
      </c>
    </row>
    <row r="104" spans="1:55" ht="15.75" thickTop="1" x14ac:dyDescent="0.25">
      <c r="A104" s="147"/>
      <c r="B104" s="147"/>
      <c r="C104" s="147"/>
      <c r="D104" s="147"/>
      <c r="E104" s="147"/>
      <c r="F104" s="147"/>
      <c r="G104" s="147"/>
      <c r="H104" s="147"/>
      <c r="I104" s="147"/>
      <c r="J104" s="147"/>
      <c r="K104" s="147"/>
      <c r="L104" s="147"/>
      <c r="M104" s="147"/>
      <c r="N104" s="147"/>
      <c r="O104" s="147"/>
      <c r="P104" s="147"/>
      <c r="Q104" s="147"/>
      <c r="R104" s="147"/>
      <c r="S104" s="147"/>
      <c r="T104" s="147"/>
      <c r="V104" s="167"/>
      <c r="W104" s="167"/>
      <c r="X104" s="167"/>
      <c r="Y104" s="167"/>
      <c r="Z104" s="167"/>
      <c r="AA104" s="167"/>
      <c r="AB104" s="167"/>
      <c r="AC104" s="167"/>
      <c r="AD104" s="167"/>
      <c r="AE104" s="167"/>
      <c r="AF104" s="167"/>
      <c r="AG104" s="167"/>
      <c r="AH104" s="167"/>
      <c r="AI104" s="167"/>
      <c r="AJ104" s="167"/>
      <c r="AK104" s="167"/>
      <c r="AL104" s="167"/>
      <c r="AM104" s="167"/>
      <c r="AN104" s="169" t="s">
        <v>227</v>
      </c>
      <c r="AO104" s="169">
        <v>2087</v>
      </c>
      <c r="AP104" s="171">
        <v>48000</v>
      </c>
      <c r="AQ104" s="171">
        <v>4800</v>
      </c>
      <c r="AR104" s="171">
        <v>5760</v>
      </c>
      <c r="AS104" s="171">
        <v>2880</v>
      </c>
      <c r="AT104" s="171">
        <v>61440</v>
      </c>
      <c r="AU104" s="171">
        <v>6144</v>
      </c>
      <c r="AV104" s="172">
        <v>1075.2</v>
      </c>
      <c r="AW104" s="169">
        <v>7</v>
      </c>
      <c r="AX104" s="171">
        <v>6653.8461538461543</v>
      </c>
      <c r="AY104" s="169">
        <v>25</v>
      </c>
      <c r="AZ104" s="171">
        <v>3098.958333333333</v>
      </c>
      <c r="BA104" s="172">
        <v>50665.912179487183</v>
      </c>
      <c r="BB104" s="172">
        <v>607990.94615384622</v>
      </c>
      <c r="BC104" s="172">
        <v>72958.913538461537</v>
      </c>
    </row>
    <row r="105" spans="1:55" x14ac:dyDescent="0.25">
      <c r="A105" s="147"/>
      <c r="B105" s="147"/>
      <c r="C105" s="147"/>
      <c r="D105" s="147"/>
      <c r="E105" s="147"/>
      <c r="F105" s="147"/>
      <c r="G105" s="147"/>
      <c r="H105" s="147"/>
      <c r="I105" s="147"/>
      <c r="J105" s="147"/>
      <c r="K105" s="147"/>
      <c r="L105" s="147"/>
      <c r="M105" s="147"/>
      <c r="N105" s="147"/>
      <c r="O105" s="147"/>
      <c r="P105" s="147"/>
      <c r="Q105" s="147"/>
      <c r="R105" s="147"/>
      <c r="S105" s="147"/>
      <c r="T105" s="147"/>
      <c r="V105" s="167"/>
      <c r="W105" s="167"/>
      <c r="X105" s="167"/>
      <c r="Y105" s="167"/>
      <c r="Z105" s="167"/>
      <c r="AA105" s="167"/>
      <c r="AB105" s="167"/>
      <c r="AC105" s="167"/>
      <c r="AD105" s="167"/>
      <c r="AE105" s="167"/>
      <c r="AF105" s="167"/>
      <c r="AG105" s="167"/>
      <c r="AH105" s="167"/>
      <c r="AI105" s="167"/>
      <c r="AJ105" s="167"/>
      <c r="AK105" s="167"/>
      <c r="AL105" s="167"/>
      <c r="AM105" s="167"/>
      <c r="AN105" s="169" t="s">
        <v>616</v>
      </c>
      <c r="AO105" s="169">
        <v>2087</v>
      </c>
      <c r="AP105" s="171">
        <v>48000</v>
      </c>
      <c r="AQ105" s="171">
        <v>4800</v>
      </c>
      <c r="AR105" s="171">
        <v>5760</v>
      </c>
      <c r="AS105" s="171">
        <v>2880</v>
      </c>
      <c r="AT105" s="171">
        <v>61440</v>
      </c>
      <c r="AU105" s="171">
        <v>6144</v>
      </c>
      <c r="AV105" s="172">
        <v>1075.2</v>
      </c>
      <c r="AW105" s="169">
        <v>7</v>
      </c>
      <c r="AX105" s="171">
        <v>6653.8461538461543</v>
      </c>
      <c r="AY105" s="169">
        <v>25</v>
      </c>
      <c r="AZ105" s="171">
        <v>3098.958333333333</v>
      </c>
      <c r="BA105" s="172">
        <v>50665.912179487183</v>
      </c>
      <c r="BB105" s="172">
        <v>607990.94615384622</v>
      </c>
      <c r="BC105" s="172">
        <v>72958.913538461537</v>
      </c>
    </row>
    <row r="106" spans="1:55" x14ac:dyDescent="0.25">
      <c r="A106" s="147"/>
      <c r="B106" s="147"/>
      <c r="C106" s="147"/>
      <c r="D106" s="147"/>
      <c r="E106" s="147"/>
      <c r="F106" s="147"/>
      <c r="G106" s="147"/>
      <c r="H106" s="147"/>
      <c r="I106" s="147"/>
      <c r="J106" s="147"/>
      <c r="K106" s="147"/>
      <c r="L106" s="147"/>
      <c r="M106" s="147"/>
      <c r="N106" s="147"/>
      <c r="O106" s="147"/>
      <c r="P106" s="147"/>
      <c r="Q106" s="147"/>
      <c r="R106" s="147"/>
      <c r="S106" s="147"/>
      <c r="T106" s="147"/>
      <c r="V106" s="167"/>
      <c r="W106" s="167"/>
      <c r="X106" s="167"/>
      <c r="Y106" s="167"/>
      <c r="Z106" s="167"/>
      <c r="AA106" s="167"/>
      <c r="AB106" s="167"/>
      <c r="AC106" s="167"/>
      <c r="AD106" s="167"/>
      <c r="AE106" s="167"/>
      <c r="AF106" s="167"/>
      <c r="AG106" s="167"/>
      <c r="AH106" s="167"/>
      <c r="AI106" s="167"/>
      <c r="AJ106" s="167"/>
      <c r="AK106" s="167"/>
      <c r="AL106" s="167"/>
      <c r="AM106" s="167"/>
      <c r="AN106" s="169" t="s">
        <v>190</v>
      </c>
      <c r="AO106" s="169">
        <v>1071</v>
      </c>
      <c r="AP106" s="171">
        <v>34000</v>
      </c>
      <c r="AQ106" s="171">
        <v>3400</v>
      </c>
      <c r="AR106" s="171">
        <v>4080</v>
      </c>
      <c r="AS106" s="171">
        <v>2040</v>
      </c>
      <c r="AT106" s="171">
        <v>43520</v>
      </c>
      <c r="AU106" s="171">
        <v>4352</v>
      </c>
      <c r="AV106" s="172">
        <v>761.6</v>
      </c>
      <c r="AW106" s="169">
        <v>3</v>
      </c>
      <c r="AX106" s="171">
        <v>3923.0769230769229</v>
      </c>
      <c r="AY106" s="169">
        <v>13</v>
      </c>
      <c r="AZ106" s="171">
        <v>2302.0833333333335</v>
      </c>
      <c r="BA106" s="172">
        <v>36785.406410256415</v>
      </c>
      <c r="BB106" s="172">
        <v>441424.87692307698</v>
      </c>
      <c r="BC106" s="172">
        <v>52970.985230769234</v>
      </c>
    </row>
    <row r="107" spans="1:55" ht="15.75" thickBot="1" x14ac:dyDescent="0.3">
      <c r="A107" s="147"/>
      <c r="B107" s="147"/>
      <c r="C107" s="147"/>
      <c r="D107" s="147"/>
      <c r="E107" s="147"/>
      <c r="F107" s="147"/>
      <c r="G107" s="147"/>
      <c r="H107" s="147"/>
      <c r="I107" s="147"/>
      <c r="J107" s="147"/>
      <c r="K107" s="147"/>
      <c r="L107" s="147"/>
      <c r="M107" s="147"/>
      <c r="N107" s="147"/>
      <c r="O107" s="147"/>
      <c r="P107" s="147"/>
      <c r="Q107" s="147"/>
      <c r="R107" s="147"/>
      <c r="S107" s="147"/>
      <c r="T107" s="147"/>
      <c r="V107" s="167"/>
      <c r="W107" s="167"/>
      <c r="X107" s="167"/>
      <c r="Y107" s="167"/>
      <c r="Z107" s="167"/>
      <c r="AA107" s="167"/>
      <c r="AB107" s="167"/>
      <c r="AC107" s="167"/>
      <c r="AD107" s="167"/>
      <c r="AE107" s="167"/>
      <c r="AF107" s="167"/>
      <c r="AG107" s="167"/>
      <c r="AH107" s="167"/>
      <c r="AI107" s="167"/>
      <c r="AJ107" s="167"/>
      <c r="AK107" s="167"/>
      <c r="AL107" s="167"/>
      <c r="AM107" s="167"/>
      <c r="AN107" s="169" t="s">
        <v>616</v>
      </c>
      <c r="AO107" s="169">
        <v>1071</v>
      </c>
      <c r="AP107" s="171">
        <v>34000</v>
      </c>
      <c r="AQ107" s="171">
        <v>3400</v>
      </c>
      <c r="AR107" s="171">
        <v>4080</v>
      </c>
      <c r="AS107" s="171">
        <v>2040</v>
      </c>
      <c r="AT107" s="171">
        <v>43520</v>
      </c>
      <c r="AU107" s="171">
        <v>4352</v>
      </c>
      <c r="AV107" s="172">
        <v>761.6</v>
      </c>
      <c r="AW107" s="169">
        <v>3</v>
      </c>
      <c r="AX107" s="171">
        <v>3923.0769230769229</v>
      </c>
      <c r="AY107" s="169">
        <v>13</v>
      </c>
      <c r="AZ107" s="171">
        <v>2302.0833333333335</v>
      </c>
      <c r="BA107" s="172">
        <v>36785.406410256415</v>
      </c>
      <c r="BB107" s="172">
        <v>441424.87692307698</v>
      </c>
      <c r="BC107" s="172">
        <v>52970.985230769234</v>
      </c>
    </row>
    <row r="108" spans="1:55" ht="24" customHeight="1" thickTop="1" x14ac:dyDescent="0.25">
      <c r="A108" s="472" t="s">
        <v>958</v>
      </c>
      <c r="B108" s="472"/>
      <c r="C108" s="472"/>
      <c r="D108" s="472"/>
      <c r="E108" s="472"/>
      <c r="F108" s="472"/>
      <c r="G108" s="472"/>
      <c r="H108" s="472"/>
      <c r="I108" s="472"/>
      <c r="J108" s="472"/>
      <c r="K108" s="472"/>
      <c r="L108" s="472"/>
      <c r="M108" s="473"/>
      <c r="N108" s="148" t="s">
        <v>967</v>
      </c>
      <c r="O108" s="149" t="s">
        <v>620</v>
      </c>
      <c r="P108" s="147"/>
      <c r="Q108" s="147"/>
      <c r="R108" s="147"/>
      <c r="S108" s="147"/>
      <c r="T108" s="147"/>
      <c r="V108" s="167"/>
      <c r="W108" s="167"/>
      <c r="X108" s="167"/>
      <c r="Y108" s="167"/>
      <c r="Z108" s="167"/>
      <c r="AA108" s="167"/>
      <c r="AB108" s="167"/>
      <c r="AC108" s="167"/>
      <c r="AD108" s="167"/>
      <c r="AE108" s="167"/>
      <c r="AF108" s="167"/>
      <c r="AG108" s="167"/>
      <c r="AH108" s="167"/>
      <c r="AI108" s="167"/>
      <c r="AJ108" s="167"/>
      <c r="AK108" s="167"/>
      <c r="AL108" s="167"/>
      <c r="AM108" s="167"/>
      <c r="AN108" s="169" t="s">
        <v>81</v>
      </c>
      <c r="AO108" s="169">
        <v>1003</v>
      </c>
      <c r="AP108" s="171">
        <v>60000</v>
      </c>
      <c r="AQ108" s="171">
        <v>6000</v>
      </c>
      <c r="AR108" s="171">
        <v>7200</v>
      </c>
      <c r="AS108" s="171">
        <v>3600</v>
      </c>
      <c r="AT108" s="171">
        <v>76800</v>
      </c>
      <c r="AU108" s="171">
        <v>7680</v>
      </c>
      <c r="AV108" s="172">
        <v>1344.0000000000002</v>
      </c>
      <c r="AW108" s="169">
        <v>3</v>
      </c>
      <c r="AX108" s="171">
        <v>6923.0769230769229</v>
      </c>
      <c r="AY108" s="169">
        <v>15</v>
      </c>
      <c r="AZ108" s="171">
        <v>4687.5</v>
      </c>
      <c r="BA108" s="172">
        <v>65540.423076923078</v>
      </c>
      <c r="BB108" s="172">
        <v>786485.07692307699</v>
      </c>
      <c r="BC108" s="172">
        <v>94378.209230769236</v>
      </c>
    </row>
    <row r="109" spans="1:55" ht="21.95" customHeight="1" x14ac:dyDescent="0.25">
      <c r="A109" s="152" t="s">
        <v>959</v>
      </c>
      <c r="B109" s="153" t="s">
        <v>960</v>
      </c>
      <c r="C109" s="147"/>
      <c r="D109" s="152" t="s">
        <v>959</v>
      </c>
      <c r="E109" s="249"/>
      <c r="F109" s="153" t="s">
        <v>960</v>
      </c>
      <c r="G109" s="147"/>
      <c r="H109" s="152" t="s">
        <v>959</v>
      </c>
      <c r="I109" s="153" t="s">
        <v>960</v>
      </c>
      <c r="J109" s="147"/>
      <c r="K109" s="152" t="s">
        <v>959</v>
      </c>
      <c r="L109" s="153" t="s">
        <v>960</v>
      </c>
      <c r="M109" s="147"/>
      <c r="N109" s="152" t="s">
        <v>957</v>
      </c>
      <c r="O109" s="156">
        <f>F103</f>
        <v>2309890</v>
      </c>
      <c r="P109" s="147"/>
      <c r="Q109" s="147"/>
      <c r="R109" s="147"/>
      <c r="S109" s="147"/>
      <c r="T109" s="147"/>
      <c r="V109" s="167"/>
      <c r="W109" s="167"/>
      <c r="X109" s="167"/>
      <c r="Y109" s="167"/>
      <c r="Z109" s="167"/>
      <c r="AA109" s="167"/>
      <c r="AB109" s="167"/>
      <c r="AC109" s="167"/>
      <c r="AD109" s="167"/>
      <c r="AE109" s="167"/>
      <c r="AF109" s="167"/>
      <c r="AG109" s="167"/>
      <c r="AH109" s="167"/>
      <c r="AI109" s="167"/>
      <c r="AJ109" s="167"/>
      <c r="AK109" s="167"/>
      <c r="AL109" s="167"/>
      <c r="AM109" s="167"/>
      <c r="AN109" s="169" t="s">
        <v>615</v>
      </c>
      <c r="AO109" s="169">
        <v>1003</v>
      </c>
      <c r="AP109" s="171">
        <v>60000</v>
      </c>
      <c r="AQ109" s="171">
        <v>6000</v>
      </c>
      <c r="AR109" s="171">
        <v>7200</v>
      </c>
      <c r="AS109" s="171">
        <v>3600</v>
      </c>
      <c r="AT109" s="171">
        <v>76800</v>
      </c>
      <c r="AU109" s="171">
        <v>7680</v>
      </c>
      <c r="AV109" s="172">
        <v>1344.0000000000002</v>
      </c>
      <c r="AW109" s="169">
        <v>3</v>
      </c>
      <c r="AX109" s="171">
        <v>6923.0769230769229</v>
      </c>
      <c r="AY109" s="169">
        <v>15</v>
      </c>
      <c r="AZ109" s="171">
        <v>4687.5</v>
      </c>
      <c r="BA109" s="172">
        <v>65540.423076923078</v>
      </c>
      <c r="BB109" s="172">
        <v>786485.07692307699</v>
      </c>
      <c r="BC109" s="172">
        <v>94378.209230769236</v>
      </c>
    </row>
    <row r="110" spans="1:55" ht="21.95" customHeight="1" x14ac:dyDescent="0.25">
      <c r="A110" s="150" t="s">
        <v>961</v>
      </c>
      <c r="B110" s="159">
        <f>COUNTA(C3:C102)</f>
        <v>100</v>
      </c>
      <c r="C110" s="147"/>
      <c r="D110" s="150" t="s">
        <v>970</v>
      </c>
      <c r="E110" s="250"/>
      <c r="F110" s="162">
        <f>AVERAGE(K3:K102)</f>
        <v>29605.292000000001</v>
      </c>
      <c r="G110" s="147"/>
      <c r="H110" s="150" t="s">
        <v>973</v>
      </c>
      <c r="I110" s="162">
        <f>G103</f>
        <v>230989</v>
      </c>
      <c r="J110" s="147"/>
      <c r="K110" s="150" t="s">
        <v>964</v>
      </c>
      <c r="L110" s="162">
        <f>J103</f>
        <v>138593.4</v>
      </c>
      <c r="M110" s="147"/>
      <c r="N110" s="151" t="s">
        <v>968</v>
      </c>
      <c r="O110" s="163">
        <f>SUM(G103:J103)</f>
        <v>669868.1</v>
      </c>
      <c r="P110" s="147"/>
      <c r="Q110" s="147"/>
      <c r="R110" s="147"/>
      <c r="S110" s="147"/>
      <c r="T110" s="147"/>
      <c r="V110" s="167"/>
      <c r="W110" s="167"/>
      <c r="X110" s="167"/>
      <c r="Y110" s="167"/>
      <c r="Z110" s="167"/>
      <c r="AA110" s="167"/>
      <c r="AB110" s="167"/>
      <c r="AC110" s="167"/>
      <c r="AD110" s="167"/>
      <c r="AE110" s="167"/>
      <c r="AF110" s="167"/>
      <c r="AG110" s="167"/>
      <c r="AH110" s="167"/>
      <c r="AI110" s="167"/>
      <c r="AJ110" s="167"/>
      <c r="AK110" s="167"/>
      <c r="AL110" s="167"/>
      <c r="AM110" s="167"/>
      <c r="AN110" s="169" t="s">
        <v>193</v>
      </c>
      <c r="AO110" s="169">
        <v>2089</v>
      </c>
      <c r="AP110" s="171">
        <v>23000</v>
      </c>
      <c r="AQ110" s="171">
        <v>2300</v>
      </c>
      <c r="AR110" s="171">
        <v>2760</v>
      </c>
      <c r="AS110" s="171">
        <v>1380</v>
      </c>
      <c r="AT110" s="171">
        <v>29440</v>
      </c>
      <c r="AU110" s="171">
        <v>2944</v>
      </c>
      <c r="AV110" s="172">
        <v>515.20000000000005</v>
      </c>
      <c r="AW110" s="169">
        <v>7</v>
      </c>
      <c r="AX110" s="171">
        <v>3153.8461538461538</v>
      </c>
      <c r="AY110" s="169">
        <v>28</v>
      </c>
      <c r="AZ110" s="171">
        <v>1677.0833333333335</v>
      </c>
      <c r="BA110" s="172">
        <v>24504.037179487175</v>
      </c>
      <c r="BB110" s="172">
        <v>294048.4461538461</v>
      </c>
      <c r="BC110" s="172">
        <v>35285.813538461531</v>
      </c>
    </row>
    <row r="111" spans="1:55" ht="21.95" customHeight="1" thickBot="1" x14ac:dyDescent="0.3">
      <c r="A111" s="151" t="s">
        <v>962</v>
      </c>
      <c r="B111" s="160">
        <f>F103</f>
        <v>2309890</v>
      </c>
      <c r="C111" s="147"/>
      <c r="D111" s="151" t="s">
        <v>971</v>
      </c>
      <c r="E111" s="251"/>
      <c r="F111" s="163">
        <f>MAX(K3:K102)</f>
        <v>90300</v>
      </c>
      <c r="G111" s="147"/>
      <c r="H111" s="151" t="s">
        <v>974</v>
      </c>
      <c r="I111" s="163">
        <f>H103</f>
        <v>277186.8</v>
      </c>
      <c r="J111" s="147"/>
      <c r="K111" s="151" t="s">
        <v>965</v>
      </c>
      <c r="L111" s="163">
        <f>SUM(L3:L102)</f>
        <v>296052.92000000004</v>
      </c>
      <c r="M111" s="147"/>
      <c r="N111" s="155" t="s">
        <v>969</v>
      </c>
      <c r="O111" s="165">
        <f>SUM(L103:M103)</f>
        <v>347862.18100000004</v>
      </c>
      <c r="P111" s="147"/>
      <c r="Q111" s="147"/>
      <c r="R111" s="147"/>
      <c r="S111" s="147"/>
      <c r="T111" s="147"/>
      <c r="V111" s="167"/>
      <c r="W111" s="167"/>
      <c r="X111" s="167"/>
      <c r="Y111" s="167"/>
      <c r="Z111" s="167"/>
      <c r="AA111" s="167"/>
      <c r="AB111" s="167"/>
      <c r="AC111" s="167"/>
      <c r="AD111" s="167"/>
      <c r="AE111" s="167"/>
      <c r="AF111" s="167"/>
      <c r="AG111" s="167"/>
      <c r="AH111" s="167"/>
      <c r="AI111" s="167"/>
      <c r="AJ111" s="167"/>
      <c r="AK111" s="167"/>
      <c r="AL111" s="167"/>
      <c r="AM111" s="167"/>
      <c r="AN111" s="169" t="s">
        <v>616</v>
      </c>
      <c r="AO111" s="169">
        <v>2089</v>
      </c>
      <c r="AP111" s="171">
        <v>23000</v>
      </c>
      <c r="AQ111" s="171">
        <v>2300</v>
      </c>
      <c r="AR111" s="171">
        <v>2760</v>
      </c>
      <c r="AS111" s="171">
        <v>1380</v>
      </c>
      <c r="AT111" s="171">
        <v>29440</v>
      </c>
      <c r="AU111" s="171">
        <v>2944</v>
      </c>
      <c r="AV111" s="172">
        <v>515.20000000000005</v>
      </c>
      <c r="AW111" s="169">
        <v>7</v>
      </c>
      <c r="AX111" s="171">
        <v>3153.8461538461538</v>
      </c>
      <c r="AY111" s="169">
        <v>28</v>
      </c>
      <c r="AZ111" s="171">
        <v>1677.0833333333335</v>
      </c>
      <c r="BA111" s="172">
        <v>24504.037179487175</v>
      </c>
      <c r="BB111" s="172">
        <v>294048.4461538461</v>
      </c>
      <c r="BC111" s="172">
        <v>35285.813538461531</v>
      </c>
    </row>
    <row r="112" spans="1:55" ht="21.95" customHeight="1" x14ac:dyDescent="0.25">
      <c r="A112" s="157" t="s">
        <v>963</v>
      </c>
      <c r="B112" s="161">
        <f>K103</f>
        <v>2960529.2</v>
      </c>
      <c r="C112" s="147"/>
      <c r="D112" s="154" t="s">
        <v>972</v>
      </c>
      <c r="E112" s="252"/>
      <c r="F112" s="164">
        <f>MIN(K3:K102)</f>
        <v>12800</v>
      </c>
      <c r="G112" s="147"/>
      <c r="H112" s="154" t="s">
        <v>975</v>
      </c>
      <c r="I112" s="164">
        <f>I103</f>
        <v>23098.9</v>
      </c>
      <c r="J112" s="147"/>
      <c r="K112" s="154" t="s">
        <v>966</v>
      </c>
      <c r="L112" s="164">
        <f>SUM(M3:M102)</f>
        <v>51809.260999999984</v>
      </c>
      <c r="M112" s="147"/>
      <c r="N112" s="158"/>
      <c r="O112" s="166"/>
      <c r="P112" s="147"/>
      <c r="Q112" s="147"/>
      <c r="R112" s="147"/>
      <c r="S112" s="147"/>
      <c r="T112" s="147"/>
      <c r="V112" s="167"/>
      <c r="W112" s="167"/>
      <c r="X112" s="167"/>
      <c r="Y112" s="167"/>
      <c r="Z112" s="167"/>
      <c r="AA112" s="167"/>
      <c r="AB112" s="167"/>
      <c r="AC112" s="167"/>
      <c r="AD112" s="167"/>
      <c r="AE112" s="167"/>
      <c r="AF112" s="167"/>
      <c r="AG112" s="167"/>
      <c r="AH112" s="167"/>
      <c r="AI112" s="167"/>
      <c r="AJ112" s="167"/>
      <c r="AK112" s="167"/>
      <c r="AL112" s="167"/>
      <c r="AM112" s="167"/>
      <c r="AN112" s="169" t="s">
        <v>39</v>
      </c>
      <c r="AO112" s="169">
        <v>1022</v>
      </c>
      <c r="AP112" s="171">
        <v>25000</v>
      </c>
      <c r="AQ112" s="171">
        <v>2500</v>
      </c>
      <c r="AR112" s="171">
        <v>3000</v>
      </c>
      <c r="AS112" s="171">
        <v>1500</v>
      </c>
      <c r="AT112" s="171">
        <v>32000</v>
      </c>
      <c r="AU112" s="171">
        <v>3200</v>
      </c>
      <c r="AV112" s="172">
        <v>560</v>
      </c>
      <c r="AW112" s="169">
        <v>5</v>
      </c>
      <c r="AX112" s="171">
        <v>4807.6923076923076</v>
      </c>
      <c r="AY112" s="169">
        <v>14</v>
      </c>
      <c r="AZ112" s="171">
        <v>1822.9166666666667</v>
      </c>
      <c r="BA112" s="172">
        <v>25255.224358974359</v>
      </c>
      <c r="BB112" s="172">
        <v>303062.69230769231</v>
      </c>
      <c r="BC112" s="172">
        <v>36367.523076923077</v>
      </c>
    </row>
    <row r="113" spans="22:55" x14ac:dyDescent="0.25">
      <c r="V113" s="167"/>
      <c r="W113" s="167"/>
      <c r="X113" s="167"/>
      <c r="Y113" s="167"/>
      <c r="Z113" s="167"/>
      <c r="AA113" s="167"/>
      <c r="AB113" s="167"/>
      <c r="AC113" s="167"/>
      <c r="AD113" s="167"/>
      <c r="AE113" s="167"/>
      <c r="AF113" s="167"/>
      <c r="AG113" s="167"/>
      <c r="AH113" s="167"/>
      <c r="AI113" s="167"/>
      <c r="AJ113" s="167"/>
      <c r="AK113" s="167"/>
      <c r="AL113" s="167"/>
      <c r="AM113" s="167"/>
      <c r="AN113" s="169" t="s">
        <v>616</v>
      </c>
      <c r="AO113" s="169">
        <v>1022</v>
      </c>
      <c r="AP113" s="171">
        <v>25000</v>
      </c>
      <c r="AQ113" s="171">
        <v>2500</v>
      </c>
      <c r="AR113" s="171">
        <v>3000</v>
      </c>
      <c r="AS113" s="171">
        <v>1500</v>
      </c>
      <c r="AT113" s="171">
        <v>32000</v>
      </c>
      <c r="AU113" s="171">
        <v>3200</v>
      </c>
      <c r="AV113" s="172">
        <v>560</v>
      </c>
      <c r="AW113" s="169">
        <v>5</v>
      </c>
      <c r="AX113" s="171">
        <v>4807.6923076923076</v>
      </c>
      <c r="AY113" s="169">
        <v>14</v>
      </c>
      <c r="AZ113" s="171">
        <v>1822.9166666666667</v>
      </c>
      <c r="BA113" s="172">
        <v>25255.224358974359</v>
      </c>
      <c r="BB113" s="172">
        <v>303062.69230769231</v>
      </c>
      <c r="BC113" s="172">
        <v>36367.523076923077</v>
      </c>
    </row>
    <row r="114" spans="22:55" x14ac:dyDescent="0.25">
      <c r="V114" s="167"/>
      <c r="W114" s="167"/>
      <c r="X114" s="167"/>
      <c r="Y114" s="167"/>
      <c r="Z114" s="167"/>
      <c r="AA114" s="167"/>
      <c r="AB114" s="167"/>
      <c r="AC114" s="167"/>
      <c r="AD114" s="167"/>
      <c r="AE114" s="167"/>
      <c r="AF114" s="167"/>
      <c r="AG114" s="167"/>
      <c r="AH114" s="167"/>
      <c r="AI114" s="167"/>
      <c r="AJ114" s="167"/>
      <c r="AK114" s="167"/>
      <c r="AL114" s="167"/>
      <c r="AM114" s="167"/>
      <c r="AN114" s="169" t="s">
        <v>155</v>
      </c>
      <c r="AO114" s="169">
        <v>1015</v>
      </c>
      <c r="AP114" s="171">
        <v>24000</v>
      </c>
      <c r="AQ114" s="171">
        <v>2400</v>
      </c>
      <c r="AR114" s="171">
        <v>2880</v>
      </c>
      <c r="AS114" s="171">
        <v>1440</v>
      </c>
      <c r="AT114" s="171">
        <v>30720</v>
      </c>
      <c r="AU114" s="171">
        <v>3072</v>
      </c>
      <c r="AV114" s="172">
        <v>537.6</v>
      </c>
      <c r="AW114" s="169">
        <v>3</v>
      </c>
      <c r="AX114" s="171">
        <v>2769.2307692307695</v>
      </c>
      <c r="AY114" s="169">
        <v>15</v>
      </c>
      <c r="AZ114" s="171">
        <v>1875</v>
      </c>
      <c r="BA114" s="172">
        <v>26216.169230769232</v>
      </c>
      <c r="BB114" s="172">
        <v>314594.0307692308</v>
      </c>
      <c r="BC114" s="172">
        <v>37751.283692307697</v>
      </c>
    </row>
    <row r="115" spans="22:55" x14ac:dyDescent="0.25">
      <c r="V115" s="167"/>
      <c r="W115" s="167"/>
      <c r="X115" s="167"/>
      <c r="Y115" s="167"/>
      <c r="Z115" s="167"/>
      <c r="AA115" s="167"/>
      <c r="AB115" s="167"/>
      <c r="AC115" s="167"/>
      <c r="AD115" s="167"/>
      <c r="AE115" s="167"/>
      <c r="AF115" s="167"/>
      <c r="AG115" s="167"/>
      <c r="AH115" s="167"/>
      <c r="AI115" s="167"/>
      <c r="AJ115" s="167"/>
      <c r="AK115" s="167"/>
      <c r="AL115" s="167"/>
      <c r="AM115" s="167"/>
      <c r="AN115" s="169" t="s">
        <v>616</v>
      </c>
      <c r="AO115" s="169">
        <v>1015</v>
      </c>
      <c r="AP115" s="171">
        <v>24000</v>
      </c>
      <c r="AQ115" s="171">
        <v>2400</v>
      </c>
      <c r="AR115" s="171">
        <v>2880</v>
      </c>
      <c r="AS115" s="171">
        <v>1440</v>
      </c>
      <c r="AT115" s="171">
        <v>30720</v>
      </c>
      <c r="AU115" s="171">
        <v>3072</v>
      </c>
      <c r="AV115" s="172">
        <v>537.6</v>
      </c>
      <c r="AW115" s="169">
        <v>3</v>
      </c>
      <c r="AX115" s="171">
        <v>2769.2307692307695</v>
      </c>
      <c r="AY115" s="169">
        <v>15</v>
      </c>
      <c r="AZ115" s="171">
        <v>1875</v>
      </c>
      <c r="BA115" s="172">
        <v>26216.169230769232</v>
      </c>
      <c r="BB115" s="172">
        <v>314594.0307692308</v>
      </c>
      <c r="BC115" s="172">
        <v>37751.283692307697</v>
      </c>
    </row>
    <row r="116" spans="22:55" x14ac:dyDescent="0.25">
      <c r="V116" s="167"/>
      <c r="W116" s="167"/>
      <c r="X116" s="167"/>
      <c r="Y116" s="167"/>
      <c r="Z116" s="167"/>
      <c r="AA116" s="167"/>
      <c r="AB116" s="167"/>
      <c r="AC116" s="167"/>
      <c r="AD116" s="167"/>
      <c r="AE116" s="167"/>
      <c r="AF116" s="167"/>
      <c r="AG116" s="167"/>
      <c r="AH116" s="167"/>
      <c r="AI116" s="167"/>
      <c r="AJ116" s="167"/>
      <c r="AK116" s="167"/>
      <c r="AL116" s="167"/>
      <c r="AM116" s="167"/>
      <c r="AN116" s="169" t="s">
        <v>214</v>
      </c>
      <c r="AO116" s="169">
        <v>1075</v>
      </c>
      <c r="AP116" s="171">
        <v>31000</v>
      </c>
      <c r="AQ116" s="171">
        <v>3100</v>
      </c>
      <c r="AR116" s="171">
        <v>3720</v>
      </c>
      <c r="AS116" s="171">
        <v>1860</v>
      </c>
      <c r="AT116" s="171">
        <v>39680</v>
      </c>
      <c r="AU116" s="171">
        <v>3968</v>
      </c>
      <c r="AV116" s="172">
        <v>694.40000000000009</v>
      </c>
      <c r="AW116" s="169">
        <v>4</v>
      </c>
      <c r="AX116" s="171">
        <v>4769.2307692307695</v>
      </c>
      <c r="AY116" s="169">
        <v>15</v>
      </c>
      <c r="AZ116" s="171">
        <v>2421.875</v>
      </c>
      <c r="BA116" s="172">
        <v>32670.244230769229</v>
      </c>
      <c r="BB116" s="172">
        <v>392042.93076923076</v>
      </c>
      <c r="BC116" s="172">
        <v>47045.151692307692</v>
      </c>
    </row>
    <row r="117" spans="22:55" x14ac:dyDescent="0.25">
      <c r="V117" s="167"/>
      <c r="W117" s="167"/>
      <c r="X117" s="167"/>
      <c r="Y117" s="167"/>
      <c r="Z117" s="167"/>
      <c r="AA117" s="167"/>
      <c r="AB117" s="167"/>
      <c r="AC117" s="167"/>
      <c r="AD117" s="167"/>
      <c r="AE117" s="167"/>
      <c r="AF117" s="167"/>
      <c r="AG117" s="167"/>
      <c r="AH117" s="167"/>
      <c r="AI117" s="167"/>
      <c r="AJ117" s="167"/>
      <c r="AK117" s="167"/>
      <c r="AL117" s="167"/>
      <c r="AM117" s="167"/>
      <c r="AN117" s="169" t="s">
        <v>616</v>
      </c>
      <c r="AO117" s="169">
        <v>1075</v>
      </c>
      <c r="AP117" s="171">
        <v>31000</v>
      </c>
      <c r="AQ117" s="171">
        <v>3100</v>
      </c>
      <c r="AR117" s="171">
        <v>3720</v>
      </c>
      <c r="AS117" s="171">
        <v>1860</v>
      </c>
      <c r="AT117" s="171">
        <v>39680</v>
      </c>
      <c r="AU117" s="171">
        <v>3968</v>
      </c>
      <c r="AV117" s="172">
        <v>694.40000000000009</v>
      </c>
      <c r="AW117" s="169">
        <v>4</v>
      </c>
      <c r="AX117" s="171">
        <v>4769.2307692307695</v>
      </c>
      <c r="AY117" s="169">
        <v>15</v>
      </c>
      <c r="AZ117" s="171">
        <v>2421.875</v>
      </c>
      <c r="BA117" s="172">
        <v>32670.244230769229</v>
      </c>
      <c r="BB117" s="172">
        <v>392042.93076923076</v>
      </c>
      <c r="BC117" s="172">
        <v>47045.151692307692</v>
      </c>
    </row>
    <row r="118" spans="22:55" x14ac:dyDescent="0.25">
      <c r="V118" s="167"/>
      <c r="W118" s="167"/>
      <c r="X118" s="167"/>
      <c r="Y118" s="167"/>
      <c r="Z118" s="167"/>
      <c r="AA118" s="167"/>
      <c r="AB118" s="167"/>
      <c r="AC118" s="167"/>
      <c r="AD118" s="167"/>
      <c r="AE118" s="167"/>
      <c r="AF118" s="167"/>
      <c r="AG118" s="167"/>
      <c r="AH118" s="167"/>
      <c r="AI118" s="167"/>
      <c r="AJ118" s="167"/>
      <c r="AK118" s="167"/>
      <c r="AL118" s="167"/>
      <c r="AM118" s="167"/>
      <c r="AN118" s="169" t="s">
        <v>168</v>
      </c>
      <c r="AO118" s="169">
        <v>1017</v>
      </c>
      <c r="AP118" s="171">
        <v>14000</v>
      </c>
      <c r="AQ118" s="171">
        <v>1400</v>
      </c>
      <c r="AR118" s="171">
        <v>1680</v>
      </c>
      <c r="AS118" s="171">
        <v>840</v>
      </c>
      <c r="AT118" s="171">
        <v>17920</v>
      </c>
      <c r="AU118" s="171">
        <v>1792</v>
      </c>
      <c r="AV118" s="172">
        <v>313.60000000000002</v>
      </c>
      <c r="AW118" s="169">
        <v>4</v>
      </c>
      <c r="AX118" s="171">
        <v>2153.8461538461538</v>
      </c>
      <c r="AY118" s="169">
        <v>14</v>
      </c>
      <c r="AZ118" s="171">
        <v>1020.8333333333334</v>
      </c>
      <c r="BA118" s="172">
        <v>14681.387179487179</v>
      </c>
      <c r="BB118" s="172">
        <v>176176.64615384614</v>
      </c>
      <c r="BC118" s="172">
        <v>21141.197538461536</v>
      </c>
    </row>
    <row r="119" spans="22:55" x14ac:dyDescent="0.25">
      <c r="V119" s="167"/>
      <c r="W119" s="167"/>
      <c r="X119" s="167"/>
      <c r="Y119" s="167"/>
      <c r="Z119" s="167"/>
      <c r="AA119" s="167"/>
      <c r="AB119" s="167"/>
      <c r="AC119" s="167"/>
      <c r="AD119" s="167"/>
      <c r="AE119" s="167"/>
      <c r="AF119" s="167"/>
      <c r="AG119" s="167"/>
      <c r="AH119" s="167"/>
      <c r="AI119" s="167"/>
      <c r="AJ119" s="167"/>
      <c r="AK119" s="167"/>
      <c r="AL119" s="167"/>
      <c r="AM119" s="167"/>
      <c r="AN119" s="169" t="s">
        <v>616</v>
      </c>
      <c r="AO119" s="169">
        <v>1017</v>
      </c>
      <c r="AP119" s="171">
        <v>14000</v>
      </c>
      <c r="AQ119" s="171">
        <v>1400</v>
      </c>
      <c r="AR119" s="171">
        <v>1680</v>
      </c>
      <c r="AS119" s="171">
        <v>840</v>
      </c>
      <c r="AT119" s="171">
        <v>17920</v>
      </c>
      <c r="AU119" s="171">
        <v>1792</v>
      </c>
      <c r="AV119" s="172">
        <v>313.60000000000002</v>
      </c>
      <c r="AW119" s="169">
        <v>4</v>
      </c>
      <c r="AX119" s="171">
        <v>2153.8461538461538</v>
      </c>
      <c r="AY119" s="169">
        <v>14</v>
      </c>
      <c r="AZ119" s="171">
        <v>1020.8333333333334</v>
      </c>
      <c r="BA119" s="172">
        <v>14681.387179487179</v>
      </c>
      <c r="BB119" s="172">
        <v>176176.64615384614</v>
      </c>
      <c r="BC119" s="172">
        <v>21141.197538461536</v>
      </c>
    </row>
    <row r="120" spans="22:55" x14ac:dyDescent="0.25">
      <c r="V120" s="167"/>
      <c r="W120" s="167"/>
      <c r="X120" s="167"/>
      <c r="Y120" s="167"/>
      <c r="Z120" s="167"/>
      <c r="AA120" s="167"/>
      <c r="AB120" s="167"/>
      <c r="AC120" s="167"/>
      <c r="AD120" s="167"/>
      <c r="AE120" s="167"/>
      <c r="AF120" s="167"/>
      <c r="AG120" s="167"/>
      <c r="AH120" s="167"/>
      <c r="AI120" s="167"/>
      <c r="AJ120" s="167"/>
      <c r="AK120" s="167"/>
      <c r="AL120" s="167"/>
      <c r="AM120" s="167"/>
      <c r="AN120" s="169" t="s">
        <v>117</v>
      </c>
      <c r="AO120" s="169">
        <v>1059</v>
      </c>
      <c r="AP120" s="171">
        <v>26000</v>
      </c>
      <c r="AQ120" s="171">
        <v>2600</v>
      </c>
      <c r="AR120" s="171">
        <v>3120</v>
      </c>
      <c r="AS120" s="171">
        <v>1560</v>
      </c>
      <c r="AT120" s="171">
        <v>33280</v>
      </c>
      <c r="AU120" s="171">
        <v>3328</v>
      </c>
      <c r="AV120" s="172">
        <v>582.40000000000009</v>
      </c>
      <c r="AW120" s="169">
        <v>4</v>
      </c>
      <c r="AX120" s="171">
        <v>4000</v>
      </c>
      <c r="AY120" s="169">
        <v>12</v>
      </c>
      <c r="AZ120" s="171">
        <v>1625</v>
      </c>
      <c r="BA120" s="172">
        <v>26994.6</v>
      </c>
      <c r="BB120" s="172">
        <v>323935.19999999995</v>
      </c>
      <c r="BC120" s="172">
        <v>38872.223999999995</v>
      </c>
    </row>
    <row r="121" spans="22:55" x14ac:dyDescent="0.25">
      <c r="V121" s="167"/>
      <c r="W121" s="167"/>
      <c r="X121" s="167"/>
      <c r="Y121" s="167"/>
      <c r="Z121" s="167"/>
      <c r="AA121" s="167"/>
      <c r="AB121" s="167"/>
      <c r="AC121" s="167"/>
      <c r="AD121" s="167"/>
      <c r="AE121" s="167"/>
      <c r="AF121" s="167"/>
      <c r="AG121" s="167"/>
      <c r="AH121" s="167"/>
      <c r="AI121" s="167"/>
      <c r="AJ121" s="167"/>
      <c r="AK121" s="167"/>
      <c r="AL121" s="167"/>
      <c r="AM121" s="167"/>
      <c r="AN121" s="169" t="s">
        <v>616</v>
      </c>
      <c r="AO121" s="169">
        <v>1059</v>
      </c>
      <c r="AP121" s="171">
        <v>26000</v>
      </c>
      <c r="AQ121" s="171">
        <v>2600</v>
      </c>
      <c r="AR121" s="171">
        <v>3120</v>
      </c>
      <c r="AS121" s="171">
        <v>1560</v>
      </c>
      <c r="AT121" s="171">
        <v>33280</v>
      </c>
      <c r="AU121" s="171">
        <v>3328</v>
      </c>
      <c r="AV121" s="172">
        <v>582.40000000000009</v>
      </c>
      <c r="AW121" s="169">
        <v>4</v>
      </c>
      <c r="AX121" s="171">
        <v>4000</v>
      </c>
      <c r="AY121" s="169">
        <v>12</v>
      </c>
      <c r="AZ121" s="171">
        <v>1625</v>
      </c>
      <c r="BA121" s="172">
        <v>26994.6</v>
      </c>
      <c r="BB121" s="172">
        <v>323935.19999999995</v>
      </c>
      <c r="BC121" s="172">
        <v>38872.223999999995</v>
      </c>
    </row>
    <row r="122" spans="22:55" x14ac:dyDescent="0.25">
      <c r="V122" s="167"/>
      <c r="W122" s="167"/>
      <c r="X122" s="167"/>
      <c r="Y122" s="167"/>
      <c r="Z122" s="167"/>
      <c r="AA122" s="167"/>
      <c r="AB122" s="167"/>
      <c r="AC122" s="167"/>
      <c r="AD122" s="167"/>
      <c r="AE122" s="167"/>
      <c r="AF122" s="167"/>
      <c r="AG122" s="167"/>
      <c r="AH122" s="167"/>
      <c r="AI122" s="167"/>
      <c r="AJ122" s="167"/>
      <c r="AK122" s="167"/>
      <c r="AL122" s="167"/>
      <c r="AM122" s="167"/>
      <c r="AN122" s="169" t="s">
        <v>138</v>
      </c>
      <c r="AO122" s="169">
        <v>2098</v>
      </c>
      <c r="AP122" s="171">
        <v>41000</v>
      </c>
      <c r="AQ122" s="171">
        <v>4100</v>
      </c>
      <c r="AR122" s="171">
        <v>4920</v>
      </c>
      <c r="AS122" s="171">
        <v>2460</v>
      </c>
      <c r="AT122" s="171">
        <v>52480</v>
      </c>
      <c r="AU122" s="171">
        <v>5248</v>
      </c>
      <c r="AV122" s="172">
        <v>918.40000000000009</v>
      </c>
      <c r="AW122" s="169">
        <v>8</v>
      </c>
      <c r="AX122" s="171">
        <v>6192.3076923076915</v>
      </c>
      <c r="AY122" s="169">
        <v>26</v>
      </c>
      <c r="AZ122" s="171">
        <v>2776.0416666666665</v>
      </c>
      <c r="BA122" s="172">
        <v>42897.333974358975</v>
      </c>
      <c r="BB122" s="172">
        <v>514768.0076923077</v>
      </c>
      <c r="BC122" s="172">
        <v>61772.160923076917</v>
      </c>
    </row>
    <row r="123" spans="22:55" x14ac:dyDescent="0.25">
      <c r="V123" s="167"/>
      <c r="W123" s="167"/>
      <c r="X123" s="167"/>
      <c r="Y123" s="167"/>
      <c r="Z123" s="167"/>
      <c r="AA123" s="167"/>
      <c r="AB123" s="167"/>
      <c r="AC123" s="167"/>
      <c r="AD123" s="167"/>
      <c r="AE123" s="167"/>
      <c r="AF123" s="167"/>
      <c r="AG123" s="167"/>
      <c r="AH123" s="167"/>
      <c r="AI123" s="167"/>
      <c r="AJ123" s="167"/>
      <c r="AK123" s="167"/>
      <c r="AL123" s="167"/>
      <c r="AM123" s="167"/>
      <c r="AN123" s="169" t="s">
        <v>616</v>
      </c>
      <c r="AO123" s="169">
        <v>2098</v>
      </c>
      <c r="AP123" s="171">
        <v>41000</v>
      </c>
      <c r="AQ123" s="171">
        <v>4100</v>
      </c>
      <c r="AR123" s="171">
        <v>4920</v>
      </c>
      <c r="AS123" s="171">
        <v>2460</v>
      </c>
      <c r="AT123" s="171">
        <v>52480</v>
      </c>
      <c r="AU123" s="171">
        <v>5248</v>
      </c>
      <c r="AV123" s="172">
        <v>918.40000000000009</v>
      </c>
      <c r="AW123" s="169">
        <v>8</v>
      </c>
      <c r="AX123" s="171">
        <v>6192.3076923076915</v>
      </c>
      <c r="AY123" s="169">
        <v>26</v>
      </c>
      <c r="AZ123" s="171">
        <v>2776.0416666666665</v>
      </c>
      <c r="BA123" s="172">
        <v>42897.333974358975</v>
      </c>
      <c r="BB123" s="172">
        <v>514768.0076923077</v>
      </c>
      <c r="BC123" s="172">
        <v>61772.160923076917</v>
      </c>
    </row>
    <row r="124" spans="22:55" x14ac:dyDescent="0.25">
      <c r="V124" s="167"/>
      <c r="W124" s="167"/>
      <c r="X124" s="167"/>
      <c r="Y124" s="167"/>
      <c r="Z124" s="167"/>
      <c r="AA124" s="167"/>
      <c r="AB124" s="167"/>
      <c r="AC124" s="167"/>
      <c r="AD124" s="167"/>
      <c r="AE124" s="167"/>
      <c r="AF124" s="167"/>
      <c r="AG124" s="167"/>
      <c r="AH124" s="167"/>
      <c r="AI124" s="167"/>
      <c r="AJ124" s="167"/>
      <c r="AK124" s="167"/>
      <c r="AL124" s="167"/>
      <c r="AM124" s="167"/>
      <c r="AN124" s="169" t="s">
        <v>275</v>
      </c>
      <c r="AO124" s="169">
        <v>1085</v>
      </c>
      <c r="AP124" s="171">
        <v>26000</v>
      </c>
      <c r="AQ124" s="171">
        <v>2600</v>
      </c>
      <c r="AR124" s="171">
        <v>3120</v>
      </c>
      <c r="AS124" s="171">
        <v>1560</v>
      </c>
      <c r="AT124" s="171">
        <v>33280</v>
      </c>
      <c r="AU124" s="171">
        <v>3328</v>
      </c>
      <c r="AV124" s="172">
        <v>582.40000000000009</v>
      </c>
      <c r="AW124" s="169">
        <v>5</v>
      </c>
      <c r="AX124" s="171">
        <v>5000</v>
      </c>
      <c r="AY124" s="169">
        <v>15</v>
      </c>
      <c r="AZ124" s="171">
        <v>2031.2499999999998</v>
      </c>
      <c r="BA124" s="172">
        <v>26400.85</v>
      </c>
      <c r="BB124" s="172">
        <v>316810.19999999995</v>
      </c>
      <c r="BC124" s="172">
        <v>38017.223999999995</v>
      </c>
    </row>
    <row r="125" spans="22:55" x14ac:dyDescent="0.25">
      <c r="V125" s="167"/>
      <c r="W125" s="167"/>
      <c r="X125" s="167"/>
      <c r="Y125" s="167"/>
      <c r="Z125" s="167"/>
      <c r="AA125" s="167"/>
      <c r="AB125" s="167"/>
      <c r="AC125" s="167"/>
      <c r="AD125" s="167"/>
      <c r="AE125" s="167"/>
      <c r="AF125" s="167"/>
      <c r="AG125" s="167"/>
      <c r="AH125" s="167"/>
      <c r="AI125" s="167"/>
      <c r="AJ125" s="167"/>
      <c r="AK125" s="167"/>
      <c r="AL125" s="167"/>
      <c r="AM125" s="167"/>
      <c r="AN125" s="169" t="s">
        <v>616</v>
      </c>
      <c r="AO125" s="169">
        <v>1085</v>
      </c>
      <c r="AP125" s="171">
        <v>26000</v>
      </c>
      <c r="AQ125" s="171">
        <v>2600</v>
      </c>
      <c r="AR125" s="171">
        <v>3120</v>
      </c>
      <c r="AS125" s="171">
        <v>1560</v>
      </c>
      <c r="AT125" s="171">
        <v>33280</v>
      </c>
      <c r="AU125" s="171">
        <v>3328</v>
      </c>
      <c r="AV125" s="172">
        <v>582.40000000000009</v>
      </c>
      <c r="AW125" s="169">
        <v>5</v>
      </c>
      <c r="AX125" s="171">
        <v>5000</v>
      </c>
      <c r="AY125" s="169">
        <v>15</v>
      </c>
      <c r="AZ125" s="171">
        <v>2031.2499999999998</v>
      </c>
      <c r="BA125" s="172">
        <v>26400.85</v>
      </c>
      <c r="BB125" s="172">
        <v>316810.19999999995</v>
      </c>
      <c r="BC125" s="172">
        <v>38017.223999999995</v>
      </c>
    </row>
    <row r="126" spans="22:55" x14ac:dyDescent="0.25">
      <c r="V126" s="167"/>
      <c r="W126" s="167"/>
      <c r="X126" s="167"/>
      <c r="Y126" s="167"/>
      <c r="Z126" s="167"/>
      <c r="AA126" s="167"/>
      <c r="AB126" s="167"/>
      <c r="AC126" s="167"/>
      <c r="AD126" s="167"/>
      <c r="AE126" s="167"/>
      <c r="AF126" s="167"/>
      <c r="AG126" s="167"/>
      <c r="AH126" s="167"/>
      <c r="AI126" s="167"/>
      <c r="AJ126" s="167"/>
      <c r="AK126" s="167"/>
      <c r="AL126" s="167"/>
      <c r="AM126" s="167"/>
      <c r="AN126" s="169" t="s">
        <v>66</v>
      </c>
      <c r="AO126" s="169">
        <v>1051</v>
      </c>
      <c r="AP126" s="171">
        <v>26000</v>
      </c>
      <c r="AQ126" s="171">
        <v>2600</v>
      </c>
      <c r="AR126" s="171">
        <v>3120</v>
      </c>
      <c r="AS126" s="171">
        <v>1560</v>
      </c>
      <c r="AT126" s="171">
        <v>33280</v>
      </c>
      <c r="AU126" s="171">
        <v>3328</v>
      </c>
      <c r="AV126" s="172">
        <v>582.40000000000009</v>
      </c>
      <c r="AW126" s="169">
        <v>3</v>
      </c>
      <c r="AX126" s="171">
        <v>3000</v>
      </c>
      <c r="AY126" s="169">
        <v>15</v>
      </c>
      <c r="AZ126" s="171">
        <v>2031.2499999999998</v>
      </c>
      <c r="BA126" s="172">
        <v>28400.85</v>
      </c>
      <c r="BB126" s="172">
        <v>340810.19999999995</v>
      </c>
      <c r="BC126" s="172">
        <v>40897.223999999995</v>
      </c>
    </row>
    <row r="127" spans="22:55" x14ac:dyDescent="0.25">
      <c r="V127" s="167"/>
      <c r="W127" s="167"/>
      <c r="X127" s="167"/>
      <c r="Y127" s="167"/>
      <c r="Z127" s="167"/>
      <c r="AA127" s="167"/>
      <c r="AB127" s="167"/>
      <c r="AC127" s="167"/>
      <c r="AD127" s="167"/>
      <c r="AE127" s="167"/>
      <c r="AF127" s="167"/>
      <c r="AG127" s="167"/>
      <c r="AH127" s="167"/>
      <c r="AI127" s="167"/>
      <c r="AJ127" s="167"/>
      <c r="AK127" s="167"/>
      <c r="AL127" s="167"/>
      <c r="AM127" s="167"/>
      <c r="AN127" s="169" t="s">
        <v>616</v>
      </c>
      <c r="AO127" s="169">
        <v>1051</v>
      </c>
      <c r="AP127" s="171">
        <v>26000</v>
      </c>
      <c r="AQ127" s="171">
        <v>2600</v>
      </c>
      <c r="AR127" s="171">
        <v>3120</v>
      </c>
      <c r="AS127" s="171">
        <v>1560</v>
      </c>
      <c r="AT127" s="171">
        <v>33280</v>
      </c>
      <c r="AU127" s="171">
        <v>3328</v>
      </c>
      <c r="AV127" s="172">
        <v>582.40000000000009</v>
      </c>
      <c r="AW127" s="169">
        <v>3</v>
      </c>
      <c r="AX127" s="171">
        <v>3000</v>
      </c>
      <c r="AY127" s="169">
        <v>15</v>
      </c>
      <c r="AZ127" s="171">
        <v>2031.2499999999998</v>
      </c>
      <c r="BA127" s="172">
        <v>28400.85</v>
      </c>
      <c r="BB127" s="172">
        <v>340810.19999999995</v>
      </c>
      <c r="BC127" s="172">
        <v>40897.223999999995</v>
      </c>
    </row>
    <row r="128" spans="22:55" x14ac:dyDescent="0.25">
      <c r="V128" s="167"/>
      <c r="W128" s="167"/>
      <c r="X128" s="167"/>
      <c r="Y128" s="167"/>
      <c r="Z128" s="167"/>
      <c r="AA128" s="167"/>
      <c r="AB128" s="167"/>
      <c r="AC128" s="167"/>
      <c r="AD128" s="167"/>
      <c r="AE128" s="167"/>
      <c r="AF128" s="167"/>
      <c r="AG128" s="167"/>
      <c r="AH128" s="167"/>
      <c r="AI128" s="167"/>
      <c r="AJ128" s="167"/>
      <c r="AK128" s="167"/>
      <c r="AL128" s="167"/>
      <c r="AM128" s="167"/>
      <c r="AN128" s="169" t="s">
        <v>231</v>
      </c>
      <c r="AO128" s="169">
        <v>1078</v>
      </c>
      <c r="AP128" s="171">
        <v>25000</v>
      </c>
      <c r="AQ128" s="171">
        <v>2500</v>
      </c>
      <c r="AR128" s="171">
        <v>3000</v>
      </c>
      <c r="AS128" s="171">
        <v>1500</v>
      </c>
      <c r="AT128" s="171">
        <v>32000</v>
      </c>
      <c r="AU128" s="171">
        <v>3200</v>
      </c>
      <c r="AV128" s="172">
        <v>560</v>
      </c>
      <c r="AW128" s="169">
        <v>4</v>
      </c>
      <c r="AX128" s="171">
        <v>3846.1538461538462</v>
      </c>
      <c r="AY128" s="169">
        <v>12</v>
      </c>
      <c r="AZ128" s="171">
        <v>1562.5</v>
      </c>
      <c r="BA128" s="172">
        <v>25956.346153846152</v>
      </c>
      <c r="BB128" s="172">
        <v>311476.15384615381</v>
      </c>
      <c r="BC128" s="172">
        <v>37377.13846153846</v>
      </c>
    </row>
    <row r="129" spans="22:55" x14ac:dyDescent="0.25">
      <c r="V129" s="167"/>
      <c r="W129" s="167"/>
      <c r="X129" s="167"/>
      <c r="Y129" s="167"/>
      <c r="Z129" s="167"/>
      <c r="AA129" s="167"/>
      <c r="AB129" s="167"/>
      <c r="AC129" s="167"/>
      <c r="AD129" s="167"/>
      <c r="AE129" s="167"/>
      <c r="AF129" s="167"/>
      <c r="AG129" s="167"/>
      <c r="AH129" s="167"/>
      <c r="AI129" s="167"/>
      <c r="AJ129" s="167"/>
      <c r="AK129" s="167"/>
      <c r="AL129" s="167"/>
      <c r="AM129" s="167"/>
      <c r="AN129" s="169" t="s">
        <v>616</v>
      </c>
      <c r="AO129" s="169">
        <v>1078</v>
      </c>
      <c r="AP129" s="171">
        <v>25000</v>
      </c>
      <c r="AQ129" s="171">
        <v>2500</v>
      </c>
      <c r="AR129" s="171">
        <v>3000</v>
      </c>
      <c r="AS129" s="171">
        <v>1500</v>
      </c>
      <c r="AT129" s="171">
        <v>32000</v>
      </c>
      <c r="AU129" s="171">
        <v>3200</v>
      </c>
      <c r="AV129" s="172">
        <v>560</v>
      </c>
      <c r="AW129" s="169">
        <v>4</v>
      </c>
      <c r="AX129" s="171">
        <v>3846.1538461538462</v>
      </c>
      <c r="AY129" s="169">
        <v>12</v>
      </c>
      <c r="AZ129" s="171">
        <v>1562.5</v>
      </c>
      <c r="BA129" s="172">
        <v>25956.346153846152</v>
      </c>
      <c r="BB129" s="172">
        <v>311476.15384615381</v>
      </c>
      <c r="BC129" s="172">
        <v>37377.13846153846</v>
      </c>
    </row>
    <row r="130" spans="22:55" x14ac:dyDescent="0.25">
      <c r="V130" s="167"/>
      <c r="W130" s="167"/>
      <c r="X130" s="167"/>
      <c r="Y130" s="167"/>
      <c r="Z130" s="167"/>
      <c r="AA130" s="167"/>
      <c r="AB130" s="167"/>
      <c r="AC130" s="167"/>
      <c r="AD130" s="167"/>
      <c r="AE130" s="167"/>
      <c r="AF130" s="167"/>
      <c r="AG130" s="167"/>
      <c r="AH130" s="167"/>
      <c r="AI130" s="167"/>
      <c r="AJ130" s="167"/>
      <c r="AK130" s="167"/>
      <c r="AL130" s="167"/>
      <c r="AM130" s="167"/>
      <c r="AN130" s="169" t="s">
        <v>319</v>
      </c>
      <c r="AO130" s="169">
        <v>1042</v>
      </c>
      <c r="AP130" s="171">
        <v>21000</v>
      </c>
      <c r="AQ130" s="171">
        <v>2100</v>
      </c>
      <c r="AR130" s="171">
        <v>2520</v>
      </c>
      <c r="AS130" s="171">
        <v>1260</v>
      </c>
      <c r="AT130" s="171">
        <v>26880</v>
      </c>
      <c r="AU130" s="171">
        <v>2688</v>
      </c>
      <c r="AV130" s="172">
        <v>470.40000000000003</v>
      </c>
      <c r="AW130" s="169">
        <v>3</v>
      </c>
      <c r="AX130" s="171">
        <v>2423.0769230769233</v>
      </c>
      <c r="AY130" s="169">
        <v>14</v>
      </c>
      <c r="AZ130" s="171">
        <v>1531.25</v>
      </c>
      <c r="BA130" s="172">
        <v>22829.773076923077</v>
      </c>
      <c r="BB130" s="172">
        <v>273957.27692307695</v>
      </c>
      <c r="BC130" s="172">
        <v>32874.873230769233</v>
      </c>
    </row>
    <row r="131" spans="22:55" x14ac:dyDescent="0.25">
      <c r="V131" s="167"/>
      <c r="W131" s="167"/>
      <c r="X131" s="167"/>
      <c r="Y131" s="167"/>
      <c r="Z131" s="167"/>
      <c r="AA131" s="167"/>
      <c r="AB131" s="167"/>
      <c r="AC131" s="167"/>
      <c r="AD131" s="167"/>
      <c r="AE131" s="167"/>
      <c r="AF131" s="167"/>
      <c r="AG131" s="167"/>
      <c r="AH131" s="167"/>
      <c r="AI131" s="167"/>
      <c r="AJ131" s="167"/>
      <c r="AK131" s="167"/>
      <c r="AL131" s="167"/>
      <c r="AM131" s="167"/>
      <c r="AN131" s="169" t="s">
        <v>616</v>
      </c>
      <c r="AO131" s="169">
        <v>1042</v>
      </c>
      <c r="AP131" s="171">
        <v>21000</v>
      </c>
      <c r="AQ131" s="171">
        <v>2100</v>
      </c>
      <c r="AR131" s="171">
        <v>2520</v>
      </c>
      <c r="AS131" s="171">
        <v>1260</v>
      </c>
      <c r="AT131" s="171">
        <v>26880</v>
      </c>
      <c r="AU131" s="171">
        <v>2688</v>
      </c>
      <c r="AV131" s="172">
        <v>470.40000000000003</v>
      </c>
      <c r="AW131" s="169">
        <v>3</v>
      </c>
      <c r="AX131" s="171">
        <v>2423.0769230769233</v>
      </c>
      <c r="AY131" s="169">
        <v>14</v>
      </c>
      <c r="AZ131" s="171">
        <v>1531.25</v>
      </c>
      <c r="BA131" s="172">
        <v>22829.773076923077</v>
      </c>
      <c r="BB131" s="172">
        <v>273957.27692307695</v>
      </c>
      <c r="BC131" s="172">
        <v>32874.873230769233</v>
      </c>
    </row>
    <row r="132" spans="22:55" x14ac:dyDescent="0.25">
      <c r="V132" s="167"/>
      <c r="W132" s="167"/>
      <c r="X132" s="167"/>
      <c r="Y132" s="167"/>
      <c r="Z132" s="167"/>
      <c r="AA132" s="167"/>
      <c r="AB132" s="167"/>
      <c r="AC132" s="167"/>
      <c r="AD132" s="167"/>
      <c r="AE132" s="167"/>
      <c r="AF132" s="167"/>
      <c r="AG132" s="167"/>
      <c r="AH132" s="167"/>
      <c r="AI132" s="167"/>
      <c r="AJ132" s="167"/>
      <c r="AK132" s="167"/>
      <c r="AL132" s="167"/>
      <c r="AM132" s="167"/>
      <c r="AN132" s="169" t="s">
        <v>323</v>
      </c>
      <c r="AO132" s="169">
        <v>1093</v>
      </c>
      <c r="AP132" s="171">
        <v>18000</v>
      </c>
      <c r="AQ132" s="171">
        <v>1800</v>
      </c>
      <c r="AR132" s="171">
        <v>2160</v>
      </c>
      <c r="AS132" s="171">
        <v>1080</v>
      </c>
      <c r="AT132" s="171">
        <v>23040</v>
      </c>
      <c r="AU132" s="171">
        <v>2304</v>
      </c>
      <c r="AV132" s="172">
        <v>403.20000000000005</v>
      </c>
      <c r="AW132" s="169">
        <v>2</v>
      </c>
      <c r="AX132" s="171">
        <v>1384.6153846153845</v>
      </c>
      <c r="AY132" s="169">
        <v>14</v>
      </c>
      <c r="AZ132" s="171">
        <v>1312.5</v>
      </c>
      <c r="BA132" s="172">
        <v>20260.684615384616</v>
      </c>
      <c r="BB132" s="172">
        <v>243128.21538461541</v>
      </c>
      <c r="BC132" s="172">
        <v>29175.385846153848</v>
      </c>
    </row>
    <row r="133" spans="22:55" x14ac:dyDescent="0.25">
      <c r="V133" s="167"/>
      <c r="W133" s="167"/>
      <c r="X133" s="167"/>
      <c r="Y133" s="167"/>
      <c r="Z133" s="167"/>
      <c r="AA133" s="167"/>
      <c r="AB133" s="167"/>
      <c r="AC133" s="167"/>
      <c r="AD133" s="167"/>
      <c r="AE133" s="167"/>
      <c r="AF133" s="167"/>
      <c r="AG133" s="167"/>
      <c r="AH133" s="167"/>
      <c r="AI133" s="167"/>
      <c r="AJ133" s="167"/>
      <c r="AK133" s="167"/>
      <c r="AL133" s="167"/>
      <c r="AM133" s="167"/>
      <c r="AN133" s="169" t="s">
        <v>616</v>
      </c>
      <c r="AO133" s="169">
        <v>1093</v>
      </c>
      <c r="AP133" s="171">
        <v>18000</v>
      </c>
      <c r="AQ133" s="171">
        <v>1800</v>
      </c>
      <c r="AR133" s="171">
        <v>2160</v>
      </c>
      <c r="AS133" s="171">
        <v>1080</v>
      </c>
      <c r="AT133" s="171">
        <v>23040</v>
      </c>
      <c r="AU133" s="171">
        <v>2304</v>
      </c>
      <c r="AV133" s="172">
        <v>403.20000000000005</v>
      </c>
      <c r="AW133" s="169">
        <v>2</v>
      </c>
      <c r="AX133" s="171">
        <v>1384.6153846153845</v>
      </c>
      <c r="AY133" s="169">
        <v>14</v>
      </c>
      <c r="AZ133" s="171">
        <v>1312.5</v>
      </c>
      <c r="BA133" s="172">
        <v>20260.684615384616</v>
      </c>
      <c r="BB133" s="172">
        <v>243128.21538461541</v>
      </c>
      <c r="BC133" s="172">
        <v>29175.385846153848</v>
      </c>
    </row>
    <row r="134" spans="22:55" x14ac:dyDescent="0.25">
      <c r="V134" s="167"/>
      <c r="W134" s="167"/>
      <c r="X134" s="167"/>
      <c r="Y134" s="167"/>
      <c r="Z134" s="167"/>
      <c r="AA134" s="167"/>
      <c r="AB134" s="167"/>
      <c r="AC134" s="167"/>
      <c r="AD134" s="167"/>
      <c r="AE134" s="167"/>
      <c r="AF134" s="167"/>
      <c r="AG134" s="167"/>
      <c r="AH134" s="167"/>
      <c r="AI134" s="167"/>
      <c r="AJ134" s="167"/>
      <c r="AK134" s="167"/>
      <c r="AL134" s="167"/>
      <c r="AM134" s="167"/>
      <c r="AN134" s="169" t="s">
        <v>239</v>
      </c>
      <c r="AO134" s="169">
        <v>1029</v>
      </c>
      <c r="AP134" s="171">
        <v>28000</v>
      </c>
      <c r="AQ134" s="171">
        <v>2800</v>
      </c>
      <c r="AR134" s="171">
        <v>3360</v>
      </c>
      <c r="AS134" s="171">
        <v>1680</v>
      </c>
      <c r="AT134" s="171">
        <v>35840</v>
      </c>
      <c r="AU134" s="171">
        <v>3584</v>
      </c>
      <c r="AV134" s="172">
        <v>627.20000000000005</v>
      </c>
      <c r="AW134" s="169">
        <v>5</v>
      </c>
      <c r="AX134" s="171">
        <v>5384.6153846153848</v>
      </c>
      <c r="AY134" s="169">
        <v>13</v>
      </c>
      <c r="AZ134" s="171">
        <v>1895.8333333333335</v>
      </c>
      <c r="BA134" s="172">
        <v>28140.017948717945</v>
      </c>
      <c r="BB134" s="172">
        <v>337680.21538461535</v>
      </c>
      <c r="BC134" s="172">
        <v>40521.625846153838</v>
      </c>
    </row>
    <row r="135" spans="22:55" x14ac:dyDescent="0.25">
      <c r="V135" s="167"/>
      <c r="W135" s="167"/>
      <c r="X135" s="167"/>
      <c r="Y135" s="167"/>
      <c r="Z135" s="167"/>
      <c r="AA135" s="167"/>
      <c r="AB135" s="167"/>
      <c r="AC135" s="167"/>
      <c r="AD135" s="167"/>
      <c r="AE135" s="167"/>
      <c r="AF135" s="167"/>
      <c r="AG135" s="167"/>
      <c r="AH135" s="167"/>
      <c r="AI135" s="167"/>
      <c r="AJ135" s="167"/>
      <c r="AK135" s="167"/>
      <c r="AL135" s="167"/>
      <c r="AM135" s="167"/>
      <c r="AN135" s="169" t="s">
        <v>616</v>
      </c>
      <c r="AO135" s="169">
        <v>1029</v>
      </c>
      <c r="AP135" s="171">
        <v>28000</v>
      </c>
      <c r="AQ135" s="171">
        <v>2800</v>
      </c>
      <c r="AR135" s="171">
        <v>3360</v>
      </c>
      <c r="AS135" s="171">
        <v>1680</v>
      </c>
      <c r="AT135" s="171">
        <v>35840</v>
      </c>
      <c r="AU135" s="171">
        <v>3584</v>
      </c>
      <c r="AV135" s="172">
        <v>627.20000000000005</v>
      </c>
      <c r="AW135" s="169">
        <v>5</v>
      </c>
      <c r="AX135" s="171">
        <v>5384.6153846153848</v>
      </c>
      <c r="AY135" s="169">
        <v>13</v>
      </c>
      <c r="AZ135" s="171">
        <v>1895.8333333333335</v>
      </c>
      <c r="BA135" s="172">
        <v>28140.017948717945</v>
      </c>
      <c r="BB135" s="172">
        <v>337680.21538461535</v>
      </c>
      <c r="BC135" s="172">
        <v>40521.625846153838</v>
      </c>
    </row>
    <row r="136" spans="22:55" x14ac:dyDescent="0.25">
      <c r="V136" s="167"/>
      <c r="W136" s="167"/>
      <c r="X136" s="167"/>
      <c r="Y136" s="167"/>
      <c r="Z136" s="167"/>
      <c r="AA136" s="167"/>
      <c r="AB136" s="167"/>
      <c r="AC136" s="167"/>
      <c r="AD136" s="167"/>
      <c r="AE136" s="167"/>
      <c r="AF136" s="167"/>
      <c r="AG136" s="167"/>
      <c r="AH136" s="167"/>
      <c r="AI136" s="167"/>
      <c r="AJ136" s="167"/>
      <c r="AK136" s="167"/>
      <c r="AL136" s="167"/>
      <c r="AM136" s="167"/>
      <c r="AN136" s="169" t="s">
        <v>271</v>
      </c>
      <c r="AO136" s="169">
        <v>1034</v>
      </c>
      <c r="AP136" s="171">
        <v>16000</v>
      </c>
      <c r="AQ136" s="171">
        <v>1600</v>
      </c>
      <c r="AR136" s="171">
        <v>1920</v>
      </c>
      <c r="AS136" s="171">
        <v>960</v>
      </c>
      <c r="AT136" s="171">
        <v>20480</v>
      </c>
      <c r="AU136" s="171">
        <v>2048</v>
      </c>
      <c r="AV136" s="172">
        <v>358.40000000000003</v>
      </c>
      <c r="AW136" s="169">
        <v>5</v>
      </c>
      <c r="AX136" s="171">
        <v>3076.9230769230767</v>
      </c>
      <c r="AY136" s="169">
        <v>13</v>
      </c>
      <c r="AZ136" s="171">
        <v>1083.3333333333333</v>
      </c>
      <c r="BA136" s="172">
        <v>16080.010256410256</v>
      </c>
      <c r="BB136" s="172">
        <v>192960.12307692308</v>
      </c>
      <c r="BC136" s="172">
        <v>23155.21476923077</v>
      </c>
    </row>
    <row r="137" spans="22:55" x14ac:dyDescent="0.25">
      <c r="V137" s="167"/>
      <c r="W137" s="167"/>
      <c r="X137" s="167"/>
      <c r="Y137" s="167"/>
      <c r="Z137" s="167"/>
      <c r="AA137" s="167"/>
      <c r="AB137" s="167"/>
      <c r="AC137" s="167"/>
      <c r="AD137" s="167"/>
      <c r="AE137" s="167"/>
      <c r="AF137" s="167"/>
      <c r="AG137" s="167"/>
      <c r="AH137" s="167"/>
      <c r="AI137" s="167"/>
      <c r="AJ137" s="167"/>
      <c r="AK137" s="167"/>
      <c r="AL137" s="167"/>
      <c r="AM137" s="167"/>
      <c r="AN137" s="169" t="s">
        <v>616</v>
      </c>
      <c r="AO137" s="169">
        <v>1034</v>
      </c>
      <c r="AP137" s="171">
        <v>16000</v>
      </c>
      <c r="AQ137" s="171">
        <v>1600</v>
      </c>
      <c r="AR137" s="171">
        <v>1920</v>
      </c>
      <c r="AS137" s="171">
        <v>960</v>
      </c>
      <c r="AT137" s="171">
        <v>20480</v>
      </c>
      <c r="AU137" s="171">
        <v>2048</v>
      </c>
      <c r="AV137" s="172">
        <v>358.40000000000003</v>
      </c>
      <c r="AW137" s="169">
        <v>5</v>
      </c>
      <c r="AX137" s="171">
        <v>3076.9230769230767</v>
      </c>
      <c r="AY137" s="169">
        <v>13</v>
      </c>
      <c r="AZ137" s="171">
        <v>1083.3333333333333</v>
      </c>
      <c r="BA137" s="172">
        <v>16080.010256410256</v>
      </c>
      <c r="BB137" s="172">
        <v>192960.12307692308</v>
      </c>
      <c r="BC137" s="172">
        <v>23155.21476923077</v>
      </c>
    </row>
    <row r="138" spans="22:55" x14ac:dyDescent="0.25">
      <c r="V138" s="167"/>
      <c r="W138" s="167"/>
      <c r="X138" s="167"/>
      <c r="Y138" s="167"/>
      <c r="Z138" s="167"/>
      <c r="AA138" s="167"/>
      <c r="AB138" s="167"/>
      <c r="AC138" s="167"/>
      <c r="AD138" s="167"/>
      <c r="AE138" s="167"/>
      <c r="AF138" s="167"/>
      <c r="AG138" s="167"/>
      <c r="AH138" s="167"/>
      <c r="AI138" s="167"/>
      <c r="AJ138" s="167"/>
      <c r="AK138" s="167"/>
      <c r="AL138" s="167"/>
      <c r="AM138" s="167"/>
      <c r="AN138" s="169" t="s">
        <v>208</v>
      </c>
      <c r="AO138" s="169">
        <v>1074</v>
      </c>
      <c r="AP138" s="171">
        <v>33000</v>
      </c>
      <c r="AQ138" s="171">
        <v>3300</v>
      </c>
      <c r="AR138" s="171">
        <v>3960</v>
      </c>
      <c r="AS138" s="171">
        <v>1980</v>
      </c>
      <c r="AT138" s="171">
        <v>42240</v>
      </c>
      <c r="AU138" s="171">
        <v>4224</v>
      </c>
      <c r="AV138" s="172">
        <v>739.2</v>
      </c>
      <c r="AW138" s="169">
        <v>4</v>
      </c>
      <c r="AX138" s="171">
        <v>5076.9230769230771</v>
      </c>
      <c r="AY138" s="169">
        <v>14</v>
      </c>
      <c r="AZ138" s="171">
        <v>2406.25</v>
      </c>
      <c r="BA138" s="172">
        <v>34606.126923076925</v>
      </c>
      <c r="BB138" s="172">
        <v>415273.5230769231</v>
      </c>
      <c r="BC138" s="172">
        <v>49832.82276923077</v>
      </c>
    </row>
    <row r="139" spans="22:55" x14ac:dyDescent="0.25">
      <c r="V139" s="167"/>
      <c r="W139" s="167"/>
      <c r="X139" s="167"/>
      <c r="Y139" s="167"/>
      <c r="Z139" s="167"/>
      <c r="AA139" s="167"/>
      <c r="AB139" s="167"/>
      <c r="AC139" s="167"/>
      <c r="AD139" s="167"/>
      <c r="AE139" s="167"/>
      <c r="AF139" s="167"/>
      <c r="AG139" s="167"/>
      <c r="AH139" s="167"/>
      <c r="AI139" s="167"/>
      <c r="AJ139" s="167"/>
      <c r="AK139" s="167"/>
      <c r="AL139" s="167"/>
      <c r="AM139" s="167"/>
      <c r="AN139" s="169" t="s">
        <v>616</v>
      </c>
      <c r="AO139" s="169">
        <v>1074</v>
      </c>
      <c r="AP139" s="171">
        <v>33000</v>
      </c>
      <c r="AQ139" s="171">
        <v>3300</v>
      </c>
      <c r="AR139" s="171">
        <v>3960</v>
      </c>
      <c r="AS139" s="171">
        <v>1980</v>
      </c>
      <c r="AT139" s="171">
        <v>42240</v>
      </c>
      <c r="AU139" s="171">
        <v>4224</v>
      </c>
      <c r="AV139" s="172">
        <v>739.2</v>
      </c>
      <c r="AW139" s="169">
        <v>4</v>
      </c>
      <c r="AX139" s="171">
        <v>5076.9230769230771</v>
      </c>
      <c r="AY139" s="169">
        <v>14</v>
      </c>
      <c r="AZ139" s="171">
        <v>2406.25</v>
      </c>
      <c r="BA139" s="172">
        <v>34606.126923076925</v>
      </c>
      <c r="BB139" s="172">
        <v>415273.5230769231</v>
      </c>
      <c r="BC139" s="172">
        <v>49832.82276923077</v>
      </c>
    </row>
    <row r="140" spans="22:55" x14ac:dyDescent="0.25">
      <c r="V140" s="167"/>
      <c r="W140" s="167"/>
      <c r="X140" s="167"/>
      <c r="Y140" s="167"/>
      <c r="Z140" s="167"/>
      <c r="AA140" s="167"/>
      <c r="AB140" s="167"/>
      <c r="AC140" s="167"/>
      <c r="AD140" s="167"/>
      <c r="AE140" s="167"/>
      <c r="AF140" s="167"/>
      <c r="AG140" s="167"/>
      <c r="AH140" s="167"/>
      <c r="AI140" s="167"/>
      <c r="AJ140" s="167"/>
      <c r="AK140" s="167"/>
      <c r="AL140" s="167"/>
      <c r="AM140" s="167"/>
      <c r="AN140" s="169" t="s">
        <v>262</v>
      </c>
      <c r="AO140" s="169">
        <v>1083</v>
      </c>
      <c r="AP140" s="171">
        <v>12000</v>
      </c>
      <c r="AQ140" s="171">
        <v>1200</v>
      </c>
      <c r="AR140" s="171">
        <v>1440</v>
      </c>
      <c r="AS140" s="171">
        <v>720</v>
      </c>
      <c r="AT140" s="171">
        <v>15360</v>
      </c>
      <c r="AU140" s="171">
        <v>1536</v>
      </c>
      <c r="AV140" s="172">
        <v>268.8</v>
      </c>
      <c r="AW140" s="169">
        <v>4</v>
      </c>
      <c r="AX140" s="171">
        <v>1846.1538461538462</v>
      </c>
      <c r="AY140" s="169">
        <v>13</v>
      </c>
      <c r="AZ140" s="171">
        <v>812.5</v>
      </c>
      <c r="BA140" s="172">
        <v>12521.546153846155</v>
      </c>
      <c r="BB140" s="172">
        <v>150258.55384615387</v>
      </c>
      <c r="BC140" s="172">
        <v>18031.026461538462</v>
      </c>
    </row>
    <row r="141" spans="22:55" x14ac:dyDescent="0.25">
      <c r="V141" s="167"/>
      <c r="W141" s="167"/>
      <c r="X141" s="167"/>
      <c r="Y141" s="167"/>
      <c r="Z141" s="167"/>
      <c r="AA141" s="167"/>
      <c r="AB141" s="167"/>
      <c r="AC141" s="167"/>
      <c r="AD141" s="167"/>
      <c r="AE141" s="167"/>
      <c r="AF141" s="167"/>
      <c r="AG141" s="167"/>
      <c r="AH141" s="167"/>
      <c r="AI141" s="167"/>
      <c r="AJ141" s="167"/>
      <c r="AK141" s="167"/>
      <c r="AL141" s="167"/>
      <c r="AM141" s="167"/>
      <c r="AN141" s="169" t="s">
        <v>616</v>
      </c>
      <c r="AO141" s="169">
        <v>1083</v>
      </c>
      <c r="AP141" s="171">
        <v>12000</v>
      </c>
      <c r="AQ141" s="171">
        <v>1200</v>
      </c>
      <c r="AR141" s="171">
        <v>1440</v>
      </c>
      <c r="AS141" s="171">
        <v>720</v>
      </c>
      <c r="AT141" s="171">
        <v>15360</v>
      </c>
      <c r="AU141" s="171">
        <v>1536</v>
      </c>
      <c r="AV141" s="172">
        <v>268.8</v>
      </c>
      <c r="AW141" s="169">
        <v>4</v>
      </c>
      <c r="AX141" s="171">
        <v>1846.1538461538462</v>
      </c>
      <c r="AY141" s="169">
        <v>13</v>
      </c>
      <c r="AZ141" s="171">
        <v>812.5</v>
      </c>
      <c r="BA141" s="172">
        <v>12521.546153846155</v>
      </c>
      <c r="BB141" s="172">
        <v>150258.55384615387</v>
      </c>
      <c r="BC141" s="172">
        <v>18031.026461538462</v>
      </c>
    </row>
    <row r="142" spans="22:55" x14ac:dyDescent="0.25">
      <c r="V142" s="167"/>
      <c r="W142" s="167"/>
      <c r="X142" s="167"/>
      <c r="Y142" s="167"/>
      <c r="Z142" s="167"/>
      <c r="AA142" s="167"/>
      <c r="AB142" s="167"/>
      <c r="AC142" s="167"/>
      <c r="AD142" s="167"/>
      <c r="AE142" s="167"/>
      <c r="AF142" s="167"/>
      <c r="AG142" s="167"/>
      <c r="AH142" s="167"/>
      <c r="AI142" s="167"/>
      <c r="AJ142" s="167"/>
      <c r="AK142" s="167"/>
      <c r="AL142" s="167"/>
      <c r="AM142" s="167"/>
      <c r="AN142" s="169" t="s">
        <v>162</v>
      </c>
      <c r="AO142" s="169">
        <v>2085</v>
      </c>
      <c r="AP142" s="171">
        <v>53000</v>
      </c>
      <c r="AQ142" s="171">
        <v>5300</v>
      </c>
      <c r="AR142" s="171">
        <v>6360</v>
      </c>
      <c r="AS142" s="171">
        <v>3180</v>
      </c>
      <c r="AT142" s="171">
        <v>67840</v>
      </c>
      <c r="AU142" s="171">
        <v>6784</v>
      </c>
      <c r="AV142" s="172">
        <v>1187.2000000000003</v>
      </c>
      <c r="AW142" s="169">
        <v>4</v>
      </c>
      <c r="AX142" s="171">
        <v>4076.9230769230771</v>
      </c>
      <c r="AY142" s="169">
        <v>29</v>
      </c>
      <c r="AZ142" s="171">
        <v>4005.208333333333</v>
      </c>
      <c r="BA142" s="172">
        <v>59797.085256410253</v>
      </c>
      <c r="BB142" s="172">
        <v>717565.0230769231</v>
      </c>
      <c r="BC142" s="172">
        <v>86107.802769230766</v>
      </c>
    </row>
    <row r="143" spans="22:55" x14ac:dyDescent="0.25">
      <c r="V143" s="167"/>
      <c r="W143" s="167"/>
      <c r="X143" s="167"/>
      <c r="Y143" s="167"/>
      <c r="Z143" s="167"/>
      <c r="AA143" s="167"/>
      <c r="AB143" s="167"/>
      <c r="AC143" s="167"/>
      <c r="AD143" s="167"/>
      <c r="AE143" s="167"/>
      <c r="AF143" s="167"/>
      <c r="AG143" s="167"/>
      <c r="AH143" s="167"/>
      <c r="AI143" s="167"/>
      <c r="AJ143" s="167"/>
      <c r="AK143" s="167"/>
      <c r="AL143" s="167"/>
      <c r="AM143" s="167"/>
      <c r="AN143" s="169" t="s">
        <v>616</v>
      </c>
      <c r="AO143" s="169">
        <v>2085</v>
      </c>
      <c r="AP143" s="171">
        <v>53000</v>
      </c>
      <c r="AQ143" s="171">
        <v>5300</v>
      </c>
      <c r="AR143" s="171">
        <v>6360</v>
      </c>
      <c r="AS143" s="171">
        <v>3180</v>
      </c>
      <c r="AT143" s="171">
        <v>67840</v>
      </c>
      <c r="AU143" s="171">
        <v>6784</v>
      </c>
      <c r="AV143" s="172">
        <v>1187.2000000000003</v>
      </c>
      <c r="AW143" s="169">
        <v>4</v>
      </c>
      <c r="AX143" s="171">
        <v>4076.9230769230771</v>
      </c>
      <c r="AY143" s="169">
        <v>29</v>
      </c>
      <c r="AZ143" s="171">
        <v>4005.208333333333</v>
      </c>
      <c r="BA143" s="172">
        <v>59797.085256410253</v>
      </c>
      <c r="BB143" s="172">
        <v>717565.0230769231</v>
      </c>
      <c r="BC143" s="172">
        <v>86107.802769230766</v>
      </c>
    </row>
    <row r="144" spans="22:55" x14ac:dyDescent="0.25">
      <c r="V144" s="167"/>
      <c r="W144" s="167"/>
      <c r="X144" s="167"/>
      <c r="Y144" s="167"/>
      <c r="Z144" s="167"/>
      <c r="AA144" s="167"/>
      <c r="AB144" s="167"/>
      <c r="AC144" s="167"/>
      <c r="AD144" s="167"/>
      <c r="AE144" s="167"/>
      <c r="AF144" s="167"/>
      <c r="AG144" s="167"/>
      <c r="AH144" s="167"/>
      <c r="AI144" s="167"/>
      <c r="AJ144" s="167"/>
      <c r="AK144" s="167"/>
      <c r="AL144" s="167"/>
      <c r="AM144" s="167"/>
      <c r="AN144" s="169" t="s">
        <v>311</v>
      </c>
      <c r="AO144" s="169">
        <v>1091</v>
      </c>
      <c r="AP144" s="171">
        <v>27000</v>
      </c>
      <c r="AQ144" s="171">
        <v>2700</v>
      </c>
      <c r="AR144" s="171">
        <v>3240</v>
      </c>
      <c r="AS144" s="171">
        <v>1620</v>
      </c>
      <c r="AT144" s="171">
        <v>34560</v>
      </c>
      <c r="AU144" s="171">
        <v>3456</v>
      </c>
      <c r="AV144" s="172">
        <v>604.80000000000007</v>
      </c>
      <c r="AW144" s="169">
        <v>2</v>
      </c>
      <c r="AX144" s="171">
        <v>2076.9230769230771</v>
      </c>
      <c r="AY144" s="169">
        <v>13</v>
      </c>
      <c r="AZ144" s="171">
        <v>1828.125</v>
      </c>
      <c r="BA144" s="172">
        <v>30250.401923076923</v>
      </c>
      <c r="BB144" s="172">
        <v>363004.82307692309</v>
      </c>
      <c r="BC144" s="172">
        <v>43560.578769230771</v>
      </c>
    </row>
    <row r="145" spans="22:55" x14ac:dyDescent="0.25">
      <c r="V145" s="167"/>
      <c r="W145" s="167"/>
      <c r="X145" s="167"/>
      <c r="Y145" s="167"/>
      <c r="Z145" s="167"/>
      <c r="AA145" s="167"/>
      <c r="AB145" s="167"/>
      <c r="AC145" s="167"/>
      <c r="AD145" s="167"/>
      <c r="AE145" s="167"/>
      <c r="AF145" s="167"/>
      <c r="AG145" s="167"/>
      <c r="AH145" s="167"/>
      <c r="AI145" s="167"/>
      <c r="AJ145" s="167"/>
      <c r="AK145" s="167"/>
      <c r="AL145" s="167"/>
      <c r="AM145" s="167"/>
      <c r="AN145" s="169" t="s">
        <v>616</v>
      </c>
      <c r="AO145" s="169">
        <v>1091</v>
      </c>
      <c r="AP145" s="171">
        <v>27000</v>
      </c>
      <c r="AQ145" s="171">
        <v>2700</v>
      </c>
      <c r="AR145" s="171">
        <v>3240</v>
      </c>
      <c r="AS145" s="171">
        <v>1620</v>
      </c>
      <c r="AT145" s="171">
        <v>34560</v>
      </c>
      <c r="AU145" s="171">
        <v>3456</v>
      </c>
      <c r="AV145" s="172">
        <v>604.80000000000007</v>
      </c>
      <c r="AW145" s="169">
        <v>2</v>
      </c>
      <c r="AX145" s="171">
        <v>2076.9230769230771</v>
      </c>
      <c r="AY145" s="169">
        <v>13</v>
      </c>
      <c r="AZ145" s="171">
        <v>1828.125</v>
      </c>
      <c r="BA145" s="172">
        <v>30250.401923076923</v>
      </c>
      <c r="BB145" s="172">
        <v>363004.82307692309</v>
      </c>
      <c r="BC145" s="172">
        <v>43560.578769230771</v>
      </c>
    </row>
    <row r="146" spans="22:55" x14ac:dyDescent="0.25">
      <c r="V146" s="167"/>
      <c r="W146" s="167"/>
      <c r="X146" s="167"/>
      <c r="Y146" s="167"/>
      <c r="Z146" s="167"/>
      <c r="AA146" s="167"/>
      <c r="AB146" s="167"/>
      <c r="AC146" s="167"/>
      <c r="AD146" s="167"/>
      <c r="AE146" s="167"/>
      <c r="AF146" s="167"/>
      <c r="AG146" s="167"/>
      <c r="AH146" s="167"/>
      <c r="AI146" s="167"/>
      <c r="AJ146" s="167"/>
      <c r="AK146" s="167"/>
      <c r="AL146" s="167"/>
      <c r="AM146" s="167"/>
      <c r="AN146" s="169" t="s">
        <v>57</v>
      </c>
      <c r="AO146" s="169">
        <v>2144</v>
      </c>
      <c r="AP146" s="171">
        <v>66000</v>
      </c>
      <c r="AQ146" s="171">
        <v>6600</v>
      </c>
      <c r="AR146" s="171">
        <v>7920</v>
      </c>
      <c r="AS146" s="171">
        <v>3960</v>
      </c>
      <c r="AT146" s="171">
        <v>84480</v>
      </c>
      <c r="AU146" s="171">
        <v>8448</v>
      </c>
      <c r="AV146" s="172">
        <v>1478.4</v>
      </c>
      <c r="AW146" s="169">
        <v>6</v>
      </c>
      <c r="AX146" s="171">
        <v>7538.4615384615381</v>
      </c>
      <c r="AY146" s="169">
        <v>29</v>
      </c>
      <c r="AZ146" s="171">
        <v>4979.166666666667</v>
      </c>
      <c r="BA146" s="172">
        <v>71994.305128205131</v>
      </c>
      <c r="BB146" s="172">
        <v>863931.66153846146</v>
      </c>
      <c r="BC146" s="172">
        <v>103671.79938461537</v>
      </c>
    </row>
    <row r="147" spans="22:55" x14ac:dyDescent="0.25">
      <c r="V147" s="167"/>
      <c r="W147" s="167"/>
      <c r="X147" s="167"/>
      <c r="Y147" s="167"/>
      <c r="Z147" s="167"/>
      <c r="AA147" s="167"/>
      <c r="AB147" s="167"/>
      <c r="AC147" s="167"/>
      <c r="AD147" s="167"/>
      <c r="AE147" s="167"/>
      <c r="AF147" s="167"/>
      <c r="AG147" s="167"/>
      <c r="AH147" s="167"/>
      <c r="AI147" s="167"/>
      <c r="AJ147" s="167"/>
      <c r="AK147" s="167"/>
      <c r="AL147" s="167"/>
      <c r="AM147" s="167"/>
      <c r="AN147" s="169" t="s">
        <v>616</v>
      </c>
      <c r="AO147" s="169">
        <v>2144</v>
      </c>
      <c r="AP147" s="171">
        <v>66000</v>
      </c>
      <c r="AQ147" s="171">
        <v>6600</v>
      </c>
      <c r="AR147" s="171">
        <v>7920</v>
      </c>
      <c r="AS147" s="171">
        <v>3960</v>
      </c>
      <c r="AT147" s="171">
        <v>84480</v>
      </c>
      <c r="AU147" s="171">
        <v>8448</v>
      </c>
      <c r="AV147" s="172">
        <v>1478.4</v>
      </c>
      <c r="AW147" s="169">
        <v>6</v>
      </c>
      <c r="AX147" s="171">
        <v>7538.4615384615381</v>
      </c>
      <c r="AY147" s="169">
        <v>29</v>
      </c>
      <c r="AZ147" s="171">
        <v>4979.166666666667</v>
      </c>
      <c r="BA147" s="172">
        <v>71994.305128205131</v>
      </c>
      <c r="BB147" s="172">
        <v>863931.66153846146</v>
      </c>
      <c r="BC147" s="172">
        <v>103671.79938461537</v>
      </c>
    </row>
    <row r="148" spans="22:55" x14ac:dyDescent="0.25">
      <c r="V148" s="167"/>
      <c r="W148" s="167"/>
      <c r="X148" s="167"/>
      <c r="Y148" s="167"/>
      <c r="Z148" s="167"/>
      <c r="AA148" s="167"/>
      <c r="AB148" s="167"/>
      <c r="AC148" s="167"/>
      <c r="AD148" s="167"/>
      <c r="AE148" s="167"/>
      <c r="AF148" s="167"/>
      <c r="AG148" s="167"/>
      <c r="AH148" s="167"/>
      <c r="AI148" s="167"/>
      <c r="AJ148" s="167"/>
      <c r="AK148" s="167"/>
      <c r="AL148" s="167"/>
      <c r="AM148" s="167"/>
      <c r="AN148" s="169" t="s">
        <v>284</v>
      </c>
      <c r="AO148" s="169">
        <v>1036</v>
      </c>
      <c r="AP148" s="171">
        <v>16000</v>
      </c>
      <c r="AQ148" s="171">
        <v>1600</v>
      </c>
      <c r="AR148" s="171">
        <v>1920</v>
      </c>
      <c r="AS148" s="171">
        <v>960</v>
      </c>
      <c r="AT148" s="171">
        <v>20480</v>
      </c>
      <c r="AU148" s="171">
        <v>2048</v>
      </c>
      <c r="AV148" s="172">
        <v>358.40000000000003</v>
      </c>
      <c r="AW148" s="169">
        <v>3</v>
      </c>
      <c r="AX148" s="171">
        <v>1846.1538461538462</v>
      </c>
      <c r="AY148" s="169">
        <v>15</v>
      </c>
      <c r="AZ148" s="171">
        <v>1250</v>
      </c>
      <c r="BA148" s="172">
        <v>17477.446153846155</v>
      </c>
      <c r="BB148" s="172">
        <v>209729.35384615386</v>
      </c>
      <c r="BC148" s="172">
        <v>25167.522461538461</v>
      </c>
    </row>
    <row r="149" spans="22:55" x14ac:dyDescent="0.25">
      <c r="V149" s="167"/>
      <c r="W149" s="167"/>
      <c r="X149" s="167"/>
      <c r="Y149" s="167"/>
      <c r="Z149" s="167"/>
      <c r="AA149" s="167"/>
      <c r="AB149" s="167"/>
      <c r="AC149" s="167"/>
      <c r="AD149" s="167"/>
      <c r="AE149" s="167"/>
      <c r="AF149" s="167"/>
      <c r="AG149" s="167"/>
      <c r="AH149" s="167"/>
      <c r="AI149" s="167"/>
      <c r="AJ149" s="167"/>
      <c r="AK149" s="167"/>
      <c r="AL149" s="167"/>
      <c r="AM149" s="167"/>
      <c r="AN149" s="169" t="s">
        <v>616</v>
      </c>
      <c r="AO149" s="169">
        <v>1036</v>
      </c>
      <c r="AP149" s="171">
        <v>16000</v>
      </c>
      <c r="AQ149" s="171">
        <v>1600</v>
      </c>
      <c r="AR149" s="171">
        <v>1920</v>
      </c>
      <c r="AS149" s="171">
        <v>960</v>
      </c>
      <c r="AT149" s="171">
        <v>20480</v>
      </c>
      <c r="AU149" s="171">
        <v>2048</v>
      </c>
      <c r="AV149" s="172">
        <v>358.40000000000003</v>
      </c>
      <c r="AW149" s="169">
        <v>3</v>
      </c>
      <c r="AX149" s="171">
        <v>1846.1538461538462</v>
      </c>
      <c r="AY149" s="169">
        <v>15</v>
      </c>
      <c r="AZ149" s="171">
        <v>1250</v>
      </c>
      <c r="BA149" s="172">
        <v>17477.446153846155</v>
      </c>
      <c r="BB149" s="172">
        <v>209729.35384615386</v>
      </c>
      <c r="BC149" s="172">
        <v>25167.522461538461</v>
      </c>
    </row>
    <row r="150" spans="22:55" x14ac:dyDescent="0.25">
      <c r="V150" s="167"/>
      <c r="W150" s="167"/>
      <c r="X150" s="167"/>
      <c r="Y150" s="167"/>
      <c r="Z150" s="167"/>
      <c r="AA150" s="167"/>
      <c r="AB150" s="167"/>
      <c r="AC150" s="167"/>
      <c r="AD150" s="167"/>
      <c r="AE150" s="167"/>
      <c r="AF150" s="167"/>
      <c r="AG150" s="167"/>
      <c r="AH150" s="167"/>
      <c r="AI150" s="167"/>
      <c r="AJ150" s="167"/>
      <c r="AK150" s="167"/>
      <c r="AL150" s="167"/>
      <c r="AM150" s="167"/>
      <c r="AN150" s="169" t="s">
        <v>142</v>
      </c>
      <c r="AO150" s="169">
        <v>1063</v>
      </c>
      <c r="AP150" s="171">
        <v>17000</v>
      </c>
      <c r="AQ150" s="171">
        <v>1700</v>
      </c>
      <c r="AR150" s="171">
        <v>2040</v>
      </c>
      <c r="AS150" s="171">
        <v>1020</v>
      </c>
      <c r="AT150" s="171">
        <v>21760</v>
      </c>
      <c r="AU150" s="171">
        <v>2176</v>
      </c>
      <c r="AV150" s="172">
        <v>380.8</v>
      </c>
      <c r="AW150" s="169">
        <v>2</v>
      </c>
      <c r="AX150" s="171">
        <v>1307.6923076923076</v>
      </c>
      <c r="AY150" s="169">
        <v>14</v>
      </c>
      <c r="AZ150" s="171">
        <v>1239.5833333333335</v>
      </c>
      <c r="BA150" s="172">
        <v>19135.091025641024</v>
      </c>
      <c r="BB150" s="172">
        <v>229621.09230769228</v>
      </c>
      <c r="BC150" s="172">
        <v>27554.531076923071</v>
      </c>
    </row>
    <row r="151" spans="22:55" x14ac:dyDescent="0.25">
      <c r="V151" s="167"/>
      <c r="W151" s="167"/>
      <c r="X151" s="167"/>
      <c r="Y151" s="167"/>
      <c r="Z151" s="167"/>
      <c r="AA151" s="167"/>
      <c r="AB151" s="167"/>
      <c r="AC151" s="167"/>
      <c r="AD151" s="167"/>
      <c r="AE151" s="167"/>
      <c r="AF151" s="167"/>
      <c r="AG151" s="167"/>
      <c r="AH151" s="167"/>
      <c r="AI151" s="167"/>
      <c r="AJ151" s="167"/>
      <c r="AK151" s="167"/>
      <c r="AL151" s="167"/>
      <c r="AM151" s="167"/>
      <c r="AN151" s="169" t="s">
        <v>616</v>
      </c>
      <c r="AO151" s="169">
        <v>1063</v>
      </c>
      <c r="AP151" s="171">
        <v>17000</v>
      </c>
      <c r="AQ151" s="171">
        <v>1700</v>
      </c>
      <c r="AR151" s="171">
        <v>2040</v>
      </c>
      <c r="AS151" s="171">
        <v>1020</v>
      </c>
      <c r="AT151" s="171">
        <v>21760</v>
      </c>
      <c r="AU151" s="171">
        <v>2176</v>
      </c>
      <c r="AV151" s="172">
        <v>380.8</v>
      </c>
      <c r="AW151" s="169">
        <v>2</v>
      </c>
      <c r="AX151" s="171">
        <v>1307.6923076923076</v>
      </c>
      <c r="AY151" s="169">
        <v>14</v>
      </c>
      <c r="AZ151" s="171">
        <v>1239.5833333333335</v>
      </c>
      <c r="BA151" s="172">
        <v>19135.091025641024</v>
      </c>
      <c r="BB151" s="172">
        <v>229621.09230769228</v>
      </c>
      <c r="BC151" s="172">
        <v>27554.531076923071</v>
      </c>
    </row>
    <row r="152" spans="22:55" x14ac:dyDescent="0.25">
      <c r="V152" s="167"/>
      <c r="W152" s="167"/>
      <c r="X152" s="167"/>
      <c r="Y152" s="167"/>
      <c r="Z152" s="167"/>
      <c r="AA152" s="167"/>
      <c r="AB152" s="167"/>
      <c r="AC152" s="167"/>
      <c r="AD152" s="167"/>
      <c r="AE152" s="167"/>
      <c r="AF152" s="167"/>
      <c r="AG152" s="167"/>
      <c r="AH152" s="167"/>
      <c r="AI152" s="167"/>
      <c r="AJ152" s="167"/>
      <c r="AK152" s="167"/>
      <c r="AL152" s="167"/>
      <c r="AM152" s="167"/>
      <c r="AN152" s="169" t="s">
        <v>225</v>
      </c>
      <c r="AO152" s="169">
        <v>1077</v>
      </c>
      <c r="AP152" s="171">
        <v>13000</v>
      </c>
      <c r="AQ152" s="171">
        <v>1300</v>
      </c>
      <c r="AR152" s="171">
        <v>1560</v>
      </c>
      <c r="AS152" s="171">
        <v>780</v>
      </c>
      <c r="AT152" s="171">
        <v>16640</v>
      </c>
      <c r="AU152" s="171">
        <v>1664</v>
      </c>
      <c r="AV152" s="172">
        <v>291.20000000000005</v>
      </c>
      <c r="AW152" s="169">
        <v>2</v>
      </c>
      <c r="AX152" s="171">
        <v>1000</v>
      </c>
      <c r="AY152" s="169">
        <v>13</v>
      </c>
      <c r="AZ152" s="171">
        <v>880.20833333333326</v>
      </c>
      <c r="BA152" s="172">
        <v>14565.008333333333</v>
      </c>
      <c r="BB152" s="172">
        <v>174780.1</v>
      </c>
      <c r="BC152" s="172">
        <v>20973.612000000001</v>
      </c>
    </row>
    <row r="153" spans="22:55" x14ac:dyDescent="0.25">
      <c r="V153" s="167"/>
      <c r="W153" s="167"/>
      <c r="X153" s="167"/>
      <c r="Y153" s="167"/>
      <c r="Z153" s="167"/>
      <c r="AA153" s="167"/>
      <c r="AB153" s="167"/>
      <c r="AC153" s="167"/>
      <c r="AD153" s="167"/>
      <c r="AE153" s="167"/>
      <c r="AF153" s="167"/>
      <c r="AG153" s="167"/>
      <c r="AH153" s="167"/>
      <c r="AI153" s="167"/>
      <c r="AJ153" s="167"/>
      <c r="AK153" s="167"/>
      <c r="AL153" s="167"/>
      <c r="AM153" s="167"/>
      <c r="AN153" s="169" t="s">
        <v>616</v>
      </c>
      <c r="AO153" s="169">
        <v>1077</v>
      </c>
      <c r="AP153" s="171">
        <v>13000</v>
      </c>
      <c r="AQ153" s="171">
        <v>1300</v>
      </c>
      <c r="AR153" s="171">
        <v>1560</v>
      </c>
      <c r="AS153" s="171">
        <v>780</v>
      </c>
      <c r="AT153" s="171">
        <v>16640</v>
      </c>
      <c r="AU153" s="171">
        <v>1664</v>
      </c>
      <c r="AV153" s="172">
        <v>291.20000000000005</v>
      </c>
      <c r="AW153" s="169">
        <v>2</v>
      </c>
      <c r="AX153" s="171">
        <v>1000</v>
      </c>
      <c r="AY153" s="169">
        <v>13</v>
      </c>
      <c r="AZ153" s="171">
        <v>880.20833333333326</v>
      </c>
      <c r="BA153" s="172">
        <v>14565.008333333333</v>
      </c>
      <c r="BB153" s="172">
        <v>174780.1</v>
      </c>
      <c r="BC153" s="172">
        <v>20973.612000000001</v>
      </c>
    </row>
    <row r="154" spans="22:55" x14ac:dyDescent="0.25">
      <c r="V154" s="167"/>
      <c r="W154" s="167"/>
      <c r="X154" s="167"/>
      <c r="Y154" s="167"/>
      <c r="Z154" s="167"/>
      <c r="AA154" s="167"/>
      <c r="AB154" s="167"/>
      <c r="AC154" s="167"/>
      <c r="AD154" s="167"/>
      <c r="AE154" s="167"/>
      <c r="AF154" s="167"/>
      <c r="AG154" s="167"/>
      <c r="AH154" s="167"/>
      <c r="AI154" s="167"/>
      <c r="AJ154" s="167"/>
      <c r="AK154" s="167"/>
      <c r="AL154" s="167"/>
      <c r="AM154" s="167"/>
      <c r="AN154" s="169" t="s">
        <v>148</v>
      </c>
      <c r="AO154" s="169">
        <v>1064</v>
      </c>
      <c r="AP154" s="171">
        <v>23000</v>
      </c>
      <c r="AQ154" s="171">
        <v>2300</v>
      </c>
      <c r="AR154" s="171">
        <v>2760</v>
      </c>
      <c r="AS154" s="171">
        <v>1380</v>
      </c>
      <c r="AT154" s="171">
        <v>29440</v>
      </c>
      <c r="AU154" s="171">
        <v>2944</v>
      </c>
      <c r="AV154" s="172">
        <v>515.20000000000005</v>
      </c>
      <c r="AW154" s="169">
        <v>4</v>
      </c>
      <c r="AX154" s="171">
        <v>3538.4615384615386</v>
      </c>
      <c r="AY154" s="169">
        <v>14</v>
      </c>
      <c r="AZ154" s="171">
        <v>1677.0833333333335</v>
      </c>
      <c r="BA154" s="172">
        <v>24119.421794871792</v>
      </c>
      <c r="BB154" s="172">
        <v>289433.06153846148</v>
      </c>
      <c r="BC154" s="172">
        <v>34731.967384615375</v>
      </c>
    </row>
    <row r="155" spans="22:55" x14ac:dyDescent="0.25">
      <c r="V155" s="167"/>
      <c r="W155" s="167"/>
      <c r="X155" s="167"/>
      <c r="Y155" s="167"/>
      <c r="Z155" s="167"/>
      <c r="AA155" s="167"/>
      <c r="AB155" s="167"/>
      <c r="AC155" s="167"/>
      <c r="AD155" s="167"/>
      <c r="AE155" s="167"/>
      <c r="AF155" s="167"/>
      <c r="AG155" s="167"/>
      <c r="AH155" s="167"/>
      <c r="AI155" s="167"/>
      <c r="AJ155" s="167"/>
      <c r="AK155" s="167"/>
      <c r="AL155" s="167"/>
      <c r="AM155" s="167"/>
      <c r="AN155" s="169" t="s">
        <v>616</v>
      </c>
      <c r="AO155" s="169">
        <v>1064</v>
      </c>
      <c r="AP155" s="171">
        <v>23000</v>
      </c>
      <c r="AQ155" s="171">
        <v>2300</v>
      </c>
      <c r="AR155" s="171">
        <v>2760</v>
      </c>
      <c r="AS155" s="171">
        <v>1380</v>
      </c>
      <c r="AT155" s="171">
        <v>29440</v>
      </c>
      <c r="AU155" s="171">
        <v>2944</v>
      </c>
      <c r="AV155" s="172">
        <v>515.20000000000005</v>
      </c>
      <c r="AW155" s="169">
        <v>4</v>
      </c>
      <c r="AX155" s="171">
        <v>3538.4615384615386</v>
      </c>
      <c r="AY155" s="169">
        <v>14</v>
      </c>
      <c r="AZ155" s="171">
        <v>1677.0833333333335</v>
      </c>
      <c r="BA155" s="172">
        <v>24119.421794871792</v>
      </c>
      <c r="BB155" s="172">
        <v>289433.06153846148</v>
      </c>
      <c r="BC155" s="172">
        <v>34731.967384615375</v>
      </c>
    </row>
    <row r="156" spans="22:55" x14ac:dyDescent="0.25">
      <c r="V156" s="167"/>
      <c r="W156" s="167"/>
      <c r="X156" s="167"/>
      <c r="Y156" s="167"/>
      <c r="Z156" s="167"/>
      <c r="AA156" s="167"/>
      <c r="AB156" s="167"/>
      <c r="AC156" s="167"/>
      <c r="AD156" s="167"/>
      <c r="AE156" s="167"/>
      <c r="AF156" s="167"/>
      <c r="AG156" s="167"/>
      <c r="AH156" s="167"/>
      <c r="AI156" s="167"/>
      <c r="AJ156" s="167"/>
      <c r="AK156" s="167"/>
      <c r="AL156" s="167"/>
      <c r="AM156" s="167"/>
      <c r="AN156" s="169" t="s">
        <v>342</v>
      </c>
      <c r="AO156" s="169">
        <v>1046</v>
      </c>
      <c r="AP156" s="171">
        <v>20000</v>
      </c>
      <c r="AQ156" s="171">
        <v>2000</v>
      </c>
      <c r="AR156" s="171">
        <v>2400</v>
      </c>
      <c r="AS156" s="171">
        <v>1200</v>
      </c>
      <c r="AT156" s="171">
        <v>25600</v>
      </c>
      <c r="AU156" s="171">
        <v>2560</v>
      </c>
      <c r="AV156" s="172">
        <v>448.00000000000006</v>
      </c>
      <c r="AW156" s="169">
        <v>2</v>
      </c>
      <c r="AX156" s="171">
        <v>1538.4615384615386</v>
      </c>
      <c r="AY156" s="169">
        <v>12</v>
      </c>
      <c r="AZ156" s="171">
        <v>1250</v>
      </c>
      <c r="BA156" s="172">
        <v>22303.538461538461</v>
      </c>
      <c r="BB156" s="172">
        <v>267642.4615384615</v>
      </c>
      <c r="BC156" s="172">
        <v>32117.095384615379</v>
      </c>
    </row>
    <row r="157" spans="22:55" x14ac:dyDescent="0.25">
      <c r="V157" s="167"/>
      <c r="W157" s="167"/>
      <c r="X157" s="167"/>
      <c r="Y157" s="167"/>
      <c r="Z157" s="167"/>
      <c r="AA157" s="167"/>
      <c r="AB157" s="167"/>
      <c r="AC157" s="167"/>
      <c r="AD157" s="167"/>
      <c r="AE157" s="167"/>
      <c r="AF157" s="167"/>
      <c r="AG157" s="167"/>
      <c r="AH157" s="167"/>
      <c r="AI157" s="167"/>
      <c r="AJ157" s="167"/>
      <c r="AK157" s="167"/>
      <c r="AL157" s="167"/>
      <c r="AM157" s="167"/>
      <c r="AN157" s="169" t="s">
        <v>616</v>
      </c>
      <c r="AO157" s="169">
        <v>1046</v>
      </c>
      <c r="AP157" s="171">
        <v>20000</v>
      </c>
      <c r="AQ157" s="171">
        <v>2000</v>
      </c>
      <c r="AR157" s="171">
        <v>2400</v>
      </c>
      <c r="AS157" s="171">
        <v>1200</v>
      </c>
      <c r="AT157" s="171">
        <v>25600</v>
      </c>
      <c r="AU157" s="171">
        <v>2560</v>
      </c>
      <c r="AV157" s="172">
        <v>448.00000000000006</v>
      </c>
      <c r="AW157" s="169">
        <v>2</v>
      </c>
      <c r="AX157" s="171">
        <v>1538.4615384615386</v>
      </c>
      <c r="AY157" s="169">
        <v>12</v>
      </c>
      <c r="AZ157" s="171">
        <v>1250</v>
      </c>
      <c r="BA157" s="172">
        <v>22303.538461538461</v>
      </c>
      <c r="BB157" s="172">
        <v>267642.4615384615</v>
      </c>
      <c r="BC157" s="172">
        <v>32117.095384615379</v>
      </c>
    </row>
    <row r="158" spans="22:55" x14ac:dyDescent="0.25">
      <c r="V158" s="167"/>
      <c r="W158" s="167"/>
      <c r="X158" s="167"/>
      <c r="Y158" s="167"/>
      <c r="Z158" s="167"/>
      <c r="AA158" s="167"/>
      <c r="AB158" s="167"/>
      <c r="AC158" s="167"/>
      <c r="AD158" s="167"/>
      <c r="AE158" s="167"/>
      <c r="AF158" s="167"/>
      <c r="AG158" s="167"/>
      <c r="AH158" s="167"/>
      <c r="AI158" s="167"/>
      <c r="AJ158" s="167"/>
      <c r="AK158" s="167"/>
      <c r="AL158" s="167"/>
      <c r="AM158" s="167"/>
      <c r="AN158" s="169" t="s">
        <v>92</v>
      </c>
      <c r="AO158" s="169">
        <v>1055</v>
      </c>
      <c r="AP158" s="171">
        <v>11000</v>
      </c>
      <c r="AQ158" s="171">
        <v>1100</v>
      </c>
      <c r="AR158" s="171">
        <v>1320</v>
      </c>
      <c r="AS158" s="171">
        <v>660</v>
      </c>
      <c r="AT158" s="171">
        <v>14080</v>
      </c>
      <c r="AU158" s="171">
        <v>1408</v>
      </c>
      <c r="AV158" s="172">
        <v>246.40000000000003</v>
      </c>
      <c r="AW158" s="169">
        <v>3</v>
      </c>
      <c r="AX158" s="171">
        <v>1269.2307692307693</v>
      </c>
      <c r="AY158" s="169">
        <v>15</v>
      </c>
      <c r="AZ158" s="171">
        <v>859.375</v>
      </c>
      <c r="BA158" s="172">
        <v>12015.744230769231</v>
      </c>
      <c r="BB158" s="172">
        <v>144188.93076923076</v>
      </c>
      <c r="BC158" s="172">
        <v>17302.671692307689</v>
      </c>
    </row>
    <row r="159" spans="22:55" x14ac:dyDescent="0.25">
      <c r="V159" s="167"/>
      <c r="W159" s="167"/>
      <c r="X159" s="167"/>
      <c r="Y159" s="167"/>
      <c r="Z159" s="167"/>
      <c r="AA159" s="167"/>
      <c r="AB159" s="167"/>
      <c r="AC159" s="167"/>
      <c r="AD159" s="167"/>
      <c r="AE159" s="167"/>
      <c r="AF159" s="167"/>
      <c r="AG159" s="167"/>
      <c r="AH159" s="167"/>
      <c r="AI159" s="167"/>
      <c r="AJ159" s="167"/>
      <c r="AK159" s="167"/>
      <c r="AL159" s="167"/>
      <c r="AM159" s="167"/>
      <c r="AN159" s="169" t="s">
        <v>616</v>
      </c>
      <c r="AO159" s="169">
        <v>1055</v>
      </c>
      <c r="AP159" s="171">
        <v>11000</v>
      </c>
      <c r="AQ159" s="171">
        <v>1100</v>
      </c>
      <c r="AR159" s="171">
        <v>1320</v>
      </c>
      <c r="AS159" s="171">
        <v>660</v>
      </c>
      <c r="AT159" s="171">
        <v>14080</v>
      </c>
      <c r="AU159" s="171">
        <v>1408</v>
      </c>
      <c r="AV159" s="172">
        <v>246.40000000000003</v>
      </c>
      <c r="AW159" s="169">
        <v>3</v>
      </c>
      <c r="AX159" s="171">
        <v>1269.2307692307693</v>
      </c>
      <c r="AY159" s="169">
        <v>15</v>
      </c>
      <c r="AZ159" s="171">
        <v>859.375</v>
      </c>
      <c r="BA159" s="172">
        <v>12015.744230769231</v>
      </c>
      <c r="BB159" s="172">
        <v>144188.93076923076</v>
      </c>
      <c r="BC159" s="172">
        <v>17302.671692307689</v>
      </c>
    </row>
    <row r="160" spans="22:55" x14ac:dyDescent="0.25">
      <c r="V160" s="167"/>
      <c r="W160" s="167"/>
      <c r="X160" s="167"/>
      <c r="Y160" s="167"/>
      <c r="Z160" s="167"/>
      <c r="AA160" s="167"/>
      <c r="AB160" s="167"/>
      <c r="AC160" s="167"/>
      <c r="AD160" s="167"/>
      <c r="AE160" s="167"/>
      <c r="AF160" s="167"/>
      <c r="AG160" s="167"/>
      <c r="AH160" s="167"/>
      <c r="AI160" s="167"/>
      <c r="AJ160" s="167"/>
      <c r="AK160" s="167"/>
      <c r="AL160" s="167"/>
      <c r="AM160" s="167"/>
      <c r="AN160" s="169" t="s">
        <v>360</v>
      </c>
      <c r="AO160" s="169">
        <v>1049</v>
      </c>
      <c r="AP160" s="171">
        <v>22000</v>
      </c>
      <c r="AQ160" s="171">
        <v>2200</v>
      </c>
      <c r="AR160" s="171">
        <v>2640</v>
      </c>
      <c r="AS160" s="171">
        <v>1320</v>
      </c>
      <c r="AT160" s="171">
        <v>28160</v>
      </c>
      <c r="AU160" s="171">
        <v>2816</v>
      </c>
      <c r="AV160" s="172">
        <v>492.80000000000007</v>
      </c>
      <c r="AW160" s="169">
        <v>3</v>
      </c>
      <c r="AX160" s="171">
        <v>2538.4615384615386</v>
      </c>
      <c r="AY160" s="169">
        <v>12</v>
      </c>
      <c r="AZ160" s="171">
        <v>1375</v>
      </c>
      <c r="BA160" s="172">
        <v>23687.738461538462</v>
      </c>
      <c r="BB160" s="172">
        <v>284252.86153846153</v>
      </c>
      <c r="BC160" s="172">
        <v>34110.343384615378</v>
      </c>
    </row>
    <row r="161" spans="14:55" x14ac:dyDescent="0.25">
      <c r="V161" s="167"/>
      <c r="W161" s="167"/>
      <c r="X161" s="167"/>
      <c r="Y161" s="167"/>
      <c r="Z161" s="167"/>
      <c r="AA161" s="167"/>
      <c r="AB161" s="167"/>
      <c r="AC161" s="167"/>
      <c r="AD161" s="167"/>
      <c r="AE161" s="167"/>
      <c r="AF161" s="167"/>
      <c r="AG161" s="167"/>
      <c r="AH161" s="167"/>
      <c r="AI161" s="167"/>
      <c r="AJ161" s="167"/>
      <c r="AK161" s="167"/>
      <c r="AL161" s="167"/>
      <c r="AM161" s="167"/>
      <c r="AN161" s="169" t="s">
        <v>616</v>
      </c>
      <c r="AO161" s="169">
        <v>1049</v>
      </c>
      <c r="AP161" s="171">
        <v>22000</v>
      </c>
      <c r="AQ161" s="171">
        <v>2200</v>
      </c>
      <c r="AR161" s="171">
        <v>2640</v>
      </c>
      <c r="AS161" s="171">
        <v>1320</v>
      </c>
      <c r="AT161" s="171">
        <v>28160</v>
      </c>
      <c r="AU161" s="171">
        <v>2816</v>
      </c>
      <c r="AV161" s="172">
        <v>492.80000000000007</v>
      </c>
      <c r="AW161" s="169">
        <v>3</v>
      </c>
      <c r="AX161" s="171">
        <v>2538.4615384615386</v>
      </c>
      <c r="AY161" s="169">
        <v>12</v>
      </c>
      <c r="AZ161" s="171">
        <v>1375</v>
      </c>
      <c r="BA161" s="172">
        <v>23687.738461538462</v>
      </c>
      <c r="BB161" s="172">
        <v>284252.86153846153</v>
      </c>
      <c r="BC161" s="172">
        <v>34110.343384615378</v>
      </c>
    </row>
    <row r="162" spans="14:55" x14ac:dyDescent="0.25">
      <c r="V162" s="167"/>
      <c r="W162" s="167"/>
      <c r="X162" s="167"/>
      <c r="Y162" s="167"/>
      <c r="Z162" s="167"/>
      <c r="AA162" s="167"/>
      <c r="AB162" s="167"/>
      <c r="AC162" s="167"/>
      <c r="AD162" s="167"/>
      <c r="AE162" s="167"/>
      <c r="AF162" s="167"/>
      <c r="AG162" s="167"/>
      <c r="AH162" s="167"/>
      <c r="AI162" s="167"/>
      <c r="AJ162" s="167"/>
      <c r="AK162" s="167"/>
      <c r="AL162" s="167"/>
      <c r="AM162" s="167"/>
      <c r="AN162" s="169" t="s">
        <v>317</v>
      </c>
      <c r="AO162" s="169">
        <v>1092</v>
      </c>
      <c r="AP162" s="171">
        <v>32000</v>
      </c>
      <c r="AQ162" s="171">
        <v>3200</v>
      </c>
      <c r="AR162" s="171">
        <v>3840</v>
      </c>
      <c r="AS162" s="171">
        <v>1920</v>
      </c>
      <c r="AT162" s="171">
        <v>40960</v>
      </c>
      <c r="AU162" s="171">
        <v>4096</v>
      </c>
      <c r="AV162" s="172">
        <v>716.80000000000007</v>
      </c>
      <c r="AW162" s="169">
        <v>2</v>
      </c>
      <c r="AX162" s="171">
        <v>2461.5384615384614</v>
      </c>
      <c r="AY162" s="169">
        <v>14</v>
      </c>
      <c r="AZ162" s="171">
        <v>2333.333333333333</v>
      </c>
      <c r="BA162" s="172">
        <v>36018.994871794872</v>
      </c>
      <c r="BB162" s="172">
        <v>432227.93846153846</v>
      </c>
      <c r="BC162" s="172">
        <v>51867.352615384611</v>
      </c>
    </row>
    <row r="163" spans="14:55" x14ac:dyDescent="0.25">
      <c r="V163" s="167"/>
      <c r="W163" s="167"/>
      <c r="X163" s="167"/>
      <c r="Y163" s="167"/>
      <c r="Z163" s="167"/>
      <c r="AA163" s="167"/>
      <c r="AB163" s="167"/>
      <c r="AC163" s="167"/>
      <c r="AD163" s="167"/>
      <c r="AE163" s="167"/>
      <c r="AF163" s="167"/>
      <c r="AG163" s="167"/>
      <c r="AH163" s="167"/>
      <c r="AI163" s="167"/>
      <c r="AJ163" s="167"/>
      <c r="AK163" s="167"/>
      <c r="AL163" s="167"/>
      <c r="AM163" s="167"/>
      <c r="AN163" s="169" t="s">
        <v>616</v>
      </c>
      <c r="AO163" s="169">
        <v>1092</v>
      </c>
      <c r="AP163" s="171">
        <v>32000</v>
      </c>
      <c r="AQ163" s="171">
        <v>3200</v>
      </c>
      <c r="AR163" s="171">
        <v>3840</v>
      </c>
      <c r="AS163" s="171">
        <v>1920</v>
      </c>
      <c r="AT163" s="171">
        <v>40960</v>
      </c>
      <c r="AU163" s="171">
        <v>4096</v>
      </c>
      <c r="AV163" s="172">
        <v>716.80000000000007</v>
      </c>
      <c r="AW163" s="169">
        <v>2</v>
      </c>
      <c r="AX163" s="171">
        <v>2461.5384615384614</v>
      </c>
      <c r="AY163" s="169">
        <v>14</v>
      </c>
      <c r="AZ163" s="171">
        <v>2333.333333333333</v>
      </c>
      <c r="BA163" s="172">
        <v>36018.994871794872</v>
      </c>
      <c r="BB163" s="172">
        <v>432227.93846153846</v>
      </c>
      <c r="BC163" s="172">
        <v>51867.352615384611</v>
      </c>
    </row>
    <row r="164" spans="14:55" x14ac:dyDescent="0.25">
      <c r="V164" s="167"/>
      <c r="W164" s="167"/>
      <c r="X164" s="167"/>
      <c r="Y164" s="167"/>
      <c r="Z164" s="167"/>
      <c r="AA164" s="167"/>
      <c r="AB164" s="167"/>
      <c r="AC164" s="167"/>
      <c r="AD164" s="167"/>
      <c r="AE164" s="167"/>
      <c r="AF164" s="167"/>
      <c r="AG164" s="167"/>
      <c r="AH164" s="167"/>
      <c r="AI164" s="167"/>
      <c r="AJ164" s="167"/>
      <c r="AK164" s="167"/>
      <c r="AL164" s="167"/>
      <c r="AM164" s="167"/>
      <c r="AN164" s="169" t="s">
        <v>348</v>
      </c>
      <c r="AO164" s="169">
        <v>1047</v>
      </c>
      <c r="AP164" s="171">
        <v>18000</v>
      </c>
      <c r="AQ164" s="171">
        <v>1800</v>
      </c>
      <c r="AR164" s="171">
        <v>2160</v>
      </c>
      <c r="AS164" s="171">
        <v>1080</v>
      </c>
      <c r="AT164" s="171">
        <v>23040</v>
      </c>
      <c r="AU164" s="171">
        <v>2304</v>
      </c>
      <c r="AV164" s="172">
        <v>403.20000000000005</v>
      </c>
      <c r="AW164" s="169">
        <v>5</v>
      </c>
      <c r="AX164" s="171">
        <v>3461.5384615384614</v>
      </c>
      <c r="AY164" s="169">
        <v>13</v>
      </c>
      <c r="AZ164" s="171">
        <v>1218.75</v>
      </c>
      <c r="BA164" s="172">
        <v>18090.011538461538</v>
      </c>
      <c r="BB164" s="172">
        <v>217080.13846153847</v>
      </c>
      <c r="BC164" s="172">
        <v>26049.616615384617</v>
      </c>
    </row>
    <row r="165" spans="14:55" ht="15.75" thickBot="1" x14ac:dyDescent="0.3">
      <c r="V165" s="167"/>
      <c r="W165" s="167"/>
      <c r="X165" s="167"/>
      <c r="Y165" s="167"/>
      <c r="Z165" s="167"/>
      <c r="AA165" s="167"/>
      <c r="AB165" s="167"/>
      <c r="AC165" s="167"/>
      <c r="AD165" s="167"/>
      <c r="AE165" s="167"/>
      <c r="AF165" s="167"/>
      <c r="AG165" s="167"/>
      <c r="AH165" s="167"/>
      <c r="AI165" s="167"/>
      <c r="AJ165" s="167"/>
      <c r="AK165" s="167"/>
      <c r="AL165" s="167"/>
      <c r="AM165" s="167"/>
      <c r="AN165" s="169" t="s">
        <v>616</v>
      </c>
      <c r="AO165" s="169">
        <v>1047</v>
      </c>
      <c r="AP165" s="171">
        <v>18000</v>
      </c>
      <c r="AQ165" s="171">
        <v>1800</v>
      </c>
      <c r="AR165" s="171">
        <v>2160</v>
      </c>
      <c r="AS165" s="171">
        <v>1080</v>
      </c>
      <c r="AT165" s="171">
        <v>23040</v>
      </c>
      <c r="AU165" s="171">
        <v>2304</v>
      </c>
      <c r="AV165" s="172">
        <v>403.20000000000005</v>
      </c>
      <c r="AW165" s="169">
        <v>5</v>
      </c>
      <c r="AX165" s="171">
        <v>3461.5384615384614</v>
      </c>
      <c r="AY165" s="169">
        <v>13</v>
      </c>
      <c r="AZ165" s="171">
        <v>1218.75</v>
      </c>
      <c r="BA165" s="172">
        <v>18090.011538461538</v>
      </c>
      <c r="BB165" s="172">
        <v>217080.13846153847</v>
      </c>
      <c r="BC165" s="172">
        <v>26049.616615384617</v>
      </c>
    </row>
    <row r="166" spans="14:55" x14ac:dyDescent="0.25">
      <c r="V166" s="167"/>
      <c r="W166" s="167"/>
      <c r="X166" s="167"/>
      <c r="Y166" s="167"/>
      <c r="Z166" s="167"/>
      <c r="AA166" s="167"/>
      <c r="AB166" s="167"/>
      <c r="AC166" s="167"/>
      <c r="AD166" s="167"/>
      <c r="AE166" s="167"/>
      <c r="AF166" s="167"/>
      <c r="AG166" s="167"/>
      <c r="AH166" s="167"/>
      <c r="AI166" s="167"/>
      <c r="AJ166" s="167"/>
      <c r="AK166" s="167"/>
      <c r="AL166" s="167"/>
      <c r="AM166" s="167"/>
      <c r="AN166" s="179" t="s">
        <v>21</v>
      </c>
      <c r="AO166" s="179">
        <v>104950</v>
      </c>
      <c r="AP166" s="180">
        <v>2309890</v>
      </c>
      <c r="AQ166" s="180">
        <v>230989</v>
      </c>
      <c r="AR166" s="180">
        <v>277186.8</v>
      </c>
      <c r="AS166" s="180">
        <v>138593.4</v>
      </c>
      <c r="AT166" s="180">
        <v>2956659.2</v>
      </c>
      <c r="AU166" s="180">
        <v>295665.92000000004</v>
      </c>
      <c r="AV166" s="181">
        <v>51741.536</v>
      </c>
      <c r="AW166" s="179">
        <v>346</v>
      </c>
      <c r="AX166" s="180">
        <v>306252.3076923078</v>
      </c>
      <c r="AY166" s="179">
        <v>1356</v>
      </c>
      <c r="AZ166" s="180">
        <v>162788.28125000006</v>
      </c>
      <c r="BA166" s="181">
        <v>2465787.717557692</v>
      </c>
      <c r="BB166" s="181">
        <v>29589452.610692285</v>
      </c>
      <c r="BC166" s="181">
        <v>3550734.3132830774</v>
      </c>
    </row>
    <row r="170" spans="14:55" x14ac:dyDescent="0.25">
      <c r="N170" s="117"/>
      <c r="O170" s="117"/>
    </row>
    <row r="171" spans="14:55" x14ac:dyDescent="0.25">
      <c r="O171" s="33"/>
    </row>
    <row r="172" spans="14:55" x14ac:dyDescent="0.25">
      <c r="O172" s="33"/>
    </row>
    <row r="173" spans="14:55" x14ac:dyDescent="0.25">
      <c r="O173" s="33"/>
    </row>
    <row r="174" spans="14:55" x14ac:dyDescent="0.25">
      <c r="O174" s="33"/>
    </row>
    <row r="175" spans="14:55" x14ac:dyDescent="0.25">
      <c r="O175" s="33"/>
    </row>
  </sheetData>
  <mergeCells count="3">
    <mergeCell ref="A1:T1"/>
    <mergeCell ref="A103:E103"/>
    <mergeCell ref="A108:M108"/>
  </mergeCells>
  <dataValidations disablePrompts="1" count="1">
    <dataValidation type="list" allowBlank="1" showInputMessage="1" showErrorMessage="1" sqref="V7" xr:uid="{830FBA1C-6034-467E-8130-EE77B5A72E55}">
      <formula1>$B$3:$B$102</formula1>
    </dataValidation>
  </dataValidations>
  <pageMargins left="0.7" right="0.7" top="0.75" bottom="0.75" header="0.3" footer="0.3"/>
  <pageSetup paperSize="0" scale="0" orientation="landscape" horizontalDpi="0" verticalDpi="0" copie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516EF-FE1D-4A76-8E73-309B19F0A1F7}">
  <sheetPr codeName="Sheet14"/>
  <dimension ref="A1:P118"/>
  <sheetViews>
    <sheetView workbookViewId="0">
      <selection activeCell="J15" sqref="J15"/>
    </sheetView>
  </sheetViews>
  <sheetFormatPr defaultRowHeight="15" x14ac:dyDescent="0.25"/>
  <cols>
    <col min="1" max="1" width="30.5703125" bestFit="1" customWidth="1"/>
    <col min="2" max="2" width="9.7109375" bestFit="1" customWidth="1"/>
    <col min="3" max="3" width="12.28515625" bestFit="1" customWidth="1"/>
    <col min="4" max="4" width="16" bestFit="1" customWidth="1"/>
    <col min="6" max="6" width="30.5703125" bestFit="1" customWidth="1"/>
    <col min="7" max="7" width="14" bestFit="1" customWidth="1"/>
    <col min="8" max="8" width="10.85546875" bestFit="1" customWidth="1"/>
    <col min="10" max="10" width="18" bestFit="1" customWidth="1"/>
    <col min="11" max="11" width="9.7109375" bestFit="1" customWidth="1"/>
    <col min="12" max="12" width="12.28515625" bestFit="1" customWidth="1"/>
    <col min="14" max="14" width="30.5703125" bestFit="1" customWidth="1"/>
    <col min="15" max="15" width="15.42578125" bestFit="1" customWidth="1"/>
    <col min="16" max="16" width="15.85546875" bestFit="1" customWidth="1"/>
  </cols>
  <sheetData>
    <row r="1" spans="1:16" ht="21" x14ac:dyDescent="0.35">
      <c r="A1" s="474" t="s">
        <v>617</v>
      </c>
      <c r="B1" s="475"/>
      <c r="C1" s="475"/>
      <c r="D1" s="475"/>
    </row>
    <row r="2" spans="1:16" ht="18.75" x14ac:dyDescent="0.3">
      <c r="A2" s="53" t="s">
        <v>618</v>
      </c>
      <c r="B2" s="52" t="s">
        <v>619</v>
      </c>
      <c r="C2" s="52" t="s">
        <v>620</v>
      </c>
      <c r="D2" s="52" t="s">
        <v>629</v>
      </c>
      <c r="N2" s="30" t="s">
        <v>17</v>
      </c>
      <c r="O2" t="s">
        <v>621</v>
      </c>
      <c r="P2" t="s">
        <v>622</v>
      </c>
    </row>
    <row r="3" spans="1:16" x14ac:dyDescent="0.25">
      <c r="A3" s="20" t="s">
        <v>623</v>
      </c>
      <c r="B3" s="20">
        <v>175</v>
      </c>
      <c r="C3" s="55">
        <v>8687387</v>
      </c>
      <c r="D3" s="55">
        <f>B3*C3</f>
        <v>1520292725</v>
      </c>
      <c r="N3" s="31" t="s">
        <v>624</v>
      </c>
      <c r="O3" s="5">
        <v>959</v>
      </c>
      <c r="P3" s="77">
        <v>9016329</v>
      </c>
    </row>
    <row r="4" spans="1:16" x14ac:dyDescent="0.25">
      <c r="A4" s="20" t="s">
        <v>625</v>
      </c>
      <c r="B4" s="20">
        <v>619</v>
      </c>
      <c r="C4" s="55">
        <v>7737252</v>
      </c>
      <c r="D4" s="55">
        <f t="shared" ref="D4:D67" si="0">B4*C4</f>
        <v>4789358988</v>
      </c>
      <c r="N4" s="31" t="s">
        <v>626</v>
      </c>
      <c r="O4" s="5">
        <v>1545</v>
      </c>
      <c r="P4" s="77">
        <v>17135453</v>
      </c>
    </row>
    <row r="5" spans="1:16" ht="18.75" x14ac:dyDescent="0.3">
      <c r="A5" s="20" t="s">
        <v>627</v>
      </c>
      <c r="B5" s="20">
        <v>426</v>
      </c>
      <c r="C5" s="55">
        <v>6599568</v>
      </c>
      <c r="D5" s="55">
        <f t="shared" si="0"/>
        <v>2811415968</v>
      </c>
      <c r="F5" s="51" t="s">
        <v>628</v>
      </c>
      <c r="G5" s="51" t="s">
        <v>629</v>
      </c>
      <c r="H5" s="81" t="s">
        <v>8</v>
      </c>
      <c r="N5" s="31" t="s">
        <v>630</v>
      </c>
      <c r="O5" s="5">
        <v>959</v>
      </c>
      <c r="P5" s="77">
        <v>17121731</v>
      </c>
    </row>
    <row r="6" spans="1:16" ht="18.75" x14ac:dyDescent="0.3">
      <c r="A6" s="20" t="s">
        <v>631</v>
      </c>
      <c r="B6" s="20">
        <v>457</v>
      </c>
      <c r="C6" s="55">
        <v>9793270</v>
      </c>
      <c r="D6" s="55">
        <f t="shared" si="0"/>
        <v>4475524390</v>
      </c>
      <c r="F6" s="1" t="s">
        <v>631</v>
      </c>
      <c r="G6" s="17">
        <f t="shared" ref="G6:G37" ca="1" si="1">SUMIF(A3:C67,F6,C3:C73)</f>
        <v>28472956</v>
      </c>
      <c r="H6" s="1">
        <f t="shared" ref="H6:H37" ca="1" si="2">SUMIF(A2:C118,F6,B2:B118)</f>
        <v>2698</v>
      </c>
      <c r="J6" s="53" t="s">
        <v>618</v>
      </c>
      <c r="K6" s="52" t="s">
        <v>619</v>
      </c>
      <c r="L6" s="52" t="s">
        <v>620</v>
      </c>
      <c r="N6" s="31" t="s">
        <v>632</v>
      </c>
      <c r="O6" s="5">
        <v>1304</v>
      </c>
      <c r="P6" s="77">
        <v>10366896</v>
      </c>
    </row>
    <row r="7" spans="1:16" x14ac:dyDescent="0.25">
      <c r="A7" s="20" t="s">
        <v>633</v>
      </c>
      <c r="B7" s="20">
        <v>512</v>
      </c>
      <c r="C7" s="55">
        <v>6962424</v>
      </c>
      <c r="D7" s="55">
        <f t="shared" si="0"/>
        <v>3564761088</v>
      </c>
      <c r="F7" s="1" t="s">
        <v>623</v>
      </c>
      <c r="G7" s="17">
        <f t="shared" ca="1" si="1"/>
        <v>8718472</v>
      </c>
      <c r="H7" s="1">
        <f t="shared" ca="1" si="2"/>
        <v>1658</v>
      </c>
      <c r="J7" s="20" t="s">
        <v>625</v>
      </c>
      <c r="K7" s="20" cm="1">
        <f t="array" ref="K7:L7">VLOOKUP(J7,A2:C118,{2,3},0)</f>
        <v>619</v>
      </c>
      <c r="L7" s="55">
        <v>7737252</v>
      </c>
      <c r="N7" s="31" t="s">
        <v>634</v>
      </c>
      <c r="O7" s="5">
        <v>1181</v>
      </c>
      <c r="P7" s="77">
        <v>11763853</v>
      </c>
    </row>
    <row r="8" spans="1:16" x14ac:dyDescent="0.25">
      <c r="A8" s="20" t="s">
        <v>635</v>
      </c>
      <c r="B8" s="20">
        <v>265</v>
      </c>
      <c r="C8" s="55">
        <v>9065592</v>
      </c>
      <c r="D8" s="55">
        <f t="shared" si="0"/>
        <v>2402381880</v>
      </c>
      <c r="F8" s="1" t="s">
        <v>627</v>
      </c>
      <c r="G8" s="17">
        <f t="shared" ca="1" si="1"/>
        <v>13926423</v>
      </c>
      <c r="H8" s="1">
        <f t="shared" ca="1" si="2"/>
        <v>1200</v>
      </c>
      <c r="N8" s="31" t="s">
        <v>636</v>
      </c>
      <c r="O8" s="5">
        <v>676</v>
      </c>
      <c r="P8" s="77">
        <v>10335199</v>
      </c>
    </row>
    <row r="9" spans="1:16" x14ac:dyDescent="0.25">
      <c r="A9" s="20" t="s">
        <v>637</v>
      </c>
      <c r="B9" s="20">
        <v>767</v>
      </c>
      <c r="C9" s="55">
        <v>3098981</v>
      </c>
      <c r="D9" s="55">
        <f t="shared" si="0"/>
        <v>2376918427</v>
      </c>
      <c r="F9" s="1" t="s">
        <v>631</v>
      </c>
      <c r="G9" s="17">
        <f t="shared" ca="1" si="1"/>
        <v>28472956</v>
      </c>
      <c r="H9" s="1">
        <f t="shared" ca="1" si="2"/>
        <v>2698</v>
      </c>
      <c r="N9" s="31" t="s">
        <v>638</v>
      </c>
      <c r="O9" s="5">
        <v>1213</v>
      </c>
      <c r="P9" s="77">
        <v>10147222</v>
      </c>
    </row>
    <row r="10" spans="1:16" x14ac:dyDescent="0.25">
      <c r="A10" s="20" t="s">
        <v>639</v>
      </c>
      <c r="B10" s="20">
        <v>733</v>
      </c>
      <c r="C10" s="55">
        <v>8116825</v>
      </c>
      <c r="D10" s="55">
        <f t="shared" si="0"/>
        <v>5949632725</v>
      </c>
      <c r="F10" s="1" t="s">
        <v>633</v>
      </c>
      <c r="G10" s="17">
        <f t="shared" ca="1" si="1"/>
        <v>13926604</v>
      </c>
      <c r="H10" s="1">
        <f t="shared" ca="1" si="2"/>
        <v>1479</v>
      </c>
      <c r="N10" s="31" t="s">
        <v>640</v>
      </c>
      <c r="O10" s="5">
        <v>1545</v>
      </c>
      <c r="P10" s="77">
        <v>11870908</v>
      </c>
    </row>
    <row r="11" spans="1:16" x14ac:dyDescent="0.25">
      <c r="A11" s="20" t="s">
        <v>641</v>
      </c>
      <c r="B11" s="20">
        <v>966</v>
      </c>
      <c r="C11" s="55">
        <v>1018131</v>
      </c>
      <c r="D11" s="55">
        <f t="shared" si="0"/>
        <v>983514546</v>
      </c>
      <c r="F11" s="1" t="s">
        <v>635</v>
      </c>
      <c r="G11" s="17">
        <f t="shared" ca="1" si="1"/>
        <v>20901487</v>
      </c>
      <c r="H11" s="1">
        <f t="shared" ca="1" si="2"/>
        <v>2611</v>
      </c>
      <c r="N11" s="31" t="s">
        <v>642</v>
      </c>
      <c r="O11" s="5">
        <v>783</v>
      </c>
      <c r="P11" s="77">
        <v>14840421</v>
      </c>
    </row>
    <row r="12" spans="1:16" ht="18.75" x14ac:dyDescent="0.3">
      <c r="A12" s="20" t="s">
        <v>643</v>
      </c>
      <c r="B12" s="20">
        <v>952</v>
      </c>
      <c r="C12" s="55">
        <v>6441661</v>
      </c>
      <c r="D12" s="55">
        <f t="shared" si="0"/>
        <v>6132461272</v>
      </c>
      <c r="F12" s="1" t="s">
        <v>637</v>
      </c>
      <c r="G12" s="17">
        <f t="shared" ca="1" si="1"/>
        <v>8110828</v>
      </c>
      <c r="H12" s="1">
        <f t="shared" ca="1" si="2"/>
        <v>1544</v>
      </c>
      <c r="I12" s="22"/>
      <c r="J12" s="90"/>
      <c r="K12" s="90"/>
      <c r="L12" s="91"/>
      <c r="N12" s="31" t="s">
        <v>633</v>
      </c>
      <c r="O12" s="5">
        <v>1479</v>
      </c>
      <c r="P12" s="77">
        <v>13926604</v>
      </c>
    </row>
    <row r="13" spans="1:16" x14ac:dyDescent="0.25">
      <c r="A13" s="20" t="s">
        <v>644</v>
      </c>
      <c r="B13" s="20">
        <v>920</v>
      </c>
      <c r="C13" s="55">
        <v>2912599</v>
      </c>
      <c r="D13" s="55">
        <f t="shared" si="0"/>
        <v>2679591080</v>
      </c>
      <c r="F13" s="1" t="s">
        <v>639</v>
      </c>
      <c r="G13" s="17">
        <f t="shared" ca="1" si="1"/>
        <v>15971827</v>
      </c>
      <c r="H13" s="1">
        <f t="shared" ca="1" si="2"/>
        <v>1408</v>
      </c>
      <c r="N13" s="31" t="s">
        <v>645</v>
      </c>
      <c r="O13" s="5">
        <v>1083</v>
      </c>
      <c r="P13" s="77">
        <v>13815393</v>
      </c>
    </row>
    <row r="14" spans="1:16" x14ac:dyDescent="0.25">
      <c r="A14" s="20" t="s">
        <v>636</v>
      </c>
      <c r="B14" s="20">
        <v>171</v>
      </c>
      <c r="C14" s="55">
        <v>5051888</v>
      </c>
      <c r="D14" s="55">
        <f t="shared" si="0"/>
        <v>863872848</v>
      </c>
      <c r="F14" s="1" t="s">
        <v>641</v>
      </c>
      <c r="G14" s="17">
        <f t="shared" ca="1" si="1"/>
        <v>8299281</v>
      </c>
      <c r="H14" s="1">
        <f t="shared" ca="1" si="2"/>
        <v>1754</v>
      </c>
      <c r="N14" s="31" t="s">
        <v>646</v>
      </c>
      <c r="O14" s="5">
        <v>961</v>
      </c>
      <c r="P14" s="77">
        <v>12516401</v>
      </c>
    </row>
    <row r="15" spans="1:16" x14ac:dyDescent="0.25">
      <c r="A15" s="20" t="s">
        <v>647</v>
      </c>
      <c r="B15" s="20">
        <v>878</v>
      </c>
      <c r="C15" s="55">
        <v>6038198</v>
      </c>
      <c r="D15" s="55">
        <f t="shared" si="0"/>
        <v>5301537844</v>
      </c>
      <c r="F15" s="1" t="s">
        <v>643</v>
      </c>
      <c r="G15" s="17">
        <f t="shared" ca="1" si="1"/>
        <v>13503224</v>
      </c>
      <c r="H15" s="1">
        <f t="shared" ca="1" si="2"/>
        <v>1695</v>
      </c>
      <c r="N15" s="31" t="s">
        <v>648</v>
      </c>
      <c r="O15" s="5">
        <v>1449</v>
      </c>
      <c r="P15" s="77">
        <v>10480928</v>
      </c>
    </row>
    <row r="16" spans="1:16" x14ac:dyDescent="0.25">
      <c r="A16" s="20" t="s">
        <v>649</v>
      </c>
      <c r="B16" s="20">
        <v>432</v>
      </c>
      <c r="C16" s="55">
        <v>8833929</v>
      </c>
      <c r="D16" s="55">
        <f t="shared" si="0"/>
        <v>3816257328</v>
      </c>
      <c r="F16" s="1" t="s">
        <v>644</v>
      </c>
      <c r="G16" s="17">
        <f t="shared" ca="1" si="1"/>
        <v>10111595</v>
      </c>
      <c r="H16" s="1">
        <f t="shared" ca="1" si="2"/>
        <v>1609</v>
      </c>
      <c r="N16" s="31" t="s">
        <v>650</v>
      </c>
      <c r="O16" s="5">
        <v>1177</v>
      </c>
      <c r="P16" s="77">
        <v>10752120</v>
      </c>
    </row>
    <row r="17" spans="1:16" x14ac:dyDescent="0.25">
      <c r="A17" s="20" t="s">
        <v>651</v>
      </c>
      <c r="B17" s="20">
        <v>163</v>
      </c>
      <c r="C17" s="55">
        <v>6608553</v>
      </c>
      <c r="D17" s="55">
        <f t="shared" si="0"/>
        <v>1077194139</v>
      </c>
      <c r="F17" s="1" t="s">
        <v>636</v>
      </c>
      <c r="G17" s="17">
        <f t="shared" ca="1" si="1"/>
        <v>10335199</v>
      </c>
      <c r="H17" s="1">
        <f t="shared" ca="1" si="2"/>
        <v>676</v>
      </c>
      <c r="N17" s="31" t="s">
        <v>652</v>
      </c>
      <c r="O17" s="5">
        <v>1712</v>
      </c>
      <c r="P17" s="77">
        <v>11426978</v>
      </c>
    </row>
    <row r="18" spans="1:16" x14ac:dyDescent="0.25">
      <c r="A18" s="20" t="s">
        <v>653</v>
      </c>
      <c r="B18" s="20">
        <v>974</v>
      </c>
      <c r="C18" s="55">
        <v>9394911</v>
      </c>
      <c r="D18" s="55">
        <f t="shared" si="0"/>
        <v>9150643314</v>
      </c>
      <c r="F18" s="1" t="s">
        <v>647</v>
      </c>
      <c r="G18" s="17">
        <f t="shared" ca="1" si="1"/>
        <v>14246835</v>
      </c>
      <c r="H18" s="1">
        <f t="shared" ca="1" si="2"/>
        <v>1412</v>
      </c>
      <c r="N18" s="31" t="s">
        <v>654</v>
      </c>
      <c r="O18" s="5">
        <v>1175</v>
      </c>
      <c r="P18" s="77">
        <v>17418089</v>
      </c>
    </row>
    <row r="19" spans="1:16" x14ac:dyDescent="0.25">
      <c r="A19" s="20" t="s">
        <v>655</v>
      </c>
      <c r="B19" s="20">
        <v>884</v>
      </c>
      <c r="C19" s="55">
        <v>1279832</v>
      </c>
      <c r="D19" s="55">
        <f t="shared" si="0"/>
        <v>1131371488</v>
      </c>
      <c r="F19" s="1" t="s">
        <v>649</v>
      </c>
      <c r="G19" s="17">
        <f t="shared" ca="1" si="1"/>
        <v>15782096</v>
      </c>
      <c r="H19" s="1">
        <f t="shared" ca="1" si="2"/>
        <v>1300</v>
      </c>
      <c r="N19" s="31" t="s">
        <v>647</v>
      </c>
      <c r="O19" s="5">
        <v>1412</v>
      </c>
      <c r="P19" s="77">
        <v>14246835</v>
      </c>
    </row>
    <row r="20" spans="1:16" x14ac:dyDescent="0.25">
      <c r="A20" s="20" t="s">
        <v>656</v>
      </c>
      <c r="B20" s="20">
        <v>780</v>
      </c>
      <c r="C20" s="55">
        <v>4053303</v>
      </c>
      <c r="D20" s="55">
        <f t="shared" si="0"/>
        <v>3161576340</v>
      </c>
      <c r="F20" s="1" t="s">
        <v>651</v>
      </c>
      <c r="G20" s="17">
        <f t="shared" ca="1" si="1"/>
        <v>14346164</v>
      </c>
      <c r="H20" s="1">
        <f t="shared" ca="1" si="2"/>
        <v>893</v>
      </c>
      <c r="N20" s="31" t="s">
        <v>657</v>
      </c>
      <c r="O20" s="5">
        <v>1507</v>
      </c>
      <c r="P20" s="77">
        <v>15336984</v>
      </c>
    </row>
    <row r="21" spans="1:16" x14ac:dyDescent="0.25">
      <c r="A21" s="20" t="s">
        <v>658</v>
      </c>
      <c r="B21" s="20">
        <v>347</v>
      </c>
      <c r="C21" s="55">
        <v>1717126</v>
      </c>
      <c r="D21" s="55">
        <f t="shared" si="0"/>
        <v>595842722</v>
      </c>
      <c r="F21" s="1" t="s">
        <v>653</v>
      </c>
      <c r="G21" s="17">
        <f t="shared" ca="1" si="1"/>
        <v>15379901</v>
      </c>
      <c r="H21" s="1">
        <f t="shared" ca="1" si="2"/>
        <v>1562</v>
      </c>
      <c r="N21" s="31" t="s">
        <v>651</v>
      </c>
      <c r="O21" s="5">
        <v>893</v>
      </c>
      <c r="P21" s="77">
        <v>14346164</v>
      </c>
    </row>
    <row r="22" spans="1:16" x14ac:dyDescent="0.25">
      <c r="A22" s="20" t="s">
        <v>659</v>
      </c>
      <c r="B22" s="20">
        <v>100</v>
      </c>
      <c r="C22" s="55">
        <v>1307144</v>
      </c>
      <c r="D22" s="55">
        <f t="shared" si="0"/>
        <v>130714400</v>
      </c>
      <c r="F22" s="1" t="s">
        <v>655</v>
      </c>
      <c r="G22" s="17">
        <f t="shared" ca="1" si="1"/>
        <v>6756378</v>
      </c>
      <c r="H22" s="1">
        <f t="shared" ca="1" si="2"/>
        <v>1615</v>
      </c>
      <c r="J22" s="11"/>
      <c r="N22" s="31" t="s">
        <v>625</v>
      </c>
      <c r="O22" s="5">
        <v>1424</v>
      </c>
      <c r="P22" s="77">
        <v>15755017</v>
      </c>
    </row>
    <row r="23" spans="1:16" x14ac:dyDescent="0.25">
      <c r="A23" s="20" t="s">
        <v>650</v>
      </c>
      <c r="B23" s="20">
        <v>562</v>
      </c>
      <c r="C23" s="55">
        <v>3348132</v>
      </c>
      <c r="D23" s="55">
        <f t="shared" si="0"/>
        <v>1881650184</v>
      </c>
      <c r="F23" s="1" t="s">
        <v>656</v>
      </c>
      <c r="G23" s="17">
        <f t="shared" ca="1" si="1"/>
        <v>12407792</v>
      </c>
      <c r="H23" s="1">
        <f t="shared" ca="1" si="2"/>
        <v>1417</v>
      </c>
      <c r="N23" s="31" t="s">
        <v>635</v>
      </c>
      <c r="O23" s="5">
        <v>2611</v>
      </c>
      <c r="P23" s="77">
        <v>26514653</v>
      </c>
    </row>
    <row r="24" spans="1:16" x14ac:dyDescent="0.25">
      <c r="A24" s="20" t="s">
        <v>660</v>
      </c>
      <c r="B24" s="20">
        <v>537</v>
      </c>
      <c r="C24" s="55">
        <v>5549901</v>
      </c>
      <c r="D24" s="55">
        <f t="shared" si="0"/>
        <v>2980296837</v>
      </c>
      <c r="F24" s="1" t="s">
        <v>658</v>
      </c>
      <c r="G24" s="17">
        <f t="shared" ca="1" si="1"/>
        <v>10807932</v>
      </c>
      <c r="H24" s="1">
        <f t="shared" ca="1" si="2"/>
        <v>933</v>
      </c>
      <c r="N24" s="31" t="s">
        <v>661</v>
      </c>
      <c r="O24" s="5">
        <v>1247</v>
      </c>
      <c r="P24" s="77">
        <v>15744234</v>
      </c>
    </row>
    <row r="25" spans="1:16" x14ac:dyDescent="0.25">
      <c r="A25" s="20" t="s">
        <v>661</v>
      </c>
      <c r="B25" s="20">
        <v>403</v>
      </c>
      <c r="C25" s="55">
        <v>6826032</v>
      </c>
      <c r="D25" s="55">
        <f t="shared" si="0"/>
        <v>2750890896</v>
      </c>
      <c r="F25" s="1" t="s">
        <v>659</v>
      </c>
      <c r="G25" s="17">
        <f t="shared" ca="1" si="1"/>
        <v>8937707</v>
      </c>
      <c r="H25" s="1">
        <f t="shared" ca="1" si="2"/>
        <v>864</v>
      </c>
      <c r="N25" s="31" t="s">
        <v>641</v>
      </c>
      <c r="O25" s="5">
        <v>1754</v>
      </c>
      <c r="P25" s="77">
        <v>8299281</v>
      </c>
    </row>
    <row r="26" spans="1:16" x14ac:dyDescent="0.25">
      <c r="A26" s="20" t="s">
        <v>626</v>
      </c>
      <c r="B26" s="20">
        <v>720</v>
      </c>
      <c r="C26" s="55">
        <v>7605811</v>
      </c>
      <c r="D26" s="55">
        <f t="shared" si="0"/>
        <v>5476183920</v>
      </c>
      <c r="F26" s="1" t="s">
        <v>650</v>
      </c>
      <c r="G26" s="17">
        <f t="shared" ca="1" si="1"/>
        <v>10752120</v>
      </c>
      <c r="H26" s="1">
        <f t="shared" ca="1" si="2"/>
        <v>1177</v>
      </c>
      <c r="N26" s="31" t="s">
        <v>662</v>
      </c>
      <c r="O26" s="5">
        <v>1630</v>
      </c>
      <c r="P26" s="77">
        <v>10742930</v>
      </c>
    </row>
    <row r="27" spans="1:16" x14ac:dyDescent="0.25">
      <c r="A27" s="20" t="s">
        <v>663</v>
      </c>
      <c r="B27" s="20">
        <v>906</v>
      </c>
      <c r="C27" s="55">
        <v>4601996</v>
      </c>
      <c r="D27" s="55">
        <f t="shared" si="0"/>
        <v>4169408376</v>
      </c>
      <c r="F27" s="1" t="s">
        <v>660</v>
      </c>
      <c r="G27" s="17">
        <f t="shared" ca="1" si="1"/>
        <v>11371487</v>
      </c>
      <c r="H27" s="1">
        <f t="shared" ca="1" si="2"/>
        <v>1315</v>
      </c>
      <c r="N27" s="31" t="s">
        <v>664</v>
      </c>
      <c r="O27" s="5">
        <v>916</v>
      </c>
      <c r="P27" s="77">
        <v>15732565</v>
      </c>
    </row>
    <row r="28" spans="1:16" x14ac:dyDescent="0.25">
      <c r="A28" s="20" t="s">
        <v>664</v>
      </c>
      <c r="B28" s="20">
        <v>287</v>
      </c>
      <c r="C28" s="55">
        <v>8412070</v>
      </c>
      <c r="D28" s="55">
        <f t="shared" si="0"/>
        <v>2414264090</v>
      </c>
      <c r="F28" s="1" t="s">
        <v>661</v>
      </c>
      <c r="G28" s="17">
        <f t="shared" ca="1" si="1"/>
        <v>15744234</v>
      </c>
      <c r="H28" s="1">
        <f t="shared" ca="1" si="2"/>
        <v>1247</v>
      </c>
      <c r="N28" s="31" t="s">
        <v>665</v>
      </c>
      <c r="O28" s="5">
        <v>1283</v>
      </c>
      <c r="P28" s="77">
        <v>15982485</v>
      </c>
    </row>
    <row r="29" spans="1:16" x14ac:dyDescent="0.25">
      <c r="A29" s="20" t="s">
        <v>631</v>
      </c>
      <c r="B29" s="20">
        <v>861</v>
      </c>
      <c r="C29" s="55">
        <v>9391664</v>
      </c>
      <c r="D29" s="55">
        <f t="shared" si="0"/>
        <v>8086222704</v>
      </c>
      <c r="F29" s="1" t="s">
        <v>626</v>
      </c>
      <c r="G29" s="17">
        <f t="shared" ca="1" si="1"/>
        <v>17135453</v>
      </c>
      <c r="H29" s="1">
        <f t="shared" ca="1" si="2"/>
        <v>1545</v>
      </c>
      <c r="N29" s="31" t="s">
        <v>653</v>
      </c>
      <c r="O29" s="5">
        <v>1562</v>
      </c>
      <c r="P29" s="77">
        <v>15379901</v>
      </c>
    </row>
    <row r="30" spans="1:16" x14ac:dyDescent="0.25">
      <c r="A30" s="20" t="s">
        <v>642</v>
      </c>
      <c r="B30" s="20">
        <v>215</v>
      </c>
      <c r="C30" s="55">
        <v>7541367</v>
      </c>
      <c r="D30" s="55">
        <f t="shared" si="0"/>
        <v>1621393905</v>
      </c>
      <c r="F30" s="1" t="s">
        <v>663</v>
      </c>
      <c r="G30" s="17">
        <f t="shared" ca="1" si="1"/>
        <v>10286787</v>
      </c>
      <c r="H30" s="1">
        <f t="shared" ca="1" si="2"/>
        <v>1722</v>
      </c>
      <c r="N30" s="31" t="s">
        <v>639</v>
      </c>
      <c r="O30" s="5">
        <v>1408</v>
      </c>
      <c r="P30" s="77">
        <v>15971827</v>
      </c>
    </row>
    <row r="31" spans="1:16" x14ac:dyDescent="0.25">
      <c r="A31" s="20" t="s">
        <v>666</v>
      </c>
      <c r="B31" s="20">
        <v>985</v>
      </c>
      <c r="C31" s="55">
        <v>726303</v>
      </c>
      <c r="D31" s="55">
        <f t="shared" si="0"/>
        <v>715408455</v>
      </c>
      <c r="F31" s="1" t="s">
        <v>664</v>
      </c>
      <c r="G31" s="17">
        <f t="shared" ca="1" si="1"/>
        <v>15732565</v>
      </c>
      <c r="H31" s="1">
        <f t="shared" ca="1" si="2"/>
        <v>916</v>
      </c>
      <c r="N31" s="31" t="s">
        <v>631</v>
      </c>
      <c r="O31" s="5">
        <v>2698</v>
      </c>
      <c r="P31" s="77">
        <v>34124101</v>
      </c>
    </row>
    <row r="32" spans="1:16" x14ac:dyDescent="0.25">
      <c r="A32" s="20" t="s">
        <v>667</v>
      </c>
      <c r="B32" s="20">
        <v>675</v>
      </c>
      <c r="C32" s="55">
        <v>5499720</v>
      </c>
      <c r="D32" s="55">
        <f t="shared" si="0"/>
        <v>3712311000</v>
      </c>
      <c r="F32" s="1" t="s">
        <v>666</v>
      </c>
      <c r="G32" s="17">
        <f t="shared" ca="1" si="1"/>
        <v>10501033</v>
      </c>
      <c r="H32" s="1">
        <f t="shared" ca="1" si="2"/>
        <v>1813</v>
      </c>
      <c r="N32" s="31" t="s">
        <v>623</v>
      </c>
      <c r="O32" s="5">
        <v>1658</v>
      </c>
      <c r="P32" s="77">
        <v>23839610</v>
      </c>
    </row>
    <row r="33" spans="1:16" x14ac:dyDescent="0.25">
      <c r="A33" s="20" t="s">
        <v>668</v>
      </c>
      <c r="B33" s="20">
        <v>192</v>
      </c>
      <c r="C33" s="55">
        <v>9349520</v>
      </c>
      <c r="D33" s="55">
        <f t="shared" si="0"/>
        <v>1795107840</v>
      </c>
      <c r="F33" s="1" t="s">
        <v>667</v>
      </c>
      <c r="G33" s="17">
        <f t="shared" ca="1" si="1"/>
        <v>14881049</v>
      </c>
      <c r="H33" s="1">
        <f t="shared" ca="1" si="2"/>
        <v>1661</v>
      </c>
      <c r="N33" s="31" t="s">
        <v>627</v>
      </c>
      <c r="O33" s="5">
        <v>1200</v>
      </c>
      <c r="P33" s="77">
        <v>13926423</v>
      </c>
    </row>
    <row r="34" spans="1:16" x14ac:dyDescent="0.25">
      <c r="A34" s="20" t="s">
        <v>669</v>
      </c>
      <c r="B34" s="20">
        <v>354</v>
      </c>
      <c r="C34" s="55">
        <v>9811825</v>
      </c>
      <c r="D34" s="55">
        <f t="shared" si="0"/>
        <v>3473386050</v>
      </c>
      <c r="F34" s="1" t="s">
        <v>668</v>
      </c>
      <c r="G34" s="17">
        <f t="shared" ca="1" si="1"/>
        <v>15770910</v>
      </c>
      <c r="H34" s="1">
        <f t="shared" ca="1" si="2"/>
        <v>1037</v>
      </c>
      <c r="N34" s="31" t="s">
        <v>670</v>
      </c>
      <c r="O34" s="5">
        <v>695</v>
      </c>
      <c r="P34" s="77">
        <v>10401228</v>
      </c>
    </row>
    <row r="35" spans="1:16" x14ac:dyDescent="0.25">
      <c r="A35" s="20" t="s">
        <v>652</v>
      </c>
      <c r="B35" s="20">
        <v>939</v>
      </c>
      <c r="C35" s="55">
        <v>3210859</v>
      </c>
      <c r="D35" s="55">
        <f t="shared" si="0"/>
        <v>3014996601</v>
      </c>
      <c r="F35" s="1" t="s">
        <v>669</v>
      </c>
      <c r="G35" s="17">
        <f t="shared" ca="1" si="1"/>
        <v>15565523</v>
      </c>
      <c r="H35" s="1">
        <f t="shared" ca="1" si="2"/>
        <v>1034</v>
      </c>
      <c r="N35" s="31" t="s">
        <v>663</v>
      </c>
      <c r="O35" s="5">
        <v>1722</v>
      </c>
      <c r="P35" s="77">
        <v>10286787</v>
      </c>
    </row>
    <row r="36" spans="1:16" x14ac:dyDescent="0.25">
      <c r="A36" s="20" t="s">
        <v>632</v>
      </c>
      <c r="B36" s="20">
        <v>616</v>
      </c>
      <c r="C36" s="55">
        <v>4325524</v>
      </c>
      <c r="D36" s="55">
        <f t="shared" si="0"/>
        <v>2664522784</v>
      </c>
      <c r="F36" s="1" t="s">
        <v>652</v>
      </c>
      <c r="G36" s="17">
        <f t="shared" ca="1" si="1"/>
        <v>11426978</v>
      </c>
      <c r="H36" s="1">
        <f t="shared" ca="1" si="2"/>
        <v>1712</v>
      </c>
      <c r="N36" s="31" t="s">
        <v>671</v>
      </c>
      <c r="O36" s="5">
        <v>1962</v>
      </c>
      <c r="P36" s="77">
        <v>8825311</v>
      </c>
    </row>
    <row r="37" spans="1:16" x14ac:dyDescent="0.25">
      <c r="A37" s="20" t="s">
        <v>672</v>
      </c>
      <c r="B37" s="20">
        <v>964</v>
      </c>
      <c r="C37" s="55">
        <v>8303487</v>
      </c>
      <c r="D37" s="55">
        <f t="shared" si="0"/>
        <v>8004561468</v>
      </c>
      <c r="F37" s="1" t="s">
        <v>632</v>
      </c>
      <c r="G37" s="17">
        <f t="shared" ca="1" si="1"/>
        <v>10366896</v>
      </c>
      <c r="H37" s="1">
        <f t="shared" ca="1" si="2"/>
        <v>1304</v>
      </c>
      <c r="N37" s="31" t="s">
        <v>673</v>
      </c>
      <c r="O37" s="5">
        <v>924</v>
      </c>
      <c r="P37" s="77">
        <v>15124719</v>
      </c>
    </row>
    <row r="38" spans="1:16" x14ac:dyDescent="0.25">
      <c r="A38" s="20" t="s">
        <v>674</v>
      </c>
      <c r="B38" s="20">
        <v>262</v>
      </c>
      <c r="C38" s="55">
        <v>8691145</v>
      </c>
      <c r="D38" s="55">
        <f t="shared" si="0"/>
        <v>2277079990</v>
      </c>
      <c r="F38" s="1" t="s">
        <v>672</v>
      </c>
      <c r="G38" s="17">
        <f t="shared" ref="G38:G60" ca="1" si="3">SUMIF(A35:C99,F38,C35:C105)</f>
        <v>14257519</v>
      </c>
      <c r="H38" s="1">
        <f t="shared" ref="H38:H60" ca="1" si="4">SUMIF(A34:C150,F38,B34:B150)</f>
        <v>1598</v>
      </c>
      <c r="N38" s="31" t="s">
        <v>675</v>
      </c>
      <c r="O38" s="5">
        <v>801</v>
      </c>
      <c r="P38" s="77">
        <v>7178785</v>
      </c>
    </row>
    <row r="39" spans="1:16" x14ac:dyDescent="0.25">
      <c r="A39" s="20" t="s">
        <v>665</v>
      </c>
      <c r="B39" s="20">
        <v>421</v>
      </c>
      <c r="C39" s="55">
        <v>7984927</v>
      </c>
      <c r="D39" s="55">
        <f t="shared" si="0"/>
        <v>3361654267</v>
      </c>
      <c r="F39" s="1" t="s">
        <v>674</v>
      </c>
      <c r="G39" s="17">
        <f t="shared" ca="1" si="3"/>
        <v>14166926</v>
      </c>
      <c r="H39" s="1">
        <f t="shared" ca="1" si="4"/>
        <v>1053</v>
      </c>
      <c r="N39" s="31" t="s">
        <v>649</v>
      </c>
      <c r="O39" s="5">
        <v>1300</v>
      </c>
      <c r="P39" s="77">
        <v>15782096</v>
      </c>
    </row>
    <row r="40" spans="1:16" x14ac:dyDescent="0.25">
      <c r="A40" s="20" t="s">
        <v>635</v>
      </c>
      <c r="B40" s="20">
        <v>841</v>
      </c>
      <c r="C40" s="55">
        <v>2455727</v>
      </c>
      <c r="D40" s="55">
        <f t="shared" si="0"/>
        <v>2065266407</v>
      </c>
      <c r="F40" s="1" t="s">
        <v>665</v>
      </c>
      <c r="G40" s="17">
        <f t="shared" ca="1" si="3"/>
        <v>15982485</v>
      </c>
      <c r="H40" s="1">
        <f t="shared" ca="1" si="4"/>
        <v>1283</v>
      </c>
      <c r="N40" s="31" t="s">
        <v>668</v>
      </c>
      <c r="O40" s="5">
        <v>1037</v>
      </c>
      <c r="P40" s="77">
        <v>15770910</v>
      </c>
    </row>
    <row r="41" spans="1:16" x14ac:dyDescent="0.25">
      <c r="A41" s="20" t="s">
        <v>638</v>
      </c>
      <c r="B41" s="20">
        <v>707</v>
      </c>
      <c r="C41" s="55">
        <v>2515566</v>
      </c>
      <c r="D41" s="55">
        <f t="shared" si="0"/>
        <v>1778505162</v>
      </c>
      <c r="F41" s="1" t="s">
        <v>635</v>
      </c>
      <c r="G41" s="17">
        <f t="shared" ca="1" si="3"/>
        <v>17449061</v>
      </c>
      <c r="H41" s="1">
        <f t="shared" ca="1" si="4"/>
        <v>2346</v>
      </c>
      <c r="N41" s="31" t="s">
        <v>666</v>
      </c>
      <c r="O41" s="5">
        <v>1813</v>
      </c>
      <c r="P41" s="77">
        <v>10501033</v>
      </c>
    </row>
    <row r="42" spans="1:16" x14ac:dyDescent="0.25">
      <c r="A42" s="20" t="s">
        <v>623</v>
      </c>
      <c r="B42" s="20">
        <v>113</v>
      </c>
      <c r="C42" s="55">
        <v>398251</v>
      </c>
      <c r="D42" s="55">
        <f t="shared" si="0"/>
        <v>45002363</v>
      </c>
      <c r="F42" s="1" t="s">
        <v>638</v>
      </c>
      <c r="G42" s="17">
        <f t="shared" ca="1" si="3"/>
        <v>10147222</v>
      </c>
      <c r="H42" s="1">
        <f t="shared" ca="1" si="4"/>
        <v>1213</v>
      </c>
      <c r="N42" s="31" t="s">
        <v>643</v>
      </c>
      <c r="O42" s="5">
        <v>1695</v>
      </c>
      <c r="P42" s="77">
        <v>13503224</v>
      </c>
    </row>
    <row r="43" spans="1:16" x14ac:dyDescent="0.25">
      <c r="A43" s="20" t="s">
        <v>646</v>
      </c>
      <c r="B43" s="20">
        <v>278</v>
      </c>
      <c r="C43" s="55">
        <v>3194507</v>
      </c>
      <c r="D43" s="55">
        <f t="shared" si="0"/>
        <v>888072946</v>
      </c>
      <c r="F43" s="1" t="s">
        <v>646</v>
      </c>
      <c r="G43" s="17">
        <f t="shared" ca="1" si="3"/>
        <v>12516401</v>
      </c>
      <c r="H43" s="1">
        <f t="shared" ca="1" si="4"/>
        <v>961</v>
      </c>
      <c r="N43" s="31" t="s">
        <v>669</v>
      </c>
      <c r="O43" s="5">
        <v>1034</v>
      </c>
      <c r="P43" s="77">
        <v>15565523</v>
      </c>
    </row>
    <row r="44" spans="1:16" x14ac:dyDescent="0.25">
      <c r="A44" s="20" t="s">
        <v>634</v>
      </c>
      <c r="B44" s="20">
        <v>521</v>
      </c>
      <c r="C44" s="55">
        <v>2081297</v>
      </c>
      <c r="D44" s="55">
        <f t="shared" si="0"/>
        <v>1084355737</v>
      </c>
      <c r="F44" s="1" t="s">
        <v>634</v>
      </c>
      <c r="G44" s="17">
        <f t="shared" ca="1" si="3"/>
        <v>11763853</v>
      </c>
      <c r="H44" s="1">
        <f t="shared" ca="1" si="4"/>
        <v>1181</v>
      </c>
      <c r="N44" s="31" t="s">
        <v>658</v>
      </c>
      <c r="O44" s="5">
        <v>933</v>
      </c>
      <c r="P44" s="77">
        <v>10807932</v>
      </c>
    </row>
    <row r="45" spans="1:16" x14ac:dyDescent="0.25">
      <c r="A45" s="20" t="s">
        <v>676</v>
      </c>
      <c r="B45" s="20">
        <v>118</v>
      </c>
      <c r="C45" s="55">
        <v>2477976</v>
      </c>
      <c r="D45" s="55">
        <f t="shared" si="0"/>
        <v>292401168</v>
      </c>
      <c r="F45" s="1" t="s">
        <v>676</v>
      </c>
      <c r="G45" s="17">
        <f t="shared" ca="1" si="3"/>
        <v>9912411</v>
      </c>
      <c r="H45" s="1">
        <f t="shared" ca="1" si="4"/>
        <v>873</v>
      </c>
      <c r="N45" s="31" t="s">
        <v>676</v>
      </c>
      <c r="O45" s="5">
        <v>873</v>
      </c>
      <c r="P45" s="77">
        <v>9912411</v>
      </c>
    </row>
    <row r="46" spans="1:16" x14ac:dyDescent="0.25">
      <c r="A46" s="20" t="s">
        <v>677</v>
      </c>
      <c r="B46" s="20">
        <v>194</v>
      </c>
      <c r="C46" s="55">
        <v>8870063</v>
      </c>
      <c r="D46" s="55">
        <f t="shared" si="0"/>
        <v>1720792222</v>
      </c>
      <c r="F46" s="1" t="s">
        <v>677</v>
      </c>
      <c r="G46" s="17">
        <f t="shared" ca="1" si="3"/>
        <v>17136413</v>
      </c>
      <c r="H46" s="1">
        <f t="shared" ca="1" si="4"/>
        <v>895</v>
      </c>
      <c r="N46" s="31" t="s">
        <v>674</v>
      </c>
      <c r="O46" s="5">
        <v>1053</v>
      </c>
      <c r="P46" s="77">
        <v>14166926</v>
      </c>
    </row>
    <row r="47" spans="1:16" x14ac:dyDescent="0.25">
      <c r="A47" s="20" t="s">
        <v>675</v>
      </c>
      <c r="B47" s="20">
        <v>190</v>
      </c>
      <c r="C47" s="55">
        <v>317765</v>
      </c>
      <c r="D47" s="55">
        <f t="shared" si="0"/>
        <v>60375350</v>
      </c>
      <c r="F47" s="1" t="s">
        <v>675</v>
      </c>
      <c r="G47" s="17">
        <f t="shared" ca="1" si="3"/>
        <v>7178785</v>
      </c>
      <c r="H47" s="1">
        <f t="shared" ca="1" si="4"/>
        <v>801</v>
      </c>
      <c r="N47" s="31" t="s">
        <v>656</v>
      </c>
      <c r="O47" s="5">
        <v>1417</v>
      </c>
      <c r="P47" s="77">
        <v>12407792</v>
      </c>
    </row>
    <row r="48" spans="1:16" x14ac:dyDescent="0.25">
      <c r="A48" s="20" t="s">
        <v>657</v>
      </c>
      <c r="B48" s="20">
        <v>920</v>
      </c>
      <c r="C48" s="55">
        <v>6685812</v>
      </c>
      <c r="D48" s="55">
        <f t="shared" si="0"/>
        <v>6150947040</v>
      </c>
      <c r="F48" s="1" t="s">
        <v>657</v>
      </c>
      <c r="G48" s="17">
        <f t="shared" ca="1" si="3"/>
        <v>15336984</v>
      </c>
      <c r="H48" s="1">
        <f t="shared" ca="1" si="4"/>
        <v>1507</v>
      </c>
      <c r="N48" s="31" t="s">
        <v>677</v>
      </c>
      <c r="O48" s="5">
        <v>895</v>
      </c>
      <c r="P48" s="77">
        <v>17136413</v>
      </c>
    </row>
    <row r="49" spans="1:16" x14ac:dyDescent="0.25">
      <c r="A49" s="20" t="s">
        <v>640</v>
      </c>
      <c r="B49" s="20">
        <v>610</v>
      </c>
      <c r="C49" s="55">
        <v>2275357</v>
      </c>
      <c r="D49" s="55">
        <f t="shared" si="0"/>
        <v>1387967770</v>
      </c>
      <c r="F49" s="1" t="s">
        <v>640</v>
      </c>
      <c r="G49" s="17">
        <f t="shared" ca="1" si="3"/>
        <v>11870908</v>
      </c>
      <c r="H49" s="1">
        <f t="shared" ca="1" si="4"/>
        <v>1545</v>
      </c>
      <c r="N49" s="31" t="s">
        <v>659</v>
      </c>
      <c r="O49" s="5">
        <v>864</v>
      </c>
      <c r="P49" s="77">
        <v>8937707</v>
      </c>
    </row>
    <row r="50" spans="1:16" x14ac:dyDescent="0.25">
      <c r="A50" s="20" t="s">
        <v>648</v>
      </c>
      <c r="B50" s="20">
        <v>599</v>
      </c>
      <c r="C50" s="55">
        <v>538936</v>
      </c>
      <c r="D50" s="55">
        <f t="shared" si="0"/>
        <v>322822664</v>
      </c>
      <c r="F50" s="1" t="s">
        <v>648</v>
      </c>
      <c r="G50" s="17">
        <f t="shared" ca="1" si="3"/>
        <v>10480928</v>
      </c>
      <c r="H50" s="1">
        <f t="shared" ca="1" si="4"/>
        <v>1449</v>
      </c>
      <c r="N50" s="31" t="s">
        <v>644</v>
      </c>
      <c r="O50" s="5">
        <v>1609</v>
      </c>
      <c r="P50" s="77">
        <v>10111595</v>
      </c>
    </row>
    <row r="51" spans="1:16" x14ac:dyDescent="0.25">
      <c r="A51" s="20" t="s">
        <v>645</v>
      </c>
      <c r="B51" s="20">
        <v>372</v>
      </c>
      <c r="C51" s="55">
        <v>4916218</v>
      </c>
      <c r="D51" s="55">
        <f t="shared" si="0"/>
        <v>1828833096</v>
      </c>
      <c r="F51" s="1" t="s">
        <v>645</v>
      </c>
      <c r="G51" s="17">
        <f t="shared" ca="1" si="3"/>
        <v>13815393</v>
      </c>
      <c r="H51" s="1">
        <f t="shared" ca="1" si="4"/>
        <v>1083</v>
      </c>
      <c r="N51" s="31" t="s">
        <v>637</v>
      </c>
      <c r="O51" s="5">
        <v>1544</v>
      </c>
      <c r="P51" s="77">
        <v>8110828</v>
      </c>
    </row>
    <row r="52" spans="1:16" x14ac:dyDescent="0.25">
      <c r="A52" s="20" t="s">
        <v>671</v>
      </c>
      <c r="B52" s="20">
        <v>978</v>
      </c>
      <c r="C52" s="55">
        <v>3059703</v>
      </c>
      <c r="D52" s="55">
        <f t="shared" si="0"/>
        <v>2992389534</v>
      </c>
      <c r="F52" s="1" t="s">
        <v>671</v>
      </c>
      <c r="G52" s="17">
        <f t="shared" ca="1" si="3"/>
        <v>8825311</v>
      </c>
      <c r="H52" s="1">
        <f t="shared" ca="1" si="4"/>
        <v>1962</v>
      </c>
      <c r="N52" s="31" t="s">
        <v>667</v>
      </c>
      <c r="O52" s="5">
        <v>1661</v>
      </c>
      <c r="P52" s="77">
        <v>14881049</v>
      </c>
    </row>
    <row r="53" spans="1:16" x14ac:dyDescent="0.25">
      <c r="A53" s="20" t="s">
        <v>678</v>
      </c>
      <c r="B53" s="20">
        <v>537</v>
      </c>
      <c r="C53" s="55">
        <v>2313802</v>
      </c>
      <c r="D53" s="55">
        <f t="shared" si="0"/>
        <v>1242511674</v>
      </c>
      <c r="F53" s="1" t="s">
        <v>678</v>
      </c>
      <c r="G53" s="17">
        <f t="shared" ca="1" si="3"/>
        <v>9506551</v>
      </c>
      <c r="H53" s="1">
        <f t="shared" ca="1" si="4"/>
        <v>1215</v>
      </c>
      <c r="N53" s="31" t="s">
        <v>678</v>
      </c>
      <c r="O53" s="5">
        <v>1215</v>
      </c>
      <c r="P53" s="77">
        <v>9506551</v>
      </c>
    </row>
    <row r="54" spans="1:16" x14ac:dyDescent="0.25">
      <c r="A54" s="20" t="s">
        <v>673</v>
      </c>
      <c r="B54" s="20">
        <v>399</v>
      </c>
      <c r="C54" s="55">
        <v>8856544</v>
      </c>
      <c r="D54" s="55">
        <f t="shared" si="0"/>
        <v>3533761056</v>
      </c>
      <c r="F54" s="1" t="s">
        <v>673</v>
      </c>
      <c r="G54" s="17">
        <f t="shared" ca="1" si="3"/>
        <v>15124719</v>
      </c>
      <c r="H54" s="1">
        <f t="shared" ca="1" si="4"/>
        <v>924</v>
      </c>
      <c r="N54" s="31" t="s">
        <v>672</v>
      </c>
      <c r="O54" s="5">
        <v>1598</v>
      </c>
      <c r="P54" s="77">
        <v>14257519</v>
      </c>
    </row>
    <row r="55" spans="1:16" x14ac:dyDescent="0.25">
      <c r="A55" s="20" t="s">
        <v>630</v>
      </c>
      <c r="B55" s="20">
        <v>241</v>
      </c>
      <c r="C55" s="55">
        <v>9246191</v>
      </c>
      <c r="D55" s="55">
        <f t="shared" si="0"/>
        <v>2228332031</v>
      </c>
      <c r="F55" s="1" t="s">
        <v>630</v>
      </c>
      <c r="G55" s="17">
        <f t="shared" ca="1" si="3"/>
        <v>17121731</v>
      </c>
      <c r="H55" s="1">
        <f t="shared" ca="1" si="4"/>
        <v>959</v>
      </c>
      <c r="N55" s="31" t="s">
        <v>679</v>
      </c>
      <c r="O55" s="5">
        <v>687</v>
      </c>
      <c r="P55" s="77">
        <v>10644567</v>
      </c>
    </row>
    <row r="56" spans="1:16" x14ac:dyDescent="0.25">
      <c r="A56" s="20" t="s">
        <v>670</v>
      </c>
      <c r="B56" s="20">
        <v>176</v>
      </c>
      <c r="C56" s="55">
        <v>5321319</v>
      </c>
      <c r="D56" s="55">
        <f t="shared" si="0"/>
        <v>936552144</v>
      </c>
      <c r="F56" s="1" t="s">
        <v>670</v>
      </c>
      <c r="G56" s="17">
        <f t="shared" ca="1" si="3"/>
        <v>10401228</v>
      </c>
      <c r="H56" s="1">
        <f t="shared" ca="1" si="4"/>
        <v>695</v>
      </c>
      <c r="N56" s="31" t="s">
        <v>655</v>
      </c>
      <c r="O56" s="5">
        <v>1615</v>
      </c>
      <c r="P56" s="77">
        <v>6756378</v>
      </c>
    </row>
    <row r="57" spans="1:16" x14ac:dyDescent="0.25">
      <c r="A57" s="20" t="s">
        <v>662</v>
      </c>
      <c r="B57" s="20">
        <v>633</v>
      </c>
      <c r="C57" s="55">
        <v>1403750</v>
      </c>
      <c r="D57" s="55">
        <f t="shared" si="0"/>
        <v>888573750</v>
      </c>
      <c r="F57" s="1" t="s">
        <v>662</v>
      </c>
      <c r="G57" s="17">
        <f t="shared" ca="1" si="3"/>
        <v>10742930</v>
      </c>
      <c r="H57" s="1">
        <f t="shared" ca="1" si="4"/>
        <v>1630</v>
      </c>
      <c r="N57" s="31" t="s">
        <v>660</v>
      </c>
      <c r="O57" s="5">
        <v>1315</v>
      </c>
      <c r="P57" s="77">
        <v>11371487</v>
      </c>
    </row>
    <row r="58" spans="1:16" x14ac:dyDescent="0.25">
      <c r="A58" s="20" t="s">
        <v>679</v>
      </c>
      <c r="B58" s="20">
        <v>122</v>
      </c>
      <c r="C58" s="55">
        <v>1107670</v>
      </c>
      <c r="D58" s="55">
        <f t="shared" si="0"/>
        <v>135135740</v>
      </c>
      <c r="F58" s="1" t="s">
        <v>679</v>
      </c>
      <c r="G58" s="17">
        <f t="shared" ca="1" si="3"/>
        <v>10644567</v>
      </c>
      <c r="H58" s="1">
        <f t="shared" ca="1" si="4"/>
        <v>687</v>
      </c>
      <c r="N58" s="31" t="s">
        <v>21</v>
      </c>
      <c r="O58" s="5">
        <v>72666</v>
      </c>
      <c r="P58" s="77">
        <v>740826306</v>
      </c>
    </row>
    <row r="59" spans="1:16" x14ac:dyDescent="0.25">
      <c r="A59" s="20" t="s">
        <v>654</v>
      </c>
      <c r="B59" s="20">
        <v>254</v>
      </c>
      <c r="C59" s="55">
        <v>8457199</v>
      </c>
      <c r="D59" s="55">
        <f t="shared" si="0"/>
        <v>2148128546</v>
      </c>
      <c r="F59" s="1" t="s">
        <v>654</v>
      </c>
      <c r="G59" s="17">
        <f t="shared" ca="1" si="3"/>
        <v>17418089</v>
      </c>
      <c r="H59" s="1">
        <f t="shared" ca="1" si="4"/>
        <v>1175</v>
      </c>
      <c r="N59" s="50"/>
    </row>
    <row r="60" spans="1:16" x14ac:dyDescent="0.25">
      <c r="A60" s="20" t="s">
        <v>624</v>
      </c>
      <c r="B60" s="20">
        <v>333</v>
      </c>
      <c r="C60" s="55">
        <v>509676</v>
      </c>
      <c r="D60" s="55">
        <f t="shared" si="0"/>
        <v>169722108</v>
      </c>
      <c r="F60" s="1" t="s">
        <v>624</v>
      </c>
      <c r="G60" s="17">
        <f t="shared" ca="1" si="3"/>
        <v>9016329</v>
      </c>
      <c r="H60" s="1">
        <f t="shared" ca="1" si="4"/>
        <v>959</v>
      </c>
      <c r="N60" s="50"/>
    </row>
    <row r="61" spans="1:16" x14ac:dyDescent="0.25">
      <c r="A61" s="20" t="s">
        <v>623</v>
      </c>
      <c r="B61" s="20">
        <v>584</v>
      </c>
      <c r="C61" s="55">
        <v>8320221</v>
      </c>
      <c r="D61" s="55">
        <f t="shared" si="0"/>
        <v>4859009064</v>
      </c>
      <c r="N61" s="50"/>
    </row>
    <row r="62" spans="1:16" x14ac:dyDescent="0.25">
      <c r="A62" s="20" t="s">
        <v>625</v>
      </c>
      <c r="B62" s="20">
        <v>805</v>
      </c>
      <c r="C62" s="55">
        <v>8017765</v>
      </c>
      <c r="D62" s="55">
        <f t="shared" si="0"/>
        <v>6454300825</v>
      </c>
      <c r="N62" s="50"/>
    </row>
    <row r="63" spans="1:16" x14ac:dyDescent="0.25">
      <c r="A63" s="20" t="s">
        <v>627</v>
      </c>
      <c r="B63" s="20">
        <v>774</v>
      </c>
      <c r="C63" s="55">
        <v>7326855</v>
      </c>
      <c r="D63" s="55">
        <f t="shared" si="0"/>
        <v>5670985770</v>
      </c>
      <c r="N63" s="50"/>
    </row>
    <row r="64" spans="1:16" x14ac:dyDescent="0.25">
      <c r="A64" s="20" t="s">
        <v>631</v>
      </c>
      <c r="B64" s="20">
        <v>628</v>
      </c>
      <c r="C64" s="55">
        <v>9288022</v>
      </c>
      <c r="D64" s="55">
        <f t="shared" si="0"/>
        <v>5832877816</v>
      </c>
      <c r="N64" s="50"/>
    </row>
    <row r="65" spans="1:14" x14ac:dyDescent="0.25">
      <c r="A65" s="20" t="s">
        <v>633</v>
      </c>
      <c r="B65" s="20">
        <v>967</v>
      </c>
      <c r="C65" s="55">
        <v>6964180</v>
      </c>
      <c r="D65" s="55">
        <f t="shared" si="0"/>
        <v>6734362060</v>
      </c>
      <c r="N65" s="50"/>
    </row>
    <row r="66" spans="1:14" x14ac:dyDescent="0.25">
      <c r="A66" s="20" t="s">
        <v>635</v>
      </c>
      <c r="B66" s="20">
        <v>841</v>
      </c>
      <c r="C66" s="55">
        <v>9380168</v>
      </c>
      <c r="D66" s="55">
        <f t="shared" si="0"/>
        <v>7888721288</v>
      </c>
      <c r="N66" s="50"/>
    </row>
    <row r="67" spans="1:14" x14ac:dyDescent="0.25">
      <c r="A67" s="20" t="s">
        <v>637</v>
      </c>
      <c r="B67" s="20">
        <v>777</v>
      </c>
      <c r="C67" s="55">
        <v>5011847</v>
      </c>
      <c r="D67" s="55">
        <f t="shared" si="0"/>
        <v>3894205119</v>
      </c>
      <c r="N67" s="50"/>
    </row>
    <row r="68" spans="1:14" x14ac:dyDescent="0.25">
      <c r="A68" s="20" t="s">
        <v>639</v>
      </c>
      <c r="B68" s="20">
        <v>675</v>
      </c>
      <c r="C68" s="55">
        <v>7855002</v>
      </c>
      <c r="D68" s="55">
        <f t="shared" ref="D68:D118" si="5">B68*C68</f>
        <v>5302126350</v>
      </c>
      <c r="N68" s="50"/>
    </row>
    <row r="69" spans="1:14" x14ac:dyDescent="0.25">
      <c r="A69" s="20" t="s">
        <v>641</v>
      </c>
      <c r="B69" s="20">
        <v>788</v>
      </c>
      <c r="C69" s="55">
        <v>7281150</v>
      </c>
      <c r="D69" s="55">
        <f t="shared" si="5"/>
        <v>5737546200</v>
      </c>
      <c r="N69" s="50"/>
    </row>
    <row r="70" spans="1:14" x14ac:dyDescent="0.25">
      <c r="A70" s="20" t="s">
        <v>643</v>
      </c>
      <c r="B70" s="20">
        <v>743</v>
      </c>
      <c r="C70" s="55">
        <v>7061563</v>
      </c>
      <c r="D70" s="55">
        <f t="shared" si="5"/>
        <v>5246741309</v>
      </c>
      <c r="N70" s="50"/>
    </row>
    <row r="71" spans="1:14" x14ac:dyDescent="0.25">
      <c r="A71" s="20" t="s">
        <v>644</v>
      </c>
      <c r="B71" s="20">
        <v>689</v>
      </c>
      <c r="C71" s="55">
        <v>7198996</v>
      </c>
      <c r="D71" s="55">
        <f t="shared" si="5"/>
        <v>4960108244</v>
      </c>
      <c r="N71" s="50"/>
    </row>
    <row r="72" spans="1:14" x14ac:dyDescent="0.25">
      <c r="A72" s="20" t="s">
        <v>636</v>
      </c>
      <c r="B72" s="20">
        <v>505</v>
      </c>
      <c r="C72" s="55">
        <v>5283311</v>
      </c>
      <c r="D72" s="55">
        <f t="shared" si="5"/>
        <v>2668072055</v>
      </c>
      <c r="N72" s="50"/>
    </row>
    <row r="73" spans="1:14" x14ac:dyDescent="0.25">
      <c r="A73" s="20" t="s">
        <v>647</v>
      </c>
      <c r="B73" s="20">
        <v>534</v>
      </c>
      <c r="C73" s="55">
        <v>8208637</v>
      </c>
      <c r="D73" s="55">
        <f t="shared" si="5"/>
        <v>4383412158</v>
      </c>
      <c r="N73" s="50"/>
    </row>
    <row r="74" spans="1:14" x14ac:dyDescent="0.25">
      <c r="A74" s="20" t="s">
        <v>649</v>
      </c>
      <c r="B74" s="20">
        <v>868</v>
      </c>
      <c r="C74" s="55">
        <v>6948167</v>
      </c>
      <c r="D74" s="55">
        <f t="shared" si="5"/>
        <v>6031008956</v>
      </c>
      <c r="N74" s="50"/>
    </row>
    <row r="75" spans="1:14" x14ac:dyDescent="0.25">
      <c r="A75" s="20" t="s">
        <v>651</v>
      </c>
      <c r="B75" s="20">
        <v>730</v>
      </c>
      <c r="C75" s="55">
        <v>7737611</v>
      </c>
      <c r="D75" s="55">
        <f t="shared" si="5"/>
        <v>5648456030</v>
      </c>
      <c r="N75" s="50"/>
    </row>
    <row r="76" spans="1:14" x14ac:dyDescent="0.25">
      <c r="A76" s="20" t="s">
        <v>653</v>
      </c>
      <c r="B76" s="20">
        <v>588</v>
      </c>
      <c r="C76" s="55">
        <v>5984990</v>
      </c>
      <c r="D76" s="55">
        <f t="shared" si="5"/>
        <v>3519174120</v>
      </c>
      <c r="N76" s="50"/>
    </row>
    <row r="77" spans="1:14" x14ac:dyDescent="0.25">
      <c r="A77" s="20" t="s">
        <v>655</v>
      </c>
      <c r="B77" s="20">
        <v>731</v>
      </c>
      <c r="C77" s="55">
        <v>5476546</v>
      </c>
      <c r="D77" s="55">
        <f t="shared" si="5"/>
        <v>4003355126</v>
      </c>
      <c r="N77" s="50"/>
    </row>
    <row r="78" spans="1:14" x14ac:dyDescent="0.25">
      <c r="A78" s="20" t="s">
        <v>656</v>
      </c>
      <c r="B78" s="20">
        <v>637</v>
      </c>
      <c r="C78" s="55">
        <v>8354489</v>
      </c>
      <c r="D78" s="55">
        <f t="shared" si="5"/>
        <v>5321809493</v>
      </c>
      <c r="N78" s="50"/>
    </row>
    <row r="79" spans="1:14" x14ac:dyDescent="0.25">
      <c r="A79" s="20" t="s">
        <v>658</v>
      </c>
      <c r="B79" s="20">
        <v>586</v>
      </c>
      <c r="C79" s="55">
        <v>9090806</v>
      </c>
      <c r="D79" s="55">
        <f t="shared" si="5"/>
        <v>5327212316</v>
      </c>
      <c r="N79" s="50"/>
    </row>
    <row r="80" spans="1:14" x14ac:dyDescent="0.25">
      <c r="A80" s="20" t="s">
        <v>659</v>
      </c>
      <c r="B80" s="20">
        <v>764</v>
      </c>
      <c r="C80" s="55">
        <v>7630563</v>
      </c>
      <c r="D80" s="55">
        <f t="shared" si="5"/>
        <v>5829750132</v>
      </c>
      <c r="N80" s="50"/>
    </row>
    <row r="81" spans="1:14" x14ac:dyDescent="0.25">
      <c r="A81" s="20" t="s">
        <v>650</v>
      </c>
      <c r="B81" s="20">
        <v>615</v>
      </c>
      <c r="C81" s="55">
        <v>7403988</v>
      </c>
      <c r="D81" s="55">
        <f t="shared" si="5"/>
        <v>4553452620</v>
      </c>
      <c r="N81" s="50"/>
    </row>
    <row r="82" spans="1:14" x14ac:dyDescent="0.25">
      <c r="A82" s="20" t="s">
        <v>660</v>
      </c>
      <c r="B82" s="20">
        <v>778</v>
      </c>
      <c r="C82" s="55">
        <v>5821586</v>
      </c>
      <c r="D82" s="55">
        <f t="shared" si="5"/>
        <v>4529193908</v>
      </c>
      <c r="N82" s="50"/>
    </row>
    <row r="83" spans="1:14" x14ac:dyDescent="0.25">
      <c r="A83" s="20" t="s">
        <v>661</v>
      </c>
      <c r="B83" s="20">
        <v>844</v>
      </c>
      <c r="C83" s="55">
        <v>8918202</v>
      </c>
      <c r="D83" s="55">
        <f t="shared" si="5"/>
        <v>7526962488</v>
      </c>
      <c r="N83" s="50"/>
    </row>
    <row r="84" spans="1:14" x14ac:dyDescent="0.25">
      <c r="A84" s="20" t="s">
        <v>626</v>
      </c>
      <c r="B84" s="20">
        <v>825</v>
      </c>
      <c r="C84" s="55">
        <v>9529642</v>
      </c>
      <c r="D84" s="55">
        <f t="shared" si="5"/>
        <v>7861954650</v>
      </c>
      <c r="N84" s="50"/>
    </row>
    <row r="85" spans="1:14" x14ac:dyDescent="0.25">
      <c r="A85" s="20" t="s">
        <v>663</v>
      </c>
      <c r="B85" s="20">
        <v>816</v>
      </c>
      <c r="C85" s="55">
        <v>5684791</v>
      </c>
      <c r="D85" s="55">
        <f t="shared" si="5"/>
        <v>4638789456</v>
      </c>
      <c r="N85" s="50"/>
    </row>
    <row r="86" spans="1:14" x14ac:dyDescent="0.25">
      <c r="A86" s="20" t="s">
        <v>664</v>
      </c>
      <c r="B86" s="20">
        <v>629</v>
      </c>
      <c r="C86" s="55">
        <v>7320495</v>
      </c>
      <c r="D86" s="55">
        <f t="shared" si="5"/>
        <v>4604591355</v>
      </c>
      <c r="N86" s="50"/>
    </row>
    <row r="87" spans="1:14" x14ac:dyDescent="0.25">
      <c r="A87" s="20" t="s">
        <v>631</v>
      </c>
      <c r="B87" s="20">
        <v>752</v>
      </c>
      <c r="C87" s="55">
        <v>5651145</v>
      </c>
      <c r="D87" s="55">
        <f t="shared" si="5"/>
        <v>4249661040</v>
      </c>
    </row>
    <row r="88" spans="1:14" x14ac:dyDescent="0.25">
      <c r="A88" s="20" t="s">
        <v>642</v>
      </c>
      <c r="B88" s="20">
        <v>568</v>
      </c>
      <c r="C88" s="55">
        <v>7299054</v>
      </c>
      <c r="D88" s="55">
        <f t="shared" si="5"/>
        <v>4145862672</v>
      </c>
    </row>
    <row r="89" spans="1:14" x14ac:dyDescent="0.25">
      <c r="A89" s="20" t="s">
        <v>666</v>
      </c>
      <c r="B89" s="20">
        <v>828</v>
      </c>
      <c r="C89" s="55">
        <v>9774730</v>
      </c>
      <c r="D89" s="55">
        <f t="shared" si="5"/>
        <v>8093476440</v>
      </c>
    </row>
    <row r="90" spans="1:14" x14ac:dyDescent="0.25">
      <c r="A90" s="20" t="s">
        <v>667</v>
      </c>
      <c r="B90" s="20">
        <v>986</v>
      </c>
      <c r="C90" s="55">
        <v>9381329</v>
      </c>
      <c r="D90" s="55">
        <f t="shared" si="5"/>
        <v>9249990394</v>
      </c>
    </row>
    <row r="91" spans="1:14" x14ac:dyDescent="0.25">
      <c r="A91" s="20" t="s">
        <v>668</v>
      </c>
      <c r="B91" s="20">
        <v>845</v>
      </c>
      <c r="C91" s="55">
        <v>6421390</v>
      </c>
      <c r="D91" s="55">
        <f t="shared" si="5"/>
        <v>5426074550</v>
      </c>
    </row>
    <row r="92" spans="1:14" x14ac:dyDescent="0.25">
      <c r="A92" s="20" t="s">
        <v>669</v>
      </c>
      <c r="B92" s="20">
        <v>680</v>
      </c>
      <c r="C92" s="55">
        <v>5753698</v>
      </c>
      <c r="D92" s="55">
        <f t="shared" si="5"/>
        <v>3912514640</v>
      </c>
    </row>
    <row r="93" spans="1:14" x14ac:dyDescent="0.25">
      <c r="A93" s="20" t="s">
        <v>652</v>
      </c>
      <c r="B93" s="20">
        <v>773</v>
      </c>
      <c r="C93" s="55">
        <v>8216119</v>
      </c>
      <c r="D93" s="55">
        <f t="shared" si="5"/>
        <v>6351059987</v>
      </c>
    </row>
    <row r="94" spans="1:14" x14ac:dyDescent="0.25">
      <c r="A94" s="20" t="s">
        <v>632</v>
      </c>
      <c r="B94" s="20">
        <v>688</v>
      </c>
      <c r="C94" s="55">
        <v>6041372</v>
      </c>
      <c r="D94" s="55">
        <f t="shared" si="5"/>
        <v>4156463936</v>
      </c>
    </row>
    <row r="95" spans="1:14" x14ac:dyDescent="0.25">
      <c r="A95" s="20" t="s">
        <v>672</v>
      </c>
      <c r="B95" s="20">
        <v>634</v>
      </c>
      <c r="C95" s="55">
        <v>5954032</v>
      </c>
      <c r="D95" s="55">
        <f t="shared" si="5"/>
        <v>3774856288</v>
      </c>
    </row>
    <row r="96" spans="1:14" x14ac:dyDescent="0.25">
      <c r="A96" s="20" t="s">
        <v>674</v>
      </c>
      <c r="B96" s="20">
        <v>791</v>
      </c>
      <c r="C96" s="55">
        <v>5475781</v>
      </c>
      <c r="D96" s="55">
        <f t="shared" si="5"/>
        <v>4331342771</v>
      </c>
    </row>
    <row r="97" spans="1:4" x14ac:dyDescent="0.25">
      <c r="A97" s="20" t="s">
        <v>665</v>
      </c>
      <c r="B97" s="20">
        <v>862</v>
      </c>
      <c r="C97" s="55">
        <v>7997558</v>
      </c>
      <c r="D97" s="55">
        <f t="shared" si="5"/>
        <v>6893894996</v>
      </c>
    </row>
    <row r="98" spans="1:4" x14ac:dyDescent="0.25">
      <c r="A98" s="20" t="s">
        <v>635</v>
      </c>
      <c r="B98" s="20">
        <v>664</v>
      </c>
      <c r="C98" s="55">
        <v>5613166</v>
      </c>
      <c r="D98" s="55">
        <f t="shared" si="5"/>
        <v>3727142224</v>
      </c>
    </row>
    <row r="99" spans="1:4" x14ac:dyDescent="0.25">
      <c r="A99" s="20" t="s">
        <v>638</v>
      </c>
      <c r="B99" s="20">
        <v>506</v>
      </c>
      <c r="C99" s="55">
        <v>7631656</v>
      </c>
      <c r="D99" s="55">
        <f t="shared" si="5"/>
        <v>3861617936</v>
      </c>
    </row>
    <row r="100" spans="1:4" x14ac:dyDescent="0.25">
      <c r="A100" s="20" t="s">
        <v>623</v>
      </c>
      <c r="B100" s="20">
        <v>786</v>
      </c>
      <c r="C100" s="55">
        <v>6433751</v>
      </c>
      <c r="D100" s="55">
        <f t="shared" si="5"/>
        <v>5056928286</v>
      </c>
    </row>
    <row r="101" spans="1:4" x14ac:dyDescent="0.25">
      <c r="A101" s="20" t="s">
        <v>646</v>
      </c>
      <c r="B101" s="20">
        <v>683</v>
      </c>
      <c r="C101" s="55">
        <v>9321894</v>
      </c>
      <c r="D101" s="55">
        <f t="shared" si="5"/>
        <v>6366853602</v>
      </c>
    </row>
    <row r="102" spans="1:4" x14ac:dyDescent="0.25">
      <c r="A102" s="20" t="s">
        <v>634</v>
      </c>
      <c r="B102" s="20">
        <v>660</v>
      </c>
      <c r="C102" s="55">
        <v>9682556</v>
      </c>
      <c r="D102" s="55">
        <f t="shared" si="5"/>
        <v>6390486960</v>
      </c>
    </row>
    <row r="103" spans="1:4" x14ac:dyDescent="0.25">
      <c r="A103" s="20" t="s">
        <v>676</v>
      </c>
      <c r="B103" s="20">
        <v>755</v>
      </c>
      <c r="C103" s="55">
        <v>7434435</v>
      </c>
      <c r="D103" s="55">
        <f t="shared" si="5"/>
        <v>5612998425</v>
      </c>
    </row>
    <row r="104" spans="1:4" x14ac:dyDescent="0.25">
      <c r="A104" s="20" t="s">
        <v>677</v>
      </c>
      <c r="B104" s="20">
        <v>701</v>
      </c>
      <c r="C104" s="55">
        <v>8266350</v>
      </c>
      <c r="D104" s="55">
        <f t="shared" si="5"/>
        <v>5794711350</v>
      </c>
    </row>
    <row r="105" spans="1:4" x14ac:dyDescent="0.25">
      <c r="A105" s="20" t="s">
        <v>675</v>
      </c>
      <c r="B105" s="20">
        <v>611</v>
      </c>
      <c r="C105" s="55">
        <v>6861020</v>
      </c>
      <c r="D105" s="55">
        <f t="shared" si="5"/>
        <v>4192083220</v>
      </c>
    </row>
    <row r="106" spans="1:4" x14ac:dyDescent="0.25">
      <c r="A106" s="20" t="s">
        <v>657</v>
      </c>
      <c r="B106" s="20">
        <v>587</v>
      </c>
      <c r="C106" s="55">
        <v>8651172</v>
      </c>
      <c r="D106" s="55">
        <f t="shared" si="5"/>
        <v>5078237964</v>
      </c>
    </row>
    <row r="107" spans="1:4" x14ac:dyDescent="0.25">
      <c r="A107" s="20" t="s">
        <v>640</v>
      </c>
      <c r="B107" s="20">
        <v>935</v>
      </c>
      <c r="C107" s="55">
        <v>9595551</v>
      </c>
      <c r="D107" s="55">
        <f t="shared" si="5"/>
        <v>8971840185</v>
      </c>
    </row>
    <row r="108" spans="1:4" x14ac:dyDescent="0.25">
      <c r="A108" s="20" t="s">
        <v>648</v>
      </c>
      <c r="B108" s="20">
        <v>850</v>
      </c>
      <c r="C108" s="55">
        <v>9941992</v>
      </c>
      <c r="D108" s="55">
        <f t="shared" si="5"/>
        <v>8450693200</v>
      </c>
    </row>
    <row r="109" spans="1:4" x14ac:dyDescent="0.25">
      <c r="A109" s="20" t="s">
        <v>645</v>
      </c>
      <c r="B109" s="20">
        <v>711</v>
      </c>
      <c r="C109" s="55">
        <v>8899175</v>
      </c>
      <c r="D109" s="55">
        <f t="shared" si="5"/>
        <v>6327313425</v>
      </c>
    </row>
    <row r="110" spans="1:4" x14ac:dyDescent="0.25">
      <c r="A110" s="20" t="s">
        <v>671</v>
      </c>
      <c r="B110" s="20">
        <v>984</v>
      </c>
      <c r="C110" s="55">
        <v>5765608</v>
      </c>
      <c r="D110" s="55">
        <f t="shared" si="5"/>
        <v>5673358272</v>
      </c>
    </row>
    <row r="111" spans="1:4" x14ac:dyDescent="0.25">
      <c r="A111" s="20" t="s">
        <v>678</v>
      </c>
      <c r="B111" s="20">
        <v>678</v>
      </c>
      <c r="C111" s="55">
        <v>7192749</v>
      </c>
      <c r="D111" s="55">
        <f t="shared" si="5"/>
        <v>4876683822</v>
      </c>
    </row>
    <row r="112" spans="1:4" x14ac:dyDescent="0.25">
      <c r="A112" s="20" t="s">
        <v>673</v>
      </c>
      <c r="B112" s="20">
        <v>525</v>
      </c>
      <c r="C112" s="55">
        <v>6268175</v>
      </c>
      <c r="D112" s="55">
        <f t="shared" si="5"/>
        <v>3290791875</v>
      </c>
    </row>
    <row r="113" spans="1:4" x14ac:dyDescent="0.25">
      <c r="A113" s="20" t="s">
        <v>630</v>
      </c>
      <c r="B113" s="20">
        <v>718</v>
      </c>
      <c r="C113" s="55">
        <v>7875540</v>
      </c>
      <c r="D113" s="55">
        <f t="shared" si="5"/>
        <v>5654637720</v>
      </c>
    </row>
    <row r="114" spans="1:4" x14ac:dyDescent="0.25">
      <c r="A114" s="20" t="s">
        <v>670</v>
      </c>
      <c r="B114" s="20">
        <v>519</v>
      </c>
      <c r="C114" s="55">
        <v>5079909</v>
      </c>
      <c r="D114" s="55">
        <f t="shared" si="5"/>
        <v>2636472771</v>
      </c>
    </row>
    <row r="115" spans="1:4" x14ac:dyDescent="0.25">
      <c r="A115" s="20" t="s">
        <v>662</v>
      </c>
      <c r="B115" s="20">
        <v>997</v>
      </c>
      <c r="C115" s="55">
        <v>9339180</v>
      </c>
      <c r="D115" s="55">
        <f t="shared" si="5"/>
        <v>9311162460</v>
      </c>
    </row>
    <row r="116" spans="1:4" x14ac:dyDescent="0.25">
      <c r="A116" s="20" t="s">
        <v>679</v>
      </c>
      <c r="B116" s="20">
        <v>565</v>
      </c>
      <c r="C116" s="55">
        <v>9536897</v>
      </c>
      <c r="D116" s="55">
        <f t="shared" si="5"/>
        <v>5388346805</v>
      </c>
    </row>
    <row r="117" spans="1:4" x14ac:dyDescent="0.25">
      <c r="A117" s="20" t="s">
        <v>654</v>
      </c>
      <c r="B117" s="20">
        <v>921</v>
      </c>
      <c r="C117" s="55">
        <v>8960890</v>
      </c>
      <c r="D117" s="55">
        <f t="shared" si="5"/>
        <v>8252979690</v>
      </c>
    </row>
    <row r="118" spans="1:4" x14ac:dyDescent="0.25">
      <c r="A118" s="20" t="s">
        <v>624</v>
      </c>
      <c r="B118" s="20">
        <v>626</v>
      </c>
      <c r="C118" s="55">
        <v>8506653</v>
      </c>
      <c r="D118" s="55">
        <f t="shared" si="5"/>
        <v>5325164778</v>
      </c>
    </row>
  </sheetData>
  <mergeCells count="1">
    <mergeCell ref="A1:D1"/>
  </mergeCells>
  <dataValidations count="2">
    <dataValidation type="list" allowBlank="1" showInputMessage="1" showErrorMessage="1" sqref="F6:F60" xr:uid="{6CABD50C-155A-4F1F-8C8D-34A8B0D9FC4C}">
      <formula1>$A$3:$A$60</formula1>
    </dataValidation>
    <dataValidation type="list" allowBlank="1" showInputMessage="1" showErrorMessage="1" sqref="J7" xr:uid="{9ECB9D71-A918-4FF4-9CBA-E391A4F5F5F1}">
      <formula1>$A$3:$A$118</formula1>
    </dataValidation>
  </dataValidation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2ED54-29F2-40AA-8AF9-EEC5E63EC9A6}">
  <sheetPr codeName="Sheet16"/>
  <dimension ref="A1:G25"/>
  <sheetViews>
    <sheetView showGridLines="0" topLeftCell="A6" zoomScaleNormal="100" workbookViewId="0">
      <selection activeCell="H6" sqref="H6"/>
    </sheetView>
  </sheetViews>
  <sheetFormatPr defaultRowHeight="15" x14ac:dyDescent="0.25"/>
  <cols>
    <col min="1" max="1" width="5.5703125" bestFit="1" customWidth="1"/>
    <col min="2" max="2" width="11" bestFit="1" customWidth="1"/>
    <col min="3" max="3" width="23.28515625" bestFit="1" customWidth="1"/>
    <col min="4" max="4" width="19.42578125" customWidth="1"/>
    <col min="5" max="5" width="11.28515625" bestFit="1" customWidth="1"/>
    <col min="6" max="6" width="26.42578125" customWidth="1"/>
    <col min="7" max="7" width="27" bestFit="1" customWidth="1"/>
  </cols>
  <sheetData>
    <row r="1" spans="1:7" ht="15.75" thickBot="1" x14ac:dyDescent="0.3">
      <c r="A1" s="480" t="s">
        <v>680</v>
      </c>
      <c r="B1" s="481"/>
      <c r="C1" s="481"/>
      <c r="D1" s="481"/>
      <c r="E1" s="481"/>
      <c r="F1" s="481"/>
      <c r="G1" s="481"/>
    </row>
    <row r="2" spans="1:7" ht="15.75" customHeight="1" thickBot="1" x14ac:dyDescent="0.3">
      <c r="A2" s="482" t="s">
        <v>681</v>
      </c>
      <c r="B2" s="478" t="s">
        <v>682</v>
      </c>
      <c r="C2" s="478" t="s">
        <v>683</v>
      </c>
      <c r="D2" s="483" t="s">
        <v>684</v>
      </c>
      <c r="E2" s="478" t="s">
        <v>685</v>
      </c>
      <c r="F2" s="476" t="s">
        <v>686</v>
      </c>
      <c r="G2" s="478" t="s">
        <v>687</v>
      </c>
    </row>
    <row r="3" spans="1:7" ht="12.75" customHeight="1" thickBot="1" x14ac:dyDescent="0.3">
      <c r="A3" s="482"/>
      <c r="B3" s="479"/>
      <c r="C3" s="479"/>
      <c r="D3" s="484"/>
      <c r="E3" s="479"/>
      <c r="F3" s="477"/>
      <c r="G3" s="479"/>
    </row>
    <row r="4" spans="1:7" ht="45.75" thickBot="1" x14ac:dyDescent="0.3">
      <c r="A4" s="60">
        <v>1</v>
      </c>
      <c r="B4" s="61" t="s">
        <v>688</v>
      </c>
      <c r="C4" s="59" t="s">
        <v>689</v>
      </c>
      <c r="D4" s="60" t="s">
        <v>690</v>
      </c>
      <c r="E4" s="69">
        <v>46178</v>
      </c>
      <c r="F4" s="62" t="s">
        <v>691</v>
      </c>
      <c r="G4" s="63" t="s">
        <v>692</v>
      </c>
    </row>
    <row r="5" spans="1:7" ht="90.75" thickBot="1" x14ac:dyDescent="0.3">
      <c r="A5" s="60">
        <v>2</v>
      </c>
      <c r="B5" s="61" t="s">
        <v>688</v>
      </c>
      <c r="C5" s="59" t="s">
        <v>693</v>
      </c>
      <c r="D5" s="60" t="s">
        <v>694</v>
      </c>
      <c r="E5" s="60" t="s">
        <v>695</v>
      </c>
      <c r="F5" s="62" t="s">
        <v>696</v>
      </c>
      <c r="G5" s="63" t="s">
        <v>697</v>
      </c>
    </row>
    <row r="6" spans="1:7" ht="60.75" thickBot="1" x14ac:dyDescent="0.3">
      <c r="A6" s="60">
        <v>3</v>
      </c>
      <c r="B6" s="61" t="s">
        <v>688</v>
      </c>
      <c r="C6" s="64" t="s">
        <v>698</v>
      </c>
      <c r="D6" s="60" t="s">
        <v>699</v>
      </c>
      <c r="E6" s="69">
        <v>46167</v>
      </c>
      <c r="F6" s="62" t="s">
        <v>696</v>
      </c>
      <c r="G6" s="63" t="s">
        <v>700</v>
      </c>
    </row>
    <row r="7" spans="1:7" ht="60.75" thickBot="1" x14ac:dyDescent="0.3">
      <c r="A7" s="60">
        <v>4</v>
      </c>
      <c r="B7" s="61" t="s">
        <v>688</v>
      </c>
      <c r="C7" s="59" t="s">
        <v>701</v>
      </c>
      <c r="D7" s="60" t="s">
        <v>281</v>
      </c>
      <c r="E7" s="60" t="s">
        <v>695</v>
      </c>
      <c r="F7" s="62" t="s">
        <v>702</v>
      </c>
      <c r="G7" s="63" t="s">
        <v>703</v>
      </c>
    </row>
    <row r="8" spans="1:7" ht="60.75" thickBot="1" x14ac:dyDescent="0.3">
      <c r="A8" s="60">
        <v>5</v>
      </c>
      <c r="B8" s="61" t="s">
        <v>688</v>
      </c>
      <c r="C8" s="59" t="s">
        <v>704</v>
      </c>
      <c r="D8" s="60" t="s">
        <v>281</v>
      </c>
      <c r="E8" s="60" t="s">
        <v>695</v>
      </c>
      <c r="F8" s="62" t="s">
        <v>702</v>
      </c>
      <c r="G8" s="63" t="s">
        <v>705</v>
      </c>
    </row>
    <row r="9" spans="1:7" ht="60.75" thickBot="1" x14ac:dyDescent="0.3">
      <c r="A9" s="60">
        <v>6</v>
      </c>
      <c r="B9" s="61" t="s">
        <v>688</v>
      </c>
      <c r="C9" s="59" t="s">
        <v>706</v>
      </c>
      <c r="D9" s="60" t="s">
        <v>281</v>
      </c>
      <c r="E9" s="69">
        <v>46146</v>
      </c>
      <c r="F9" s="62" t="s">
        <v>702</v>
      </c>
      <c r="G9" s="63"/>
    </row>
    <row r="10" spans="1:7" ht="90.75" thickBot="1" x14ac:dyDescent="0.3">
      <c r="A10" s="60">
        <v>7</v>
      </c>
      <c r="B10" s="61" t="s">
        <v>688</v>
      </c>
      <c r="C10" s="59" t="s">
        <v>707</v>
      </c>
      <c r="D10" s="60" t="s">
        <v>281</v>
      </c>
      <c r="E10" s="60" t="s">
        <v>695</v>
      </c>
      <c r="F10" s="62" t="s">
        <v>702</v>
      </c>
      <c r="G10" s="63" t="s">
        <v>708</v>
      </c>
    </row>
    <row r="11" spans="1:7" ht="60.75" thickBot="1" x14ac:dyDescent="0.3">
      <c r="A11" s="60">
        <v>8</v>
      </c>
      <c r="B11" s="61" t="s">
        <v>688</v>
      </c>
      <c r="C11" s="59" t="s">
        <v>709</v>
      </c>
      <c r="D11" s="60" t="s">
        <v>699</v>
      </c>
      <c r="E11" s="69">
        <v>46152</v>
      </c>
      <c r="F11" s="62" t="s">
        <v>696</v>
      </c>
      <c r="G11" s="63" t="s">
        <v>710</v>
      </c>
    </row>
    <row r="12" spans="1:7" ht="60.75" thickBot="1" x14ac:dyDescent="0.3">
      <c r="A12" s="60">
        <v>9</v>
      </c>
      <c r="B12" s="61" t="s">
        <v>688</v>
      </c>
      <c r="C12" s="59" t="s">
        <v>711</v>
      </c>
      <c r="D12" s="60" t="s">
        <v>243</v>
      </c>
      <c r="E12" s="69">
        <v>46147</v>
      </c>
      <c r="F12" s="62" t="s">
        <v>702</v>
      </c>
      <c r="G12" s="63" t="s">
        <v>712</v>
      </c>
    </row>
    <row r="13" spans="1:7" ht="60.75" thickBot="1" x14ac:dyDescent="0.3">
      <c r="A13" s="60">
        <v>10</v>
      </c>
      <c r="B13" s="61" t="s">
        <v>688</v>
      </c>
      <c r="C13" s="59" t="s">
        <v>713</v>
      </c>
      <c r="D13" s="60" t="s">
        <v>714</v>
      </c>
      <c r="E13" s="60" t="s">
        <v>695</v>
      </c>
      <c r="F13" s="62" t="s">
        <v>702</v>
      </c>
      <c r="G13" s="63" t="s">
        <v>715</v>
      </c>
    </row>
    <row r="14" spans="1:7" ht="60.75" thickBot="1" x14ac:dyDescent="0.3">
      <c r="A14" s="60">
        <v>11</v>
      </c>
      <c r="B14" s="61" t="s">
        <v>688</v>
      </c>
      <c r="C14" s="59" t="s">
        <v>716</v>
      </c>
      <c r="D14" s="60" t="s">
        <v>717</v>
      </c>
      <c r="E14" s="69">
        <v>46146</v>
      </c>
      <c r="F14" s="62" t="s">
        <v>702</v>
      </c>
      <c r="G14" s="63"/>
    </row>
    <row r="15" spans="1:7" ht="30.75" thickBot="1" x14ac:dyDescent="0.3">
      <c r="A15" s="60">
        <v>12</v>
      </c>
      <c r="B15" s="61" t="s">
        <v>688</v>
      </c>
      <c r="C15" s="59" t="s">
        <v>718</v>
      </c>
      <c r="D15" s="60" t="s">
        <v>714</v>
      </c>
      <c r="E15" s="69">
        <v>46149</v>
      </c>
      <c r="F15" s="62" t="s">
        <v>702</v>
      </c>
      <c r="G15" s="63"/>
    </row>
    <row r="16" spans="1:7" ht="60.75" thickBot="1" x14ac:dyDescent="0.3">
      <c r="A16" s="60">
        <v>13</v>
      </c>
      <c r="B16" s="61" t="s">
        <v>688</v>
      </c>
      <c r="C16" s="59" t="s">
        <v>719</v>
      </c>
      <c r="D16" s="63" t="s">
        <v>720</v>
      </c>
      <c r="E16" s="60" t="s">
        <v>695</v>
      </c>
      <c r="F16" s="62" t="s">
        <v>702</v>
      </c>
      <c r="G16" s="63" t="s">
        <v>721</v>
      </c>
    </row>
    <row r="17" spans="1:7" ht="60.75" thickBot="1" x14ac:dyDescent="0.3">
      <c r="A17" s="60">
        <v>14</v>
      </c>
      <c r="B17" s="61" t="s">
        <v>688</v>
      </c>
      <c r="C17" s="59" t="s">
        <v>722</v>
      </c>
      <c r="D17" s="63" t="s">
        <v>723</v>
      </c>
      <c r="E17" s="69">
        <v>46146</v>
      </c>
      <c r="F17" s="62" t="s">
        <v>702</v>
      </c>
      <c r="G17" s="63" t="s">
        <v>724</v>
      </c>
    </row>
    <row r="18" spans="1:7" ht="75.75" thickBot="1" x14ac:dyDescent="0.3">
      <c r="A18" s="60">
        <v>15</v>
      </c>
      <c r="B18" s="61" t="s">
        <v>688</v>
      </c>
      <c r="C18" s="59" t="s">
        <v>725</v>
      </c>
      <c r="D18" s="66" t="s">
        <v>714</v>
      </c>
      <c r="E18" s="69">
        <v>46157</v>
      </c>
      <c r="F18" s="62" t="s">
        <v>702</v>
      </c>
      <c r="G18" s="63" t="s">
        <v>726</v>
      </c>
    </row>
    <row r="19" spans="1:7" ht="30.75" thickBot="1" x14ac:dyDescent="0.3">
      <c r="A19" s="60">
        <v>16</v>
      </c>
      <c r="B19" s="61" t="s">
        <v>688</v>
      </c>
      <c r="C19" s="59" t="s">
        <v>727</v>
      </c>
      <c r="D19" s="66" t="s">
        <v>728</v>
      </c>
      <c r="E19" s="69">
        <v>46144</v>
      </c>
      <c r="F19" s="62" t="s">
        <v>702</v>
      </c>
      <c r="G19" s="63" t="s">
        <v>729</v>
      </c>
    </row>
    <row r="20" spans="1:7" ht="45.75" thickBot="1" x14ac:dyDescent="0.3">
      <c r="A20" s="60">
        <v>17</v>
      </c>
      <c r="B20" s="61" t="s">
        <v>688</v>
      </c>
      <c r="C20" s="59" t="s">
        <v>730</v>
      </c>
      <c r="D20" s="66" t="s">
        <v>731</v>
      </c>
      <c r="E20" s="58"/>
      <c r="F20" s="62" t="s">
        <v>702</v>
      </c>
      <c r="G20" s="63" t="s">
        <v>732</v>
      </c>
    </row>
    <row r="21" spans="1:7" ht="60.75" thickBot="1" x14ac:dyDescent="0.3">
      <c r="A21" s="60">
        <v>18</v>
      </c>
      <c r="B21" s="61" t="s">
        <v>688</v>
      </c>
      <c r="C21" s="59" t="s">
        <v>733</v>
      </c>
      <c r="D21" s="66" t="s">
        <v>734</v>
      </c>
      <c r="E21" s="65">
        <v>46167</v>
      </c>
      <c r="F21" s="62" t="s">
        <v>691</v>
      </c>
      <c r="G21" s="63" t="s">
        <v>735</v>
      </c>
    </row>
    <row r="22" spans="1:7" ht="60.75" thickBot="1" x14ac:dyDescent="0.3">
      <c r="A22" s="60">
        <v>19</v>
      </c>
      <c r="B22" s="61" t="s">
        <v>688</v>
      </c>
      <c r="C22" s="59" t="s">
        <v>736</v>
      </c>
      <c r="D22" s="66" t="s">
        <v>728</v>
      </c>
      <c r="E22" s="60" t="s">
        <v>695</v>
      </c>
      <c r="F22" s="62" t="s">
        <v>702</v>
      </c>
      <c r="G22" s="63" t="s">
        <v>737</v>
      </c>
    </row>
    <row r="23" spans="1:7" ht="75.75" thickBot="1" x14ac:dyDescent="0.3">
      <c r="A23" s="60">
        <v>20</v>
      </c>
      <c r="B23" s="61" t="s">
        <v>688</v>
      </c>
      <c r="C23" s="59" t="s">
        <v>738</v>
      </c>
      <c r="D23" s="66" t="s">
        <v>699</v>
      </c>
      <c r="E23" s="69">
        <v>46157</v>
      </c>
      <c r="F23" s="62" t="s">
        <v>702</v>
      </c>
      <c r="G23" s="63" t="s">
        <v>739</v>
      </c>
    </row>
    <row r="24" spans="1:7" ht="60.75" thickBot="1" x14ac:dyDescent="0.3">
      <c r="A24" s="60">
        <v>21</v>
      </c>
      <c r="B24" s="61" t="s">
        <v>688</v>
      </c>
      <c r="C24" s="70" t="s">
        <v>740</v>
      </c>
      <c r="D24" s="66" t="s">
        <v>699</v>
      </c>
      <c r="E24" s="69">
        <v>46167</v>
      </c>
      <c r="F24" s="62" t="s">
        <v>696</v>
      </c>
      <c r="G24" s="63" t="s">
        <v>741</v>
      </c>
    </row>
    <row r="25" spans="1:7" x14ac:dyDescent="0.25">
      <c r="F25" s="67"/>
      <c r="G25" s="68"/>
    </row>
  </sheetData>
  <mergeCells count="8">
    <mergeCell ref="F2:F3"/>
    <mergeCell ref="G2:G3"/>
    <mergeCell ref="A1:G1"/>
    <mergeCell ref="A2:A3"/>
    <mergeCell ref="B2:B3"/>
    <mergeCell ref="C2:C3"/>
    <mergeCell ref="D2:D3"/>
    <mergeCell ref="E2:E3"/>
  </mergeCells>
  <dataValidations count="1">
    <dataValidation type="list" allowBlank="1" showInputMessage="1" showErrorMessage="1" sqref="F4:F24" xr:uid="{0B88D9E1-103D-4CD9-B154-58B8B6F62BCE}">
      <formula1>"Open, Closed, WIP, Hold"</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BBA8A-72B0-4BEC-97A7-79C9F7DE8BA0}">
  <sheetPr codeName="Sheet17"/>
  <dimension ref="A1:Q26"/>
  <sheetViews>
    <sheetView zoomScaleNormal="100" workbookViewId="0">
      <selection activeCell="C16" sqref="C16"/>
    </sheetView>
  </sheetViews>
  <sheetFormatPr defaultRowHeight="15" x14ac:dyDescent="0.25"/>
  <cols>
    <col min="1" max="1" width="21" customWidth="1"/>
    <col min="2" max="2" width="17.140625" customWidth="1"/>
    <col min="3" max="3" width="13.28515625" customWidth="1"/>
    <col min="4" max="4" width="9.140625" bestFit="1" customWidth="1"/>
    <col min="5" max="5" width="7.28515625" bestFit="1" customWidth="1"/>
    <col min="6" max="6" width="21" customWidth="1"/>
    <col min="7" max="9" width="15.28515625" customWidth="1"/>
    <col min="11" max="11" width="21" customWidth="1"/>
    <col min="12" max="12" width="22.85546875" customWidth="1"/>
    <col min="14" max="17" width="17.140625" customWidth="1"/>
  </cols>
  <sheetData>
    <row r="1" spans="1:17" ht="21.95" customHeight="1" x14ac:dyDescent="0.25">
      <c r="A1" s="71" t="s">
        <v>583</v>
      </c>
      <c r="B1" s="71" t="s">
        <v>742</v>
      </c>
      <c r="C1" s="71" t="s">
        <v>743</v>
      </c>
      <c r="D1" s="427" t="s">
        <v>496</v>
      </c>
      <c r="E1" s="117" t="s">
        <v>941</v>
      </c>
    </row>
    <row r="2" spans="1:17" ht="42" customHeight="1" x14ac:dyDescent="0.25">
      <c r="A2" s="72" t="s">
        <v>744</v>
      </c>
      <c r="B2" s="20" t="s">
        <v>57</v>
      </c>
      <c r="C2" s="20" t="s">
        <v>745</v>
      </c>
      <c r="D2" s="428">
        <v>8299545</v>
      </c>
      <c r="F2" s="429" t="s">
        <v>583</v>
      </c>
      <c r="G2" s="71" t="s">
        <v>742</v>
      </c>
      <c r="H2" s="71" t="s">
        <v>743</v>
      </c>
      <c r="I2" s="418" t="s">
        <v>496</v>
      </c>
    </row>
    <row r="3" spans="1:17" ht="42" customHeight="1" x14ac:dyDescent="0.25">
      <c r="A3" s="72" t="s">
        <v>746</v>
      </c>
      <c r="B3" s="20" t="s">
        <v>66</v>
      </c>
      <c r="C3" s="20" t="s">
        <v>747</v>
      </c>
      <c r="D3" s="428">
        <v>5848280</v>
      </c>
      <c r="F3" s="430" t="s">
        <v>744</v>
      </c>
      <c r="G3" s="1" t="str">
        <f>VLOOKUP(F3,A2:D11,2,0)</f>
        <v>tushar</v>
      </c>
      <c r="H3" s="1" t="str">
        <f>VLOOKUP(F3,A2:D11,3,0)</f>
        <v>south</v>
      </c>
      <c r="I3" s="419">
        <f>VLOOKUP(F3,A2:D11,4,0)</f>
        <v>8299545</v>
      </c>
      <c r="N3" s="87" t="s">
        <v>892</v>
      </c>
      <c r="O3" s="87" t="s">
        <v>759</v>
      </c>
      <c r="P3" s="421" t="s">
        <v>893</v>
      </c>
      <c r="Q3" s="87" t="s">
        <v>894</v>
      </c>
    </row>
    <row r="4" spans="1:17" ht="42" customHeight="1" x14ac:dyDescent="0.25">
      <c r="A4" s="72" t="s">
        <v>748</v>
      </c>
      <c r="B4" s="20" t="s">
        <v>73</v>
      </c>
      <c r="C4" s="20" t="s">
        <v>749</v>
      </c>
      <c r="D4" s="428">
        <v>4767706</v>
      </c>
      <c r="I4" s="420"/>
      <c r="K4" s="71" t="s">
        <v>583</v>
      </c>
      <c r="L4" s="1" t="s">
        <v>746</v>
      </c>
      <c r="N4" s="1">
        <v>1000</v>
      </c>
      <c r="O4" s="1" t="s">
        <v>57</v>
      </c>
      <c r="P4" s="419">
        <v>25000</v>
      </c>
      <c r="Q4" s="1" t="s">
        <v>895</v>
      </c>
    </row>
    <row r="5" spans="1:17" ht="42" customHeight="1" x14ac:dyDescent="0.25">
      <c r="A5" s="72" t="s">
        <v>750</v>
      </c>
      <c r="B5" s="20" t="s">
        <v>79</v>
      </c>
      <c r="C5" s="20" t="s">
        <v>751</v>
      </c>
      <c r="D5" s="428">
        <v>7533810</v>
      </c>
      <c r="I5" s="420"/>
      <c r="K5" s="71" t="s">
        <v>742</v>
      </c>
      <c r="L5" s="1" t="str">
        <f>HLOOKUP(B2,A2:D11,1,0)</f>
        <v>tushar</v>
      </c>
      <c r="N5" s="1">
        <v>1001</v>
      </c>
      <c r="O5" s="1" t="s">
        <v>62</v>
      </c>
      <c r="P5" s="419">
        <v>30000</v>
      </c>
      <c r="Q5" s="1" t="s">
        <v>895</v>
      </c>
    </row>
    <row r="6" spans="1:17" ht="18" customHeight="1" x14ac:dyDescent="0.25">
      <c r="A6" s="72" t="s">
        <v>752</v>
      </c>
      <c r="B6" s="20" t="s">
        <v>85</v>
      </c>
      <c r="C6" s="20" t="s">
        <v>751</v>
      </c>
      <c r="D6" s="428">
        <v>5045362</v>
      </c>
      <c r="I6" s="420"/>
      <c r="K6" s="71" t="s">
        <v>743</v>
      </c>
      <c r="L6" s="1" t="str">
        <f>HLOOKUP(C2,A2:D11,1,0)</f>
        <v>south</v>
      </c>
      <c r="P6" s="420"/>
    </row>
    <row r="7" spans="1:17" ht="18" customHeight="1" x14ac:dyDescent="0.25">
      <c r="A7" s="72" t="s">
        <v>753</v>
      </c>
      <c r="B7" s="20" t="s">
        <v>92</v>
      </c>
      <c r="C7" s="20" t="s">
        <v>747</v>
      </c>
      <c r="D7" s="428">
        <v>5100379</v>
      </c>
      <c r="I7" s="420"/>
      <c r="K7" s="71" t="s">
        <v>496</v>
      </c>
      <c r="L7" s="17">
        <f>HLOOKUP(D2,A2:D11,1,0)</f>
        <v>8299545</v>
      </c>
      <c r="P7" s="420"/>
    </row>
    <row r="8" spans="1:17" ht="18" customHeight="1" x14ac:dyDescent="0.25">
      <c r="A8" s="72" t="s">
        <v>754</v>
      </c>
      <c r="B8" s="20" t="s">
        <v>98</v>
      </c>
      <c r="C8" s="20" t="s">
        <v>749</v>
      </c>
      <c r="D8" s="428">
        <v>5947365</v>
      </c>
      <c r="I8" s="420"/>
      <c r="P8" s="420"/>
    </row>
    <row r="9" spans="1:17" ht="18" customHeight="1" x14ac:dyDescent="0.25">
      <c r="A9" s="72" t="s">
        <v>755</v>
      </c>
      <c r="B9" s="20" t="s">
        <v>104</v>
      </c>
      <c r="C9" s="20" t="s">
        <v>745</v>
      </c>
      <c r="D9" s="428">
        <v>3440319</v>
      </c>
      <c r="I9" s="420"/>
      <c r="N9" s="86" t="s">
        <v>892</v>
      </c>
      <c r="O9" s="86" t="s">
        <v>759</v>
      </c>
      <c r="P9" s="422" t="s">
        <v>893</v>
      </c>
      <c r="Q9" s="86" t="s">
        <v>894</v>
      </c>
    </row>
    <row r="10" spans="1:17" ht="18" customHeight="1" x14ac:dyDescent="0.25">
      <c r="A10" s="72" t="s">
        <v>756</v>
      </c>
      <c r="B10" s="20" t="s">
        <v>111</v>
      </c>
      <c r="C10" s="20" t="s">
        <v>749</v>
      </c>
      <c r="D10" s="428">
        <v>5020799</v>
      </c>
      <c r="F10" s="429" t="s">
        <v>583</v>
      </c>
      <c r="G10" s="71" t="s">
        <v>742</v>
      </c>
      <c r="H10" s="71" t="s">
        <v>743</v>
      </c>
      <c r="I10" s="418" t="s">
        <v>496</v>
      </c>
      <c r="N10" s="1">
        <v>1000</v>
      </c>
      <c r="O10" s="1" t="str" cm="1">
        <f t="array" ref="O10:Q10">_xlfn.XLOOKUP(N10,N4:N5,O4:Q5)</f>
        <v>tushar</v>
      </c>
      <c r="P10" s="419">
        <v>25000</v>
      </c>
      <c r="Q10" s="1" t="str">
        <v>HR</v>
      </c>
    </row>
    <row r="11" spans="1:17" ht="18" customHeight="1" x14ac:dyDescent="0.25">
      <c r="A11" s="72" t="s">
        <v>757</v>
      </c>
      <c r="B11" s="20" t="s">
        <v>117</v>
      </c>
      <c r="C11" s="20" t="s">
        <v>749</v>
      </c>
      <c r="D11" s="428">
        <v>3280729</v>
      </c>
      <c r="F11" s="430" t="s">
        <v>753</v>
      </c>
      <c r="G11" s="1" t="str">
        <f>DGET($A$1:$D$11,B1,$F$10:$F$11)</f>
        <v>Vivaan</v>
      </c>
      <c r="H11" s="1" t="str">
        <f>DGET($A$1:$D$11,C1,F10:F11)</f>
        <v>west</v>
      </c>
      <c r="I11" s="419">
        <f>DGET($A$1:$D$11,D1,$F$10:$F$11)</f>
        <v>5100379</v>
      </c>
      <c r="P11" s="420"/>
    </row>
    <row r="12" spans="1:17" ht="18" customHeight="1" x14ac:dyDescent="0.25">
      <c r="I12" s="420"/>
      <c r="K12" t="str">
        <f>HLOOKUP(B2,A2:D11,1,0)</f>
        <v>tushar</v>
      </c>
    </row>
    <row r="13" spans="1:17" ht="18" customHeight="1" x14ac:dyDescent="0.25">
      <c r="F13" s="423"/>
      <c r="I13" s="420"/>
    </row>
    <row r="14" spans="1:17" ht="18" customHeight="1" x14ac:dyDescent="0.25">
      <c r="F14" s="431" t="s">
        <v>583</v>
      </c>
      <c r="G14" s="71" t="s">
        <v>742</v>
      </c>
      <c r="H14" s="71" t="s">
        <v>743</v>
      </c>
      <c r="I14" s="418" t="s">
        <v>496</v>
      </c>
    </row>
    <row r="15" spans="1:17" ht="18" customHeight="1" x14ac:dyDescent="0.25">
      <c r="F15" s="432" t="s">
        <v>744</v>
      </c>
      <c r="G15" s="1" t="str" cm="1">
        <f t="array" ref="G15:I15">VLOOKUP(F15,A1:D11,{2,3,4},0)</f>
        <v>tushar</v>
      </c>
      <c r="H15" s="1" t="str">
        <v>south</v>
      </c>
      <c r="I15" s="419">
        <v>8299545</v>
      </c>
      <c r="N15" t="str">
        <f>INDEX(A2:A11,1)</f>
        <v>T001</v>
      </c>
    </row>
    <row r="16" spans="1:17" ht="18" customHeight="1" x14ac:dyDescent="0.25">
      <c r="I16" s="420"/>
    </row>
    <row r="17" spans="6:12" ht="18" customHeight="1" x14ac:dyDescent="0.25">
      <c r="F17" s="429" t="s">
        <v>583</v>
      </c>
      <c r="G17" s="71" t="s">
        <v>742</v>
      </c>
      <c r="H17" s="71" t="s">
        <v>743</v>
      </c>
      <c r="I17" s="418" t="s">
        <v>496</v>
      </c>
    </row>
    <row r="18" spans="6:12" ht="18" customHeight="1" x14ac:dyDescent="0.25">
      <c r="F18" s="430" t="s">
        <v>744</v>
      </c>
      <c r="G18" s="1" t="str" cm="1">
        <f t="array" ref="G18:I18">_xlfn.XLOOKUP(F18,A2:A11,B2:D11)</f>
        <v>tushar</v>
      </c>
      <c r="H18" s="1" t="str">
        <v>south</v>
      </c>
      <c r="I18" s="419">
        <v>8299545</v>
      </c>
    </row>
    <row r="19" spans="6:12" ht="18" customHeight="1" x14ac:dyDescent="0.25"/>
    <row r="20" spans="6:12" ht="20.100000000000001" customHeight="1" x14ac:dyDescent="0.25">
      <c r="K20" s="485" t="s">
        <v>2509</v>
      </c>
      <c r="L20" s="485"/>
    </row>
    <row r="21" spans="6:12" ht="20.100000000000001" customHeight="1" x14ac:dyDescent="0.25">
      <c r="K21" s="426" t="s">
        <v>2510</v>
      </c>
      <c r="L21" s="424" t="s">
        <v>748</v>
      </c>
    </row>
    <row r="22" spans="6:12" ht="20.100000000000001" customHeight="1" x14ac:dyDescent="0.25">
      <c r="K22" s="426" t="s">
        <v>627</v>
      </c>
      <c r="L22" s="50" t="s">
        <v>73</v>
      </c>
    </row>
    <row r="23" spans="6:12" ht="71.25" customHeight="1" x14ac:dyDescent="0.25">
      <c r="K23" s="426" t="s">
        <v>2511</v>
      </c>
      <c r="L23" s="425" t="s">
        <v>2512</v>
      </c>
    </row>
    <row r="24" spans="6:12" ht="26.1" customHeight="1" x14ac:dyDescent="0.25"/>
    <row r="25" spans="6:12" ht="26.1" customHeight="1" x14ac:dyDescent="0.25"/>
    <row r="26" spans="6:12" ht="27.95" customHeight="1" x14ac:dyDescent="0.25"/>
  </sheetData>
  <mergeCells count="1">
    <mergeCell ref="K20:L20"/>
  </mergeCells>
  <dataValidations count="1">
    <dataValidation type="list" allowBlank="1" showInputMessage="1" showErrorMessage="1" sqref="L21" xr:uid="{E1945F4B-8D68-4A59-AD47-67C7BDC9D7C2}">
      <formula1>$A$2:$A$11</formula1>
    </dataValidation>
  </dataValidations>
  <pageMargins left="0.7" right="0.7" top="0.75" bottom="0.75" header="0.3" footer="0.3"/>
  <ignoredErrors>
    <ignoredError sqref="H11" formula="1"/>
  </ignoredError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529A4-3369-405D-89DF-9172B72D9503}">
  <sheetPr codeName="Sheet18"/>
  <dimension ref="A1:Q117"/>
  <sheetViews>
    <sheetView workbookViewId="0">
      <selection activeCell="S8" sqref="S8"/>
    </sheetView>
  </sheetViews>
  <sheetFormatPr defaultRowHeight="15" x14ac:dyDescent="0.25"/>
  <cols>
    <col min="1" max="1" width="16.140625" bestFit="1" customWidth="1"/>
    <col min="2" max="2" width="7.85546875" bestFit="1" customWidth="1"/>
    <col min="3" max="3" width="6" bestFit="1" customWidth="1"/>
    <col min="4" max="4" width="12.28515625" bestFit="1" customWidth="1"/>
    <col min="7" max="7" width="53.140625" bestFit="1" customWidth="1"/>
    <col min="9" max="9" width="8" bestFit="1" customWidth="1"/>
    <col min="10" max="10" width="7.85546875" bestFit="1" customWidth="1"/>
    <col min="11" max="11" width="20.28515625" bestFit="1" customWidth="1"/>
    <col min="12" max="12" width="7.140625" bestFit="1" customWidth="1"/>
    <col min="14" max="14" width="8" bestFit="1" customWidth="1"/>
    <col min="15" max="15" width="7.85546875" bestFit="1" customWidth="1"/>
    <col min="16" max="16" width="20.28515625" bestFit="1" customWidth="1"/>
    <col min="17" max="17" width="7.140625" bestFit="1" customWidth="1"/>
  </cols>
  <sheetData>
    <row r="1" spans="1:17" x14ac:dyDescent="0.25">
      <c r="A1" s="71" t="s">
        <v>583</v>
      </c>
      <c r="B1" s="71" t="s">
        <v>742</v>
      </c>
      <c r="C1" s="71" t="s">
        <v>743</v>
      </c>
      <c r="D1" s="71" t="s">
        <v>496</v>
      </c>
    </row>
    <row r="2" spans="1:17" x14ac:dyDescent="0.25">
      <c r="A2" s="72" t="s">
        <v>744</v>
      </c>
      <c r="B2" s="1" t="str" cm="1">
        <f t="array" ref="B2:D2">VLOOKUP(A2,'V,H&amp;Xlookup'!A2:D11,{2,3,4},0)</f>
        <v>tushar</v>
      </c>
      <c r="C2" s="1" t="str">
        <v>south</v>
      </c>
      <c r="D2" s="17">
        <v>8299545</v>
      </c>
    </row>
    <row r="3" spans="1:17" x14ac:dyDescent="0.25">
      <c r="A3" s="72" t="s">
        <v>746</v>
      </c>
      <c r="B3" s="1" t="str" cm="1">
        <f t="array" ref="B3:D3">VLOOKUP(A3,'V,H&amp;Xlookup'!A3:D12,{2,3,4},0)</f>
        <v>sahil</v>
      </c>
      <c r="C3" s="1" t="str">
        <v>west</v>
      </c>
      <c r="D3" s="17">
        <v>5848280</v>
      </c>
    </row>
    <row r="4" spans="1:17" x14ac:dyDescent="0.25">
      <c r="A4" s="72" t="s">
        <v>748</v>
      </c>
      <c r="B4" s="1" t="str" cm="1">
        <f t="array" ref="B4:D4">VLOOKUP(A4,'V,H&amp;Xlookup'!A4:D13,{2,3,4},0)</f>
        <v>prakash</v>
      </c>
      <c r="C4" s="1" t="str">
        <v>north</v>
      </c>
      <c r="D4" s="17">
        <v>4767706</v>
      </c>
      <c r="G4" t="s">
        <v>758</v>
      </c>
    </row>
    <row r="5" spans="1:17" x14ac:dyDescent="0.25">
      <c r="A5" s="72" t="s">
        <v>750</v>
      </c>
      <c r="B5" s="1" t="str" cm="1">
        <f t="array" ref="B5:D5">VLOOKUP(A5,'V,H&amp;Xlookup'!A5:D14,{2,3,4},0)</f>
        <v>chirag</v>
      </c>
      <c r="C5" s="1" t="str">
        <v>east</v>
      </c>
      <c r="D5" s="17">
        <v>7533810</v>
      </c>
      <c r="I5" s="74" t="s">
        <v>759</v>
      </c>
      <c r="J5" s="74" t="s">
        <v>760</v>
      </c>
      <c r="K5" s="74" t="s">
        <v>761</v>
      </c>
      <c r="L5" s="74" t="s">
        <v>762</v>
      </c>
      <c r="M5" s="22"/>
      <c r="N5" s="74" t="s">
        <v>759</v>
      </c>
      <c r="O5" s="74" t="s">
        <v>760</v>
      </c>
      <c r="P5" s="74" t="s">
        <v>761</v>
      </c>
      <c r="Q5" s="74" t="s">
        <v>762</v>
      </c>
    </row>
    <row r="6" spans="1:17" x14ac:dyDescent="0.25">
      <c r="A6" s="72" t="s">
        <v>752</v>
      </c>
      <c r="B6" s="1" t="str" cm="1">
        <f t="array" ref="B6:D6">VLOOKUP(A6,'V,H&amp;Xlookup'!A6:D15,{2,3,4},0)</f>
        <v>Aarav</v>
      </c>
      <c r="C6" s="1" t="str">
        <v>east</v>
      </c>
      <c r="D6" s="17">
        <v>5045362</v>
      </c>
      <c r="I6" s="1" t="s">
        <v>763</v>
      </c>
      <c r="J6" s="1" t="s">
        <v>764</v>
      </c>
      <c r="K6" s="1" t="s">
        <v>61</v>
      </c>
      <c r="L6" s="20">
        <v>87</v>
      </c>
      <c r="N6" t="str" cm="1">
        <f t="array" ref="N6:Q117">_xlfn._xlws.FILTER(I6:L117,LEFT(K6:K117,LEN(N3))=N3)</f>
        <v>TUSHAR</v>
      </c>
      <c r="O6" t="str">
        <v>EAST</v>
      </c>
      <c r="P6" t="str">
        <v>tv</v>
      </c>
      <c r="Q6">
        <v>87</v>
      </c>
    </row>
    <row r="7" spans="1:17" x14ac:dyDescent="0.25">
      <c r="A7" s="72" t="s">
        <v>753</v>
      </c>
      <c r="B7" s="1" t="str" cm="1">
        <f t="array" ref="B7:D7">VLOOKUP(A7,'V,H&amp;Xlookup'!A7:D16,{2,3,4},0)</f>
        <v>Vivaan</v>
      </c>
      <c r="C7" s="1" t="str">
        <v>west</v>
      </c>
      <c r="D7" s="17">
        <v>5100379</v>
      </c>
      <c r="I7" s="1" t="str">
        <f t="shared" ref="I7:J9" si="0">I6</f>
        <v>TUSHAR</v>
      </c>
      <c r="J7" s="1" t="str">
        <f t="shared" si="0"/>
        <v>EAST</v>
      </c>
      <c r="K7" s="1" t="s">
        <v>68</v>
      </c>
      <c r="L7" s="20">
        <v>59</v>
      </c>
      <c r="N7" t="str">
        <v>TUSHAR</v>
      </c>
      <c r="O7" t="str">
        <v>EAST</v>
      </c>
      <c r="P7" t="str">
        <v>stove</v>
      </c>
      <c r="Q7">
        <v>59</v>
      </c>
    </row>
    <row r="8" spans="1:17" x14ac:dyDescent="0.25">
      <c r="A8" s="72" t="s">
        <v>754</v>
      </c>
      <c r="B8" s="1" t="str" cm="1">
        <f t="array" ref="B8:D8">VLOOKUP(A8,'V,H&amp;Xlookup'!A8:D17,{2,3,4},0)</f>
        <v>Aditya</v>
      </c>
      <c r="C8" s="1" t="str">
        <v>north</v>
      </c>
      <c r="D8" s="17">
        <v>5947365</v>
      </c>
      <c r="I8" s="1" t="str">
        <f t="shared" si="0"/>
        <v>TUSHAR</v>
      </c>
      <c r="J8" s="1" t="str">
        <f t="shared" si="0"/>
        <v>EAST</v>
      </c>
      <c r="K8" s="1" t="s">
        <v>1</v>
      </c>
      <c r="L8" s="20">
        <v>76</v>
      </c>
      <c r="N8" t="str">
        <v>TUSHAR</v>
      </c>
      <c r="O8" t="str">
        <v>EAST</v>
      </c>
      <c r="P8" t="str">
        <v>maths</v>
      </c>
      <c r="Q8">
        <v>76</v>
      </c>
    </row>
    <row r="9" spans="1:17" x14ac:dyDescent="0.25">
      <c r="A9" s="72" t="s">
        <v>755</v>
      </c>
      <c r="B9" s="1" t="str" cm="1">
        <f t="array" ref="B9:D9">VLOOKUP(A9,'V,H&amp;Xlookup'!A9:D18,{2,3,4},0)</f>
        <v>Arjun</v>
      </c>
      <c r="C9" s="1" t="str">
        <v>south</v>
      </c>
      <c r="D9" s="17">
        <v>3440319</v>
      </c>
      <c r="I9" s="1" t="str">
        <f t="shared" si="0"/>
        <v>TUSHAR</v>
      </c>
      <c r="J9" s="1" t="str">
        <f t="shared" si="0"/>
        <v>EAST</v>
      </c>
      <c r="K9" s="1" t="s">
        <v>80</v>
      </c>
      <c r="L9" s="20">
        <v>15</v>
      </c>
      <c r="N9" t="str">
        <v>TUSHAR</v>
      </c>
      <c r="O9" t="str">
        <v>EAST</v>
      </c>
      <c r="P9" t="str">
        <v>laptop</v>
      </c>
      <c r="Q9">
        <v>15</v>
      </c>
    </row>
    <row r="10" spans="1:17" x14ac:dyDescent="0.25">
      <c r="A10" s="72" t="s">
        <v>756</v>
      </c>
      <c r="B10" s="1" t="str" cm="1">
        <f t="array" ref="B10:D10">VLOOKUP(A10,'V,H&amp;Xlookup'!A10:D19,{2,3,4},0)</f>
        <v>Krishna</v>
      </c>
      <c r="C10" s="1" t="str">
        <v>north</v>
      </c>
      <c r="D10" s="17">
        <v>5020799</v>
      </c>
      <c r="I10" s="1" t="s">
        <v>765</v>
      </c>
      <c r="J10" s="1" t="s">
        <v>766</v>
      </c>
      <c r="K10" s="1" t="s">
        <v>87</v>
      </c>
      <c r="L10" s="20">
        <v>59</v>
      </c>
      <c r="N10" t="str">
        <v>NAINA</v>
      </c>
      <c r="O10" t="str">
        <v>SOUTH</v>
      </c>
      <c r="P10" t="str">
        <v>cardboard</v>
      </c>
      <c r="Q10">
        <v>59</v>
      </c>
    </row>
    <row r="11" spans="1:17" x14ac:dyDescent="0.25">
      <c r="A11" s="72" t="s">
        <v>757</v>
      </c>
      <c r="B11" s="1" t="str" cm="1">
        <f t="array" ref="B11:D11">VLOOKUP(A11,'V,H&amp;Xlookup'!A11:D20,{2,3,4},0)</f>
        <v>Rohan</v>
      </c>
      <c r="C11" s="1" t="str">
        <v>north</v>
      </c>
      <c r="D11" s="17">
        <v>3280729</v>
      </c>
      <c r="I11" s="1" t="str">
        <f t="shared" ref="I11:J13" si="1">I10</f>
        <v>NAINA</v>
      </c>
      <c r="J11" s="1" t="str">
        <f t="shared" si="1"/>
        <v>SOUTH</v>
      </c>
      <c r="K11" s="1" t="s">
        <v>93</v>
      </c>
      <c r="L11" s="20">
        <v>84</v>
      </c>
      <c r="N11" t="str">
        <v>NAINA</v>
      </c>
      <c r="O11" t="str">
        <v>SOUTH</v>
      </c>
      <c r="P11" t="str">
        <v>mouse</v>
      </c>
      <c r="Q11">
        <v>84</v>
      </c>
    </row>
    <row r="12" spans="1:17" x14ac:dyDescent="0.25">
      <c r="I12" s="1" t="str">
        <f t="shared" si="1"/>
        <v>NAINA</v>
      </c>
      <c r="J12" s="1" t="str">
        <f t="shared" si="1"/>
        <v>SOUTH</v>
      </c>
      <c r="K12" s="1" t="s">
        <v>99</v>
      </c>
      <c r="L12" s="20">
        <v>10</v>
      </c>
      <c r="N12" t="str">
        <v>NAINA</v>
      </c>
      <c r="O12" t="str">
        <v>SOUTH</v>
      </c>
      <c r="P12" t="str">
        <v>copies</v>
      </c>
      <c r="Q12">
        <v>10</v>
      </c>
    </row>
    <row r="13" spans="1:17" x14ac:dyDescent="0.25">
      <c r="I13" s="1" t="str">
        <f t="shared" si="1"/>
        <v>NAINA</v>
      </c>
      <c r="J13" s="1" t="str">
        <f t="shared" si="1"/>
        <v>SOUTH</v>
      </c>
      <c r="K13" s="1" t="s">
        <v>106</v>
      </c>
      <c r="L13" s="20">
        <v>50</v>
      </c>
      <c r="N13" t="str">
        <v>NAINA</v>
      </c>
      <c r="O13" t="str">
        <v>SOUTH</v>
      </c>
      <c r="P13" t="str">
        <v>bikes</v>
      </c>
      <c r="Q13">
        <v>50</v>
      </c>
    </row>
    <row r="14" spans="1:17" x14ac:dyDescent="0.25">
      <c r="I14" s="1" t="s">
        <v>767</v>
      </c>
      <c r="J14" s="1" t="s">
        <v>768</v>
      </c>
      <c r="K14" s="1" t="s">
        <v>113</v>
      </c>
      <c r="L14" s="20">
        <v>41</v>
      </c>
      <c r="N14" t="str">
        <v>DEV</v>
      </c>
      <c r="O14" t="str">
        <v>NORTH</v>
      </c>
      <c r="P14" t="str">
        <v>small cars</v>
      </c>
      <c r="Q14">
        <v>41</v>
      </c>
    </row>
    <row r="15" spans="1:17" x14ac:dyDescent="0.25">
      <c r="I15" s="1" t="str">
        <f t="shared" ref="I15:J17" si="2">I14</f>
        <v>DEV</v>
      </c>
      <c r="J15" s="1" t="str">
        <f t="shared" si="2"/>
        <v>NORTH</v>
      </c>
      <c r="K15" s="1" t="s">
        <v>119</v>
      </c>
      <c r="L15" s="20">
        <v>15</v>
      </c>
      <c r="N15" t="str">
        <v>DEV</v>
      </c>
      <c r="O15" t="str">
        <v>NORTH</v>
      </c>
      <c r="P15" t="str">
        <v>sunsscreen</v>
      </c>
      <c r="Q15">
        <v>15</v>
      </c>
    </row>
    <row r="16" spans="1:17" x14ac:dyDescent="0.25">
      <c r="A16" s="71" t="s">
        <v>583</v>
      </c>
      <c r="B16" s="71" t="s">
        <v>742</v>
      </c>
      <c r="C16" s="71" t="s">
        <v>743</v>
      </c>
      <c r="D16" s="71" t="s">
        <v>496</v>
      </c>
      <c r="G16" s="50" t="s">
        <v>955</v>
      </c>
      <c r="I16" s="1" t="str">
        <f t="shared" si="2"/>
        <v>DEV</v>
      </c>
      <c r="J16" s="1" t="str">
        <f t="shared" si="2"/>
        <v>NORTH</v>
      </c>
      <c r="K16" s="1" t="s">
        <v>125</v>
      </c>
      <c r="L16" s="20">
        <v>69</v>
      </c>
      <c r="N16" t="str">
        <v>DEV</v>
      </c>
      <c r="O16" t="str">
        <v>NORTH</v>
      </c>
      <c r="P16" t="str">
        <v>pc</v>
      </c>
      <c r="Q16">
        <v>69</v>
      </c>
    </row>
    <row r="17" spans="1:17" x14ac:dyDescent="0.25">
      <c r="A17" s="72" t="s">
        <v>744</v>
      </c>
      <c r="B17" s="20" t="s">
        <v>57</v>
      </c>
      <c r="C17" s="20" t="s">
        <v>745</v>
      </c>
      <c r="D17" s="55">
        <v>8299545</v>
      </c>
      <c r="G17" t="s">
        <v>749</v>
      </c>
      <c r="I17" s="1" t="str">
        <f t="shared" si="2"/>
        <v>DEV</v>
      </c>
      <c r="J17" s="1" t="str">
        <f t="shared" si="2"/>
        <v>NORTH</v>
      </c>
      <c r="K17" s="1" t="s">
        <v>130</v>
      </c>
      <c r="L17" s="20">
        <v>17</v>
      </c>
      <c r="N17" t="str">
        <v>DEV</v>
      </c>
      <c r="O17" t="str">
        <v>NORTH</v>
      </c>
      <c r="P17" t="str">
        <v>headphones</v>
      </c>
      <c r="Q17">
        <v>17</v>
      </c>
    </row>
    <row r="18" spans="1:17" x14ac:dyDescent="0.25">
      <c r="A18" s="72" t="s">
        <v>746</v>
      </c>
      <c r="B18" s="20" t="s">
        <v>66</v>
      </c>
      <c r="C18" s="20" t="s">
        <v>747</v>
      </c>
      <c r="D18" s="55">
        <v>5848280</v>
      </c>
      <c r="I18" s="1" t="s">
        <v>769</v>
      </c>
      <c r="J18" s="1" t="s">
        <v>770</v>
      </c>
      <c r="K18" s="1" t="s">
        <v>137</v>
      </c>
      <c r="L18" s="20">
        <v>42</v>
      </c>
      <c r="N18" t="str">
        <v>KUNAL</v>
      </c>
      <c r="O18" t="str">
        <v>WEST</v>
      </c>
      <c r="P18" t="str">
        <v>cars</v>
      </c>
      <c r="Q18">
        <v>42</v>
      </c>
    </row>
    <row r="19" spans="1:17" x14ac:dyDescent="0.25">
      <c r="A19" s="72" t="s">
        <v>748</v>
      </c>
      <c r="B19" s="20" t="s">
        <v>73</v>
      </c>
      <c r="C19" s="20" t="s">
        <v>749</v>
      </c>
      <c r="D19" s="55">
        <v>4767706</v>
      </c>
      <c r="I19" s="1" t="str">
        <f t="shared" ref="I19:J21" si="3">I18</f>
        <v>KUNAL</v>
      </c>
      <c r="J19" s="1" t="str">
        <f t="shared" si="3"/>
        <v>WEST</v>
      </c>
      <c r="K19" s="1" t="s">
        <v>143</v>
      </c>
      <c r="L19" s="20">
        <v>28</v>
      </c>
      <c r="N19" t="str">
        <v>KUNAL</v>
      </c>
      <c r="O19" t="str">
        <v>WEST</v>
      </c>
      <c r="P19" t="str">
        <v>cream</v>
      </c>
      <c r="Q19">
        <v>28</v>
      </c>
    </row>
    <row r="20" spans="1:17" x14ac:dyDescent="0.25">
      <c r="A20" s="72" t="s">
        <v>750</v>
      </c>
      <c r="B20" s="20" t="s">
        <v>79</v>
      </c>
      <c r="C20" s="20" t="s">
        <v>751</v>
      </c>
      <c r="D20" s="55">
        <v>7533810</v>
      </c>
      <c r="I20" s="1" t="str">
        <f t="shared" si="3"/>
        <v>KUNAL</v>
      </c>
      <c r="J20" s="1" t="str">
        <f t="shared" si="3"/>
        <v>WEST</v>
      </c>
      <c r="K20" s="1" t="s">
        <v>149</v>
      </c>
      <c r="L20" s="20">
        <v>94</v>
      </c>
      <c r="N20" t="str">
        <v>KUNAL</v>
      </c>
      <c r="O20" t="str">
        <v>WEST</v>
      </c>
      <c r="P20" t="str">
        <v>cookers</v>
      </c>
      <c r="Q20">
        <v>94</v>
      </c>
    </row>
    <row r="21" spans="1:17" x14ac:dyDescent="0.25">
      <c r="A21" s="72" t="s">
        <v>752</v>
      </c>
      <c r="B21" s="20" t="s">
        <v>85</v>
      </c>
      <c r="C21" s="20" t="s">
        <v>751</v>
      </c>
      <c r="D21" s="55">
        <v>5045362</v>
      </c>
      <c r="I21" s="1" t="str">
        <f t="shared" si="3"/>
        <v>KUNAL</v>
      </c>
      <c r="J21" s="1" t="str">
        <f t="shared" si="3"/>
        <v>WEST</v>
      </c>
      <c r="K21" s="1" t="s">
        <v>154</v>
      </c>
      <c r="L21" s="20">
        <v>86</v>
      </c>
      <c r="N21" t="str">
        <v>KUNAL</v>
      </c>
      <c r="O21" t="str">
        <v>WEST</v>
      </c>
      <c r="P21" t="str">
        <v>pans</v>
      </c>
      <c r="Q21">
        <v>86</v>
      </c>
    </row>
    <row r="22" spans="1:17" x14ac:dyDescent="0.25">
      <c r="A22" s="72" t="s">
        <v>753</v>
      </c>
      <c r="B22" s="20" t="s">
        <v>92</v>
      </c>
      <c r="C22" s="20" t="s">
        <v>747</v>
      </c>
      <c r="D22" s="55">
        <v>5100379</v>
      </c>
      <c r="I22" s="1" t="s">
        <v>79</v>
      </c>
      <c r="J22" s="1" t="s">
        <v>749</v>
      </c>
      <c r="K22" s="1" t="s">
        <v>61</v>
      </c>
      <c r="L22" s="20">
        <v>10</v>
      </c>
      <c r="N22" t="str">
        <v>chirag</v>
      </c>
      <c r="O22" t="str">
        <v>north</v>
      </c>
      <c r="P22" t="str">
        <v>tv</v>
      </c>
      <c r="Q22">
        <v>10</v>
      </c>
    </row>
    <row r="23" spans="1:17" x14ac:dyDescent="0.25">
      <c r="A23" s="72" t="s">
        <v>754</v>
      </c>
      <c r="B23" s="20" t="s">
        <v>98</v>
      </c>
      <c r="C23" s="20" t="s">
        <v>749</v>
      </c>
      <c r="D23" s="55">
        <v>5947365</v>
      </c>
      <c r="I23" s="1" t="str">
        <f t="shared" ref="I23:J25" si="4">I22</f>
        <v>chirag</v>
      </c>
      <c r="J23" s="1" t="str">
        <f t="shared" si="4"/>
        <v>north</v>
      </c>
      <c r="K23" s="1" t="s">
        <v>68</v>
      </c>
      <c r="L23" s="20">
        <v>61</v>
      </c>
      <c r="N23" t="str">
        <v>chirag</v>
      </c>
      <c r="O23" t="str">
        <v>north</v>
      </c>
      <c r="P23" t="str">
        <v>stove</v>
      </c>
      <c r="Q23">
        <v>61</v>
      </c>
    </row>
    <row r="24" spans="1:17" x14ac:dyDescent="0.25">
      <c r="A24" s="72" t="s">
        <v>755</v>
      </c>
      <c r="B24" s="20" t="s">
        <v>104</v>
      </c>
      <c r="C24" s="20" t="s">
        <v>745</v>
      </c>
      <c r="D24" s="55">
        <v>3440319</v>
      </c>
      <c r="I24" s="1" t="str">
        <f t="shared" si="4"/>
        <v>chirag</v>
      </c>
      <c r="J24" s="1" t="str">
        <f t="shared" si="4"/>
        <v>north</v>
      </c>
      <c r="K24" s="1" t="s">
        <v>1</v>
      </c>
      <c r="L24" s="20">
        <v>38</v>
      </c>
      <c r="N24" t="str">
        <v>chirag</v>
      </c>
      <c r="O24" t="str">
        <v>north</v>
      </c>
      <c r="P24" t="str">
        <v>maths</v>
      </c>
      <c r="Q24">
        <v>38</v>
      </c>
    </row>
    <row r="25" spans="1:17" x14ac:dyDescent="0.25">
      <c r="A25" s="72" t="s">
        <v>756</v>
      </c>
      <c r="B25" s="20" t="s">
        <v>111</v>
      </c>
      <c r="C25" s="20" t="s">
        <v>749</v>
      </c>
      <c r="D25" s="55">
        <v>5020799</v>
      </c>
      <c r="I25" s="1" t="str">
        <f t="shared" si="4"/>
        <v>chirag</v>
      </c>
      <c r="J25" s="1" t="str">
        <f t="shared" si="4"/>
        <v>north</v>
      </c>
      <c r="K25" s="1" t="s">
        <v>80</v>
      </c>
      <c r="L25" s="20">
        <v>75</v>
      </c>
      <c r="N25" t="str">
        <v>chirag</v>
      </c>
      <c r="O25" t="str">
        <v>north</v>
      </c>
      <c r="P25" t="str">
        <v>laptop</v>
      </c>
      <c r="Q25">
        <v>75</v>
      </c>
    </row>
    <row r="26" spans="1:17" x14ac:dyDescent="0.25">
      <c r="A26" s="72" t="s">
        <v>757</v>
      </c>
      <c r="B26" s="20" t="s">
        <v>117</v>
      </c>
      <c r="C26" s="20" t="s">
        <v>749</v>
      </c>
      <c r="D26" s="55">
        <v>3280729</v>
      </c>
      <c r="I26" s="1" t="s">
        <v>85</v>
      </c>
      <c r="J26" s="1" t="s">
        <v>749</v>
      </c>
      <c r="K26" s="1" t="s">
        <v>87</v>
      </c>
      <c r="L26" s="20">
        <v>59</v>
      </c>
      <c r="N26" t="str">
        <v>Aarav</v>
      </c>
      <c r="O26" t="str">
        <v>north</v>
      </c>
      <c r="P26" t="str">
        <v>cardboard</v>
      </c>
      <c r="Q26">
        <v>59</v>
      </c>
    </row>
    <row r="27" spans="1:17" x14ac:dyDescent="0.25">
      <c r="A27" s="50"/>
      <c r="D27" s="33"/>
      <c r="I27" s="1" t="str">
        <f t="shared" ref="I27:J29" si="5">I26</f>
        <v>Aarav</v>
      </c>
      <c r="J27" s="1" t="str">
        <f t="shared" si="5"/>
        <v>north</v>
      </c>
      <c r="K27" s="1" t="s">
        <v>93</v>
      </c>
      <c r="L27" s="20">
        <v>45</v>
      </c>
      <c r="N27" t="str">
        <v>Aarav</v>
      </c>
      <c r="O27" t="str">
        <v>north</v>
      </c>
      <c r="P27" t="str">
        <v>mouse</v>
      </c>
      <c r="Q27">
        <v>45</v>
      </c>
    </row>
    <row r="28" spans="1:17" x14ac:dyDescent="0.25">
      <c r="I28" s="1" t="str">
        <f t="shared" si="5"/>
        <v>Aarav</v>
      </c>
      <c r="J28" s="1" t="str">
        <f t="shared" si="5"/>
        <v>north</v>
      </c>
      <c r="K28" s="1" t="s">
        <v>99</v>
      </c>
      <c r="L28" s="20">
        <v>90</v>
      </c>
      <c r="N28" t="str">
        <v>Aarav</v>
      </c>
      <c r="O28" t="str">
        <v>north</v>
      </c>
      <c r="P28" t="str">
        <v>copies</v>
      </c>
      <c r="Q28">
        <v>90</v>
      </c>
    </row>
    <row r="29" spans="1:17" x14ac:dyDescent="0.25">
      <c r="A29" s="50"/>
      <c r="B29" s="50"/>
      <c r="C29" s="50"/>
      <c r="D29" s="50"/>
      <c r="I29" s="1" t="str">
        <f t="shared" si="5"/>
        <v>Aarav</v>
      </c>
      <c r="J29" s="1" t="str">
        <f t="shared" si="5"/>
        <v>north</v>
      </c>
      <c r="K29" s="1" t="s">
        <v>106</v>
      </c>
      <c r="L29" s="20">
        <v>28</v>
      </c>
      <c r="N29" t="str">
        <v>Aarav</v>
      </c>
      <c r="O29" t="str">
        <v>north</v>
      </c>
      <c r="P29" t="str">
        <v>bikes</v>
      </c>
      <c r="Q29">
        <v>28</v>
      </c>
    </row>
    <row r="30" spans="1:17" x14ac:dyDescent="0.25">
      <c r="A30" s="50"/>
      <c r="B30" s="50"/>
      <c r="C30" s="50"/>
      <c r="D30" s="50"/>
      <c r="I30" s="1" t="s">
        <v>92</v>
      </c>
      <c r="J30" s="1" t="s">
        <v>745</v>
      </c>
      <c r="K30" s="1" t="s">
        <v>113</v>
      </c>
      <c r="L30" s="20">
        <v>64</v>
      </c>
      <c r="N30" t="str">
        <v>Vivaan</v>
      </c>
      <c r="O30" t="str">
        <v>south</v>
      </c>
      <c r="P30" t="str">
        <v>small cars</v>
      </c>
      <c r="Q30">
        <v>64</v>
      </c>
    </row>
    <row r="31" spans="1:17" x14ac:dyDescent="0.25">
      <c r="A31" s="50"/>
      <c r="B31" s="50"/>
      <c r="C31" s="50"/>
      <c r="D31" s="50"/>
      <c r="I31" s="1" t="str">
        <f t="shared" ref="I31:J33" si="6">I30</f>
        <v>Vivaan</v>
      </c>
      <c r="J31" s="1" t="str">
        <f t="shared" si="6"/>
        <v>south</v>
      </c>
      <c r="K31" s="1" t="s">
        <v>119</v>
      </c>
      <c r="L31" s="20">
        <v>79</v>
      </c>
      <c r="N31" t="str">
        <v>Vivaan</v>
      </c>
      <c r="O31" t="str">
        <v>south</v>
      </c>
      <c r="P31" t="str">
        <v>sunsscreen</v>
      </c>
      <c r="Q31">
        <v>79</v>
      </c>
    </row>
    <row r="32" spans="1:17" x14ac:dyDescent="0.25">
      <c r="A32" s="50"/>
      <c r="B32" s="50"/>
      <c r="C32" s="50"/>
      <c r="D32" s="116"/>
      <c r="I32" s="1" t="str">
        <f t="shared" si="6"/>
        <v>Vivaan</v>
      </c>
      <c r="J32" s="1" t="str">
        <f t="shared" si="6"/>
        <v>south</v>
      </c>
      <c r="K32" s="1" t="s">
        <v>125</v>
      </c>
      <c r="L32" s="20">
        <v>73</v>
      </c>
      <c r="N32" t="str">
        <v>Vivaan</v>
      </c>
      <c r="O32" t="str">
        <v>south</v>
      </c>
      <c r="P32" t="str">
        <v>pc</v>
      </c>
      <c r="Q32">
        <v>73</v>
      </c>
    </row>
    <row r="33" spans="1:17" x14ac:dyDescent="0.25">
      <c r="A33" s="50"/>
      <c r="B33" s="50"/>
      <c r="C33" s="50"/>
      <c r="D33" s="116"/>
      <c r="I33" s="1" t="str">
        <f t="shared" si="6"/>
        <v>Vivaan</v>
      </c>
      <c r="J33" s="1" t="str">
        <f t="shared" si="6"/>
        <v>south</v>
      </c>
      <c r="K33" s="1" t="s">
        <v>130</v>
      </c>
      <c r="L33" s="20">
        <v>25</v>
      </c>
      <c r="N33" t="str">
        <v>Vivaan</v>
      </c>
      <c r="O33" t="str">
        <v>south</v>
      </c>
      <c r="P33" t="str">
        <v>headphones</v>
      </c>
      <c r="Q33">
        <v>25</v>
      </c>
    </row>
    <row r="34" spans="1:17" x14ac:dyDescent="0.25">
      <c r="A34" s="50"/>
      <c r="B34" s="50"/>
      <c r="C34" s="50"/>
      <c r="D34" s="116"/>
      <c r="I34" s="1" t="s">
        <v>98</v>
      </c>
      <c r="J34" s="1" t="s">
        <v>747</v>
      </c>
      <c r="K34" s="1" t="s">
        <v>137</v>
      </c>
      <c r="L34" s="20">
        <v>44</v>
      </c>
      <c r="N34" t="str">
        <v>Aditya</v>
      </c>
      <c r="O34" t="str">
        <v>west</v>
      </c>
      <c r="P34" t="str">
        <v>cars</v>
      </c>
      <c r="Q34">
        <v>44</v>
      </c>
    </row>
    <row r="35" spans="1:17" x14ac:dyDescent="0.25">
      <c r="A35" s="50"/>
      <c r="B35" s="50"/>
      <c r="C35" s="50"/>
      <c r="D35" s="116"/>
      <c r="I35" s="1" t="str">
        <f t="shared" ref="I35:J37" si="7">I34</f>
        <v>Aditya</v>
      </c>
      <c r="J35" s="1" t="str">
        <f t="shared" si="7"/>
        <v>west</v>
      </c>
      <c r="K35" s="1" t="s">
        <v>143</v>
      </c>
      <c r="L35" s="20">
        <v>32</v>
      </c>
      <c r="N35" t="str">
        <v>Aditya</v>
      </c>
      <c r="O35" t="str">
        <v>west</v>
      </c>
      <c r="P35" t="str">
        <v>cream</v>
      </c>
      <c r="Q35">
        <v>32</v>
      </c>
    </row>
    <row r="36" spans="1:17" x14ac:dyDescent="0.25">
      <c r="A36" s="50"/>
      <c r="B36" s="50"/>
      <c r="C36" s="50"/>
      <c r="D36" s="116"/>
      <c r="I36" s="1" t="str">
        <f t="shared" si="7"/>
        <v>Aditya</v>
      </c>
      <c r="J36" s="1" t="str">
        <f t="shared" si="7"/>
        <v>west</v>
      </c>
      <c r="K36" s="1" t="s">
        <v>149</v>
      </c>
      <c r="L36" s="20">
        <v>75</v>
      </c>
      <c r="N36" t="str">
        <v>Aditya</v>
      </c>
      <c r="O36" t="str">
        <v>west</v>
      </c>
      <c r="P36" t="str">
        <v>cookers</v>
      </c>
      <c r="Q36">
        <v>75</v>
      </c>
    </row>
    <row r="37" spans="1:17" x14ac:dyDescent="0.25">
      <c r="A37" s="50"/>
      <c r="B37" s="50"/>
      <c r="C37" s="50"/>
      <c r="D37" s="116"/>
      <c r="I37" s="1" t="str">
        <f t="shared" si="7"/>
        <v>Aditya</v>
      </c>
      <c r="J37" s="1" t="str">
        <f t="shared" si="7"/>
        <v>west</v>
      </c>
      <c r="K37" s="1" t="s">
        <v>154</v>
      </c>
      <c r="L37" s="20">
        <v>48</v>
      </c>
      <c r="N37" t="str">
        <v>Aditya</v>
      </c>
      <c r="O37" t="str">
        <v>west</v>
      </c>
      <c r="P37" t="str">
        <v>pans</v>
      </c>
      <c r="Q37">
        <v>48</v>
      </c>
    </row>
    <row r="38" spans="1:17" x14ac:dyDescent="0.25">
      <c r="A38" s="50"/>
      <c r="B38" s="50"/>
      <c r="C38" s="50"/>
      <c r="D38" s="116"/>
      <c r="I38" s="1" t="s">
        <v>104</v>
      </c>
      <c r="J38" s="1" t="s">
        <v>751</v>
      </c>
      <c r="K38" s="1" t="s">
        <v>161</v>
      </c>
      <c r="L38" s="20">
        <v>71</v>
      </c>
      <c r="N38" t="str">
        <v>Arjun</v>
      </c>
      <c r="O38" t="str">
        <v>east</v>
      </c>
      <c r="P38" t="str">
        <v>t-shirts</v>
      </c>
      <c r="Q38">
        <v>71</v>
      </c>
    </row>
    <row r="39" spans="1:17" x14ac:dyDescent="0.25">
      <c r="A39" s="50"/>
      <c r="B39" s="50"/>
      <c r="C39" s="50"/>
      <c r="D39" s="116"/>
      <c r="I39" s="1" t="str">
        <f t="shared" ref="I39:J41" si="8">I38</f>
        <v>Arjun</v>
      </c>
      <c r="J39" s="1" t="str">
        <f t="shared" si="8"/>
        <v>east</v>
      </c>
      <c r="K39" s="1" t="s">
        <v>167</v>
      </c>
      <c r="L39" s="20">
        <v>29</v>
      </c>
      <c r="N39" t="str">
        <v>Arjun</v>
      </c>
      <c r="O39" t="str">
        <v>east</v>
      </c>
      <c r="P39" t="str">
        <v>pants</v>
      </c>
      <c r="Q39">
        <v>29</v>
      </c>
    </row>
    <row r="40" spans="1:17" x14ac:dyDescent="0.25">
      <c r="A40" s="50"/>
      <c r="B40" s="50"/>
      <c r="C40" s="50"/>
      <c r="D40" s="116"/>
      <c r="I40" s="1" t="str">
        <f t="shared" si="8"/>
        <v>Arjun</v>
      </c>
      <c r="J40" s="1" t="str">
        <f t="shared" si="8"/>
        <v>east</v>
      </c>
      <c r="K40" s="1" t="s">
        <v>173</v>
      </c>
      <c r="L40" s="20">
        <v>65</v>
      </c>
      <c r="N40" t="str">
        <v>Arjun</v>
      </c>
      <c r="O40" t="str">
        <v>east</v>
      </c>
      <c r="P40" t="str">
        <v>b.com(hons) set</v>
      </c>
      <c r="Q40">
        <v>65</v>
      </c>
    </row>
    <row r="41" spans="1:17" x14ac:dyDescent="0.25">
      <c r="A41" s="50"/>
      <c r="B41" s="50"/>
      <c r="C41" s="50"/>
      <c r="D41" s="116"/>
      <c r="I41" s="1" t="str">
        <f t="shared" si="8"/>
        <v>Arjun</v>
      </c>
      <c r="J41" s="1" t="str">
        <f t="shared" si="8"/>
        <v>east</v>
      </c>
      <c r="K41" s="1" t="s">
        <v>179</v>
      </c>
      <c r="L41" s="20">
        <v>18</v>
      </c>
      <c r="N41" t="str">
        <v>Arjun</v>
      </c>
      <c r="O41" t="str">
        <v>east</v>
      </c>
      <c r="P41" t="str">
        <v>oven</v>
      </c>
      <c r="Q41">
        <v>18</v>
      </c>
    </row>
    <row r="42" spans="1:17" x14ac:dyDescent="0.25">
      <c r="I42" s="1" t="s">
        <v>111</v>
      </c>
      <c r="J42" s="1" t="s">
        <v>751</v>
      </c>
      <c r="K42" s="1" t="s">
        <v>185</v>
      </c>
      <c r="L42" s="20">
        <v>86</v>
      </c>
      <c r="N42" t="str">
        <v>Krishna</v>
      </c>
      <c r="O42" t="str">
        <v>east</v>
      </c>
      <c r="P42" t="str">
        <v>lipstick</v>
      </c>
      <c r="Q42">
        <v>86</v>
      </c>
    </row>
    <row r="43" spans="1:17" x14ac:dyDescent="0.25">
      <c r="I43" s="1" t="str">
        <f t="shared" ref="I43:J45" si="9">I42</f>
        <v>Krishna</v>
      </c>
      <c r="J43" s="1" t="str">
        <f t="shared" si="9"/>
        <v>east</v>
      </c>
      <c r="K43" s="1" t="s">
        <v>192</v>
      </c>
      <c r="L43" s="20">
        <v>60</v>
      </c>
      <c r="N43" t="str">
        <v>Krishna</v>
      </c>
      <c r="O43" t="str">
        <v>east</v>
      </c>
      <c r="P43" t="str">
        <v>vickes</v>
      </c>
      <c r="Q43">
        <v>60</v>
      </c>
    </row>
    <row r="44" spans="1:17" x14ac:dyDescent="0.25">
      <c r="I44" s="1" t="str">
        <f t="shared" si="9"/>
        <v>Krishna</v>
      </c>
      <c r="J44" s="1" t="str">
        <f t="shared" si="9"/>
        <v>east</v>
      </c>
      <c r="K44" s="1" t="s">
        <v>198</v>
      </c>
      <c r="L44" s="20">
        <v>57</v>
      </c>
      <c r="N44" t="str">
        <v>Krishna</v>
      </c>
      <c r="O44" t="str">
        <v>east</v>
      </c>
      <c r="P44" t="str">
        <v>dollo</v>
      </c>
      <c r="Q44">
        <v>57</v>
      </c>
    </row>
    <row r="45" spans="1:17" x14ac:dyDescent="0.25">
      <c r="I45" s="1" t="str">
        <f t="shared" si="9"/>
        <v>Krishna</v>
      </c>
      <c r="J45" s="1" t="str">
        <f t="shared" si="9"/>
        <v>east</v>
      </c>
      <c r="K45" s="1" t="s">
        <v>203</v>
      </c>
      <c r="L45" s="20">
        <v>55</v>
      </c>
      <c r="N45" t="str">
        <v>Krishna</v>
      </c>
      <c r="O45" t="str">
        <v>east</v>
      </c>
      <c r="P45" t="str">
        <v>three wheelers</v>
      </c>
      <c r="Q45">
        <v>55</v>
      </c>
    </row>
    <row r="46" spans="1:17" x14ac:dyDescent="0.25">
      <c r="I46" s="1" t="s">
        <v>117</v>
      </c>
      <c r="J46" s="1" t="s">
        <v>749</v>
      </c>
      <c r="K46" s="1" t="s">
        <v>209</v>
      </c>
      <c r="L46" s="20">
        <v>71</v>
      </c>
      <c r="N46" t="str">
        <v>Rohan</v>
      </c>
      <c r="O46" t="str">
        <v>north</v>
      </c>
      <c r="P46" t="str">
        <v>jackets</v>
      </c>
      <c r="Q46">
        <v>71</v>
      </c>
    </row>
    <row r="47" spans="1:17" x14ac:dyDescent="0.25">
      <c r="I47" s="1" t="str">
        <f t="shared" ref="I47:J49" si="10">I46</f>
        <v>Rohan</v>
      </c>
      <c r="J47" s="1" t="str">
        <f t="shared" si="10"/>
        <v>north</v>
      </c>
      <c r="K47" s="1" t="s">
        <v>215</v>
      </c>
      <c r="L47" s="20">
        <v>83</v>
      </c>
      <c r="N47" t="str">
        <v>Rohan</v>
      </c>
      <c r="O47" t="str">
        <v>north</v>
      </c>
      <c r="P47" t="str">
        <v>puppets</v>
      </c>
      <c r="Q47">
        <v>83</v>
      </c>
    </row>
    <row r="48" spans="1:17" x14ac:dyDescent="0.25">
      <c r="I48" s="1" t="str">
        <f t="shared" si="10"/>
        <v>Rohan</v>
      </c>
      <c r="J48" s="1" t="str">
        <f t="shared" si="10"/>
        <v>north</v>
      </c>
      <c r="K48" s="1" t="s">
        <v>220</v>
      </c>
      <c r="L48" s="20">
        <v>29</v>
      </c>
      <c r="N48" t="str">
        <v>Rohan</v>
      </c>
      <c r="O48" t="str">
        <v>north</v>
      </c>
      <c r="P48" t="str">
        <v>dols</v>
      </c>
      <c r="Q48">
        <v>29</v>
      </c>
    </row>
    <row r="49" spans="9:17" x14ac:dyDescent="0.25">
      <c r="I49" s="1" t="str">
        <f t="shared" si="10"/>
        <v>Rohan</v>
      </c>
      <c r="J49" s="1" t="str">
        <f t="shared" si="10"/>
        <v>north</v>
      </c>
      <c r="K49" s="1" t="s">
        <v>226</v>
      </c>
      <c r="L49" s="20">
        <v>33</v>
      </c>
      <c r="N49" t="str">
        <v>Rohan</v>
      </c>
      <c r="O49" t="str">
        <v>north</v>
      </c>
      <c r="P49" t="str">
        <v>makeup kit</v>
      </c>
      <c r="Q49">
        <v>33</v>
      </c>
    </row>
    <row r="50" spans="9:17" x14ac:dyDescent="0.25">
      <c r="I50" s="1" t="s">
        <v>124</v>
      </c>
      <c r="J50" s="1" t="s">
        <v>745</v>
      </c>
      <c r="K50" s="1" t="s">
        <v>232</v>
      </c>
      <c r="L50" s="20">
        <v>41</v>
      </c>
      <c r="N50" t="str">
        <v>Rahul</v>
      </c>
      <c r="O50" t="str">
        <v>south</v>
      </c>
      <c r="P50" t="str">
        <v>keyboard</v>
      </c>
      <c r="Q50">
        <v>41</v>
      </c>
    </row>
    <row r="51" spans="9:17" x14ac:dyDescent="0.25">
      <c r="I51" s="1" t="str">
        <f t="shared" ref="I51:J53" si="11">I50</f>
        <v>Rahul</v>
      </c>
      <c r="J51" s="1" t="str">
        <f t="shared" si="11"/>
        <v>south</v>
      </c>
      <c r="K51" s="1" t="s">
        <v>238</v>
      </c>
      <c r="L51" s="20">
        <v>68</v>
      </c>
      <c r="N51" t="str">
        <v>Rahul</v>
      </c>
      <c r="O51" t="str">
        <v>south</v>
      </c>
      <c r="P51" t="str">
        <v>pencils</v>
      </c>
      <c r="Q51">
        <v>68</v>
      </c>
    </row>
    <row r="52" spans="9:17" x14ac:dyDescent="0.25">
      <c r="I52" s="1" t="str">
        <f t="shared" si="11"/>
        <v>Rahul</v>
      </c>
      <c r="J52" s="1" t="str">
        <f t="shared" si="11"/>
        <v>south</v>
      </c>
      <c r="K52" s="1" t="s">
        <v>244</v>
      </c>
      <c r="L52" s="20">
        <v>45</v>
      </c>
      <c r="N52" t="str">
        <v>Rahul</v>
      </c>
      <c r="O52" t="str">
        <v>south</v>
      </c>
      <c r="P52" t="str">
        <v>jeans</v>
      </c>
      <c r="Q52">
        <v>45</v>
      </c>
    </row>
    <row r="53" spans="9:17" x14ac:dyDescent="0.25">
      <c r="I53" s="1" t="str">
        <f t="shared" si="11"/>
        <v>Rahul</v>
      </c>
      <c r="J53" s="1" t="str">
        <f t="shared" si="11"/>
        <v>south</v>
      </c>
      <c r="K53" s="1" t="s">
        <v>251</v>
      </c>
      <c r="L53" s="20">
        <v>82</v>
      </c>
      <c r="N53" t="str">
        <v>Rahul</v>
      </c>
      <c r="O53" t="str">
        <v>south</v>
      </c>
      <c r="P53" t="str">
        <v>megzins</v>
      </c>
      <c r="Q53">
        <v>82</v>
      </c>
    </row>
    <row r="54" spans="9:17" x14ac:dyDescent="0.25">
      <c r="I54" s="1" t="s">
        <v>129</v>
      </c>
      <c r="J54" s="1" t="s">
        <v>745</v>
      </c>
      <c r="K54" s="1" t="s">
        <v>257</v>
      </c>
      <c r="L54" s="20">
        <v>96</v>
      </c>
      <c r="N54" t="str">
        <v>Aman</v>
      </c>
      <c r="O54" t="str">
        <v>south</v>
      </c>
      <c r="P54" t="str">
        <v>vildamecM 50/500</v>
      </c>
      <c r="Q54">
        <v>96</v>
      </c>
    </row>
    <row r="55" spans="9:17" x14ac:dyDescent="0.25">
      <c r="I55" s="1" t="str">
        <f t="shared" ref="I55:J57" si="12">I54</f>
        <v>Aman</v>
      </c>
      <c r="J55" s="1" t="str">
        <f t="shared" si="12"/>
        <v>south</v>
      </c>
      <c r="K55" s="1" t="s">
        <v>264</v>
      </c>
      <c r="L55" s="20">
        <v>60</v>
      </c>
      <c r="N55" t="str">
        <v>Aman</v>
      </c>
      <c r="O55" t="str">
        <v>south</v>
      </c>
      <c r="P55" t="str">
        <v>streps</v>
      </c>
      <c r="Q55">
        <v>60</v>
      </c>
    </row>
    <row r="56" spans="9:17" x14ac:dyDescent="0.25">
      <c r="I56" s="1" t="str">
        <f t="shared" si="12"/>
        <v>Aman</v>
      </c>
      <c r="J56" s="1" t="str">
        <f t="shared" si="12"/>
        <v>south</v>
      </c>
      <c r="K56" s="1" t="s">
        <v>270</v>
      </c>
      <c r="L56" s="20">
        <v>89</v>
      </c>
      <c r="N56" t="str">
        <v>Aman</v>
      </c>
      <c r="O56" t="str">
        <v>south</v>
      </c>
      <c r="P56" t="str">
        <v>slingshots</v>
      </c>
      <c r="Q56">
        <v>89</v>
      </c>
    </row>
    <row r="57" spans="9:17" x14ac:dyDescent="0.25">
      <c r="I57" s="1" t="str">
        <f t="shared" si="12"/>
        <v>Aman</v>
      </c>
      <c r="J57" s="1" t="str">
        <f t="shared" si="12"/>
        <v>south</v>
      </c>
      <c r="K57" s="1" t="s">
        <v>276</v>
      </c>
      <c r="L57" s="20">
        <v>49</v>
      </c>
      <c r="N57" t="str">
        <v>Aman</v>
      </c>
      <c r="O57" t="str">
        <v>south</v>
      </c>
      <c r="P57" t="str">
        <v>sword</v>
      </c>
      <c r="Q57">
        <v>49</v>
      </c>
    </row>
    <row r="58" spans="9:17" x14ac:dyDescent="0.25">
      <c r="I58" s="1" t="s">
        <v>135</v>
      </c>
      <c r="J58" s="1" t="s">
        <v>749</v>
      </c>
      <c r="K58" s="1" t="s">
        <v>283</v>
      </c>
      <c r="L58" s="20">
        <v>94</v>
      </c>
      <c r="N58" t="str">
        <v>Karan</v>
      </c>
      <c r="O58" t="str">
        <v>north</v>
      </c>
      <c r="P58" t="str">
        <v>creatine</v>
      </c>
      <c r="Q58">
        <v>94</v>
      </c>
    </row>
    <row r="59" spans="9:17" x14ac:dyDescent="0.25">
      <c r="I59" s="1" t="str">
        <f t="shared" ref="I59:J61" si="13">I58</f>
        <v>Karan</v>
      </c>
      <c r="J59" s="1" t="str">
        <f t="shared" si="13"/>
        <v>north</v>
      </c>
      <c r="K59" s="1" t="s">
        <v>289</v>
      </c>
      <c r="L59" s="20">
        <v>23</v>
      </c>
      <c r="N59" t="str">
        <v>Karan</v>
      </c>
      <c r="O59" t="str">
        <v>north</v>
      </c>
      <c r="P59" t="str">
        <v>whey protein</v>
      </c>
      <c r="Q59">
        <v>23</v>
      </c>
    </row>
    <row r="60" spans="9:17" x14ac:dyDescent="0.25">
      <c r="I60" s="1" t="str">
        <f t="shared" si="13"/>
        <v>Karan</v>
      </c>
      <c r="J60" s="1" t="str">
        <f t="shared" si="13"/>
        <v>north</v>
      </c>
      <c r="K60" s="1" t="s">
        <v>295</v>
      </c>
      <c r="L60" s="20">
        <v>79</v>
      </c>
      <c r="N60" t="str">
        <v>Karan</v>
      </c>
      <c r="O60" t="str">
        <v>north</v>
      </c>
      <c r="P60" t="str">
        <v>leather armor</v>
      </c>
      <c r="Q60">
        <v>79</v>
      </c>
    </row>
    <row r="61" spans="9:17" x14ac:dyDescent="0.25">
      <c r="I61" s="1" t="str">
        <f t="shared" si="13"/>
        <v>Karan</v>
      </c>
      <c r="J61" s="1" t="str">
        <f t="shared" si="13"/>
        <v>north</v>
      </c>
      <c r="K61" s="1" t="s">
        <v>301</v>
      </c>
      <c r="L61" s="20">
        <v>49</v>
      </c>
      <c r="N61" t="str">
        <v>Karan</v>
      </c>
      <c r="O61" t="str">
        <v>north</v>
      </c>
      <c r="P61" t="str">
        <v>auto</v>
      </c>
      <c r="Q61">
        <v>49</v>
      </c>
    </row>
    <row r="62" spans="9:17" x14ac:dyDescent="0.25">
      <c r="I62" s="1" t="s">
        <v>142</v>
      </c>
      <c r="J62" s="1" t="s">
        <v>751</v>
      </c>
      <c r="K62" s="1" t="s">
        <v>307</v>
      </c>
      <c r="L62" s="20">
        <v>98</v>
      </c>
      <c r="N62" t="str">
        <v>Varun</v>
      </c>
      <c r="O62" t="str">
        <v>east</v>
      </c>
      <c r="P62" t="str">
        <v>pajamas</v>
      </c>
      <c r="Q62">
        <v>98</v>
      </c>
    </row>
    <row r="63" spans="9:17" x14ac:dyDescent="0.25">
      <c r="I63" s="1" t="str">
        <f t="shared" ref="I63:J65" si="14">I62</f>
        <v>Varun</v>
      </c>
      <c r="J63" s="1" t="str">
        <f t="shared" si="14"/>
        <v>east</v>
      </c>
      <c r="K63" s="1" t="s">
        <v>312</v>
      </c>
      <c r="L63" s="20">
        <v>90</v>
      </c>
      <c r="N63" t="str">
        <v>Varun</v>
      </c>
      <c r="O63" t="str">
        <v>east</v>
      </c>
      <c r="P63" t="str">
        <v>lowers</v>
      </c>
      <c r="Q63">
        <v>90</v>
      </c>
    </row>
    <row r="64" spans="9:17" x14ac:dyDescent="0.25">
      <c r="I64" s="1" t="str">
        <f t="shared" si="14"/>
        <v>Varun</v>
      </c>
      <c r="J64" s="1" t="str">
        <f t="shared" si="14"/>
        <v>east</v>
      </c>
      <c r="K64" s="1" t="s">
        <v>318</v>
      </c>
      <c r="L64" s="20">
        <v>46</v>
      </c>
      <c r="N64" t="str">
        <v>Varun</v>
      </c>
      <c r="O64" t="str">
        <v>east</v>
      </c>
      <c r="P64" t="str">
        <v>moniter</v>
      </c>
      <c r="Q64">
        <v>46</v>
      </c>
    </row>
    <row r="65" spans="9:17" x14ac:dyDescent="0.25">
      <c r="I65" s="1" t="str">
        <f t="shared" si="14"/>
        <v>Varun</v>
      </c>
      <c r="J65" s="1" t="str">
        <f t="shared" si="14"/>
        <v>east</v>
      </c>
      <c r="K65" s="1" t="s">
        <v>324</v>
      </c>
      <c r="L65" s="20">
        <v>47</v>
      </c>
      <c r="N65" t="str">
        <v>Varun</v>
      </c>
      <c r="O65" t="str">
        <v>east</v>
      </c>
      <c r="P65" t="str">
        <v>colors</v>
      </c>
      <c r="Q65">
        <v>47</v>
      </c>
    </row>
    <row r="66" spans="9:17" x14ac:dyDescent="0.25">
      <c r="I66" s="1" t="s">
        <v>148</v>
      </c>
      <c r="J66" s="1" t="s">
        <v>747</v>
      </c>
      <c r="K66" s="1" t="s">
        <v>330</v>
      </c>
      <c r="L66" s="20">
        <v>84</v>
      </c>
      <c r="N66" t="str">
        <v>Vikram</v>
      </c>
      <c r="O66" t="str">
        <v>west</v>
      </c>
      <c r="P66" t="str">
        <v>perfomence inhancer</v>
      </c>
      <c r="Q66">
        <v>84</v>
      </c>
    </row>
    <row r="67" spans="9:17" x14ac:dyDescent="0.25">
      <c r="I67" s="1" t="str">
        <f t="shared" ref="I67:J69" si="15">I66</f>
        <v>Vikram</v>
      </c>
      <c r="J67" s="1" t="str">
        <f t="shared" si="15"/>
        <v>west</v>
      </c>
      <c r="K67" s="1" t="s">
        <v>335</v>
      </c>
      <c r="L67" s="20">
        <v>35</v>
      </c>
      <c r="N67" t="str">
        <v>Vikram</v>
      </c>
      <c r="O67" t="str">
        <v>west</v>
      </c>
      <c r="P67" t="str">
        <v>toys cars</v>
      </c>
      <c r="Q67">
        <v>35</v>
      </c>
    </row>
    <row r="68" spans="9:17" x14ac:dyDescent="0.25">
      <c r="I68" s="1" t="str">
        <f t="shared" si="15"/>
        <v>Vikram</v>
      </c>
      <c r="J68" s="1" t="str">
        <f t="shared" si="15"/>
        <v>west</v>
      </c>
      <c r="K68" s="1" t="s">
        <v>341</v>
      </c>
      <c r="L68" s="20">
        <v>84</v>
      </c>
      <c r="N68" t="str">
        <v>Vikram</v>
      </c>
      <c r="O68" t="str">
        <v>west</v>
      </c>
      <c r="P68" t="str">
        <v>peracitamole</v>
      </c>
      <c r="Q68">
        <v>84</v>
      </c>
    </row>
    <row r="69" spans="9:17" x14ac:dyDescent="0.25">
      <c r="I69" s="1" t="str">
        <f t="shared" si="15"/>
        <v>Vikram</v>
      </c>
      <c r="J69" s="1" t="str">
        <f t="shared" si="15"/>
        <v>west</v>
      </c>
      <c r="K69" s="1" t="s">
        <v>347</v>
      </c>
      <c r="L69" s="20">
        <v>100</v>
      </c>
      <c r="N69" t="str">
        <v>Vikram</v>
      </c>
      <c r="O69" t="str">
        <v>west</v>
      </c>
      <c r="P69" t="str">
        <v>shirts</v>
      </c>
      <c r="Q69">
        <v>100</v>
      </c>
    </row>
    <row r="70" spans="9:17" x14ac:dyDescent="0.25">
      <c r="I70" s="1" t="s">
        <v>153</v>
      </c>
      <c r="J70" s="1" t="s">
        <v>747</v>
      </c>
      <c r="K70" s="1" t="s">
        <v>353</v>
      </c>
      <c r="L70" s="20">
        <v>86</v>
      </c>
      <c r="N70" t="str">
        <v>Ankit</v>
      </c>
      <c r="O70" t="str">
        <v>west</v>
      </c>
      <c r="P70" t="str">
        <v>desktop</v>
      </c>
      <c r="Q70">
        <v>86</v>
      </c>
    </row>
    <row r="71" spans="9:17" x14ac:dyDescent="0.25">
      <c r="I71" s="1" t="str">
        <f t="shared" ref="I71:J73" si="16">I70</f>
        <v>Ankit</v>
      </c>
      <c r="J71" s="1" t="str">
        <f t="shared" si="16"/>
        <v>west</v>
      </c>
      <c r="K71" s="1" t="s">
        <v>359</v>
      </c>
      <c r="L71" s="20">
        <v>63</v>
      </c>
      <c r="N71" t="str">
        <v>Ankit</v>
      </c>
      <c r="O71" t="str">
        <v>west</v>
      </c>
      <c r="P71" t="str">
        <v>belts</v>
      </c>
      <c r="Q71">
        <v>63</v>
      </c>
    </row>
    <row r="72" spans="9:17" x14ac:dyDescent="0.25">
      <c r="I72" s="1" t="str">
        <f t="shared" si="16"/>
        <v>Ankit</v>
      </c>
      <c r="J72" s="1" t="str">
        <f t="shared" si="16"/>
        <v>west</v>
      </c>
      <c r="K72" s="1" t="s">
        <v>61</v>
      </c>
      <c r="L72" s="20">
        <v>61</v>
      </c>
      <c r="N72" t="str">
        <v>Ankit</v>
      </c>
      <c r="O72" t="str">
        <v>west</v>
      </c>
      <c r="P72" t="str">
        <v>tv</v>
      </c>
      <c r="Q72">
        <v>61</v>
      </c>
    </row>
    <row r="73" spans="9:17" x14ac:dyDescent="0.25">
      <c r="I73" s="1" t="str">
        <f t="shared" si="16"/>
        <v>Ankit</v>
      </c>
      <c r="J73" s="1" t="str">
        <f t="shared" si="16"/>
        <v>west</v>
      </c>
      <c r="K73" s="1" t="s">
        <v>68</v>
      </c>
      <c r="L73" s="20">
        <v>84</v>
      </c>
      <c r="N73" t="str">
        <v>Ankit</v>
      </c>
      <c r="O73" t="str">
        <v>west</v>
      </c>
      <c r="P73" t="str">
        <v>stove</v>
      </c>
      <c r="Q73">
        <v>84</v>
      </c>
    </row>
    <row r="74" spans="9:17" x14ac:dyDescent="0.25">
      <c r="I74" s="1" t="s">
        <v>159</v>
      </c>
      <c r="J74" s="1" t="s">
        <v>751</v>
      </c>
      <c r="K74" s="1" t="s">
        <v>1</v>
      </c>
      <c r="L74" s="20">
        <v>46</v>
      </c>
      <c r="N74" t="str">
        <v>Akash</v>
      </c>
      <c r="O74" t="str">
        <v>east</v>
      </c>
      <c r="P74" t="str">
        <v>maths</v>
      </c>
      <c r="Q74">
        <v>46</v>
      </c>
    </row>
    <row r="75" spans="9:17" x14ac:dyDescent="0.25">
      <c r="I75" s="1" t="str">
        <f t="shared" ref="I75:J77" si="17">I74</f>
        <v>Akash</v>
      </c>
      <c r="J75" s="1" t="str">
        <f t="shared" si="17"/>
        <v>east</v>
      </c>
      <c r="K75" s="1" t="s">
        <v>80</v>
      </c>
      <c r="L75" s="20">
        <v>84</v>
      </c>
      <c r="N75" t="str">
        <v>Akash</v>
      </c>
      <c r="O75" t="str">
        <v>east</v>
      </c>
      <c r="P75" t="str">
        <v>laptop</v>
      </c>
      <c r="Q75">
        <v>84</v>
      </c>
    </row>
    <row r="76" spans="9:17" x14ac:dyDescent="0.25">
      <c r="I76" s="1" t="str">
        <f t="shared" si="17"/>
        <v>Akash</v>
      </c>
      <c r="J76" s="1" t="str">
        <f t="shared" si="17"/>
        <v>east</v>
      </c>
      <c r="K76" s="1" t="s">
        <v>87</v>
      </c>
      <c r="L76" s="20">
        <v>53</v>
      </c>
      <c r="N76" t="str">
        <v>Akash</v>
      </c>
      <c r="O76" t="str">
        <v>east</v>
      </c>
      <c r="P76" t="str">
        <v>cardboard</v>
      </c>
      <c r="Q76">
        <v>53</v>
      </c>
    </row>
    <row r="77" spans="9:17" x14ac:dyDescent="0.25">
      <c r="I77" s="1" t="str">
        <f t="shared" si="17"/>
        <v>Akash</v>
      </c>
      <c r="J77" s="1" t="str">
        <f t="shared" si="17"/>
        <v>east</v>
      </c>
      <c r="K77" s="1" t="s">
        <v>93</v>
      </c>
      <c r="L77" s="20">
        <v>43</v>
      </c>
      <c r="N77" t="str">
        <v>Akash</v>
      </c>
      <c r="O77" t="str">
        <v>east</v>
      </c>
      <c r="P77" t="str">
        <v>mouse</v>
      </c>
      <c r="Q77">
        <v>43</v>
      </c>
    </row>
    <row r="78" spans="9:17" x14ac:dyDescent="0.25">
      <c r="I78" s="1" t="s">
        <v>166</v>
      </c>
      <c r="J78" s="1" t="s">
        <v>745</v>
      </c>
      <c r="K78" s="1" t="s">
        <v>99</v>
      </c>
      <c r="L78" s="20">
        <v>19</v>
      </c>
      <c r="N78" t="str">
        <v>Deepak</v>
      </c>
      <c r="O78" t="str">
        <v>south</v>
      </c>
      <c r="P78" t="str">
        <v>copies</v>
      </c>
      <c r="Q78">
        <v>19</v>
      </c>
    </row>
    <row r="79" spans="9:17" x14ac:dyDescent="0.25">
      <c r="I79" s="1" t="str">
        <f t="shared" ref="I79:J81" si="18">I78</f>
        <v>Deepak</v>
      </c>
      <c r="J79" s="1" t="str">
        <f t="shared" si="18"/>
        <v>south</v>
      </c>
      <c r="K79" s="1" t="s">
        <v>106</v>
      </c>
      <c r="L79" s="20">
        <v>13</v>
      </c>
      <c r="N79" t="str">
        <v>Deepak</v>
      </c>
      <c r="O79" t="str">
        <v>south</v>
      </c>
      <c r="P79" t="str">
        <v>bikes</v>
      </c>
      <c r="Q79">
        <v>13</v>
      </c>
    </row>
    <row r="80" spans="9:17" x14ac:dyDescent="0.25">
      <c r="I80" s="1" t="str">
        <f t="shared" si="18"/>
        <v>Deepak</v>
      </c>
      <c r="J80" s="1" t="str">
        <f t="shared" si="18"/>
        <v>south</v>
      </c>
      <c r="K80" s="1" t="s">
        <v>113</v>
      </c>
      <c r="L80" s="20">
        <v>19</v>
      </c>
      <c r="N80" t="str">
        <v>Deepak</v>
      </c>
      <c r="O80" t="str">
        <v>south</v>
      </c>
      <c r="P80" t="str">
        <v>small cars</v>
      </c>
      <c r="Q80">
        <v>19</v>
      </c>
    </row>
    <row r="81" spans="9:17" x14ac:dyDescent="0.25">
      <c r="I81" s="1" t="str">
        <f t="shared" si="18"/>
        <v>Deepak</v>
      </c>
      <c r="J81" s="1" t="str">
        <f t="shared" si="18"/>
        <v>south</v>
      </c>
      <c r="K81" s="1" t="s">
        <v>119</v>
      </c>
      <c r="L81" s="20">
        <v>62</v>
      </c>
      <c r="N81" t="str">
        <v>Deepak</v>
      </c>
      <c r="O81" t="str">
        <v>south</v>
      </c>
      <c r="P81" t="str">
        <v>sunsscreen</v>
      </c>
      <c r="Q81">
        <v>62</v>
      </c>
    </row>
    <row r="82" spans="9:17" x14ac:dyDescent="0.25">
      <c r="I82" s="1" t="s">
        <v>172</v>
      </c>
      <c r="J82" s="1" t="s">
        <v>745</v>
      </c>
      <c r="K82" s="1" t="s">
        <v>125</v>
      </c>
      <c r="L82" s="20">
        <v>66</v>
      </c>
      <c r="N82" t="str">
        <v>Rakesh</v>
      </c>
      <c r="O82" t="str">
        <v>south</v>
      </c>
      <c r="P82" t="str">
        <v>pc</v>
      </c>
      <c r="Q82">
        <v>66</v>
      </c>
    </row>
    <row r="83" spans="9:17" x14ac:dyDescent="0.25">
      <c r="I83" s="1" t="str">
        <f t="shared" ref="I83:J85" si="19">I82</f>
        <v>Rakesh</v>
      </c>
      <c r="J83" s="1" t="str">
        <f t="shared" si="19"/>
        <v>south</v>
      </c>
      <c r="K83" s="1" t="s">
        <v>130</v>
      </c>
      <c r="L83" s="20">
        <v>33</v>
      </c>
      <c r="N83" t="str">
        <v>Rakesh</v>
      </c>
      <c r="O83" t="str">
        <v>south</v>
      </c>
      <c r="P83" t="str">
        <v>headphones</v>
      </c>
      <c r="Q83">
        <v>33</v>
      </c>
    </row>
    <row r="84" spans="9:17" x14ac:dyDescent="0.25">
      <c r="I84" s="1" t="str">
        <f t="shared" si="19"/>
        <v>Rakesh</v>
      </c>
      <c r="J84" s="1" t="str">
        <f t="shared" si="19"/>
        <v>south</v>
      </c>
      <c r="K84" s="1" t="s">
        <v>137</v>
      </c>
      <c r="L84" s="20">
        <v>14</v>
      </c>
      <c r="N84" t="str">
        <v>Rakesh</v>
      </c>
      <c r="O84" t="str">
        <v>south</v>
      </c>
      <c r="P84" t="str">
        <v>cars</v>
      </c>
      <c r="Q84">
        <v>14</v>
      </c>
    </row>
    <row r="85" spans="9:17" x14ac:dyDescent="0.25">
      <c r="I85" s="1" t="str">
        <f t="shared" si="19"/>
        <v>Rakesh</v>
      </c>
      <c r="J85" s="1" t="str">
        <f t="shared" si="19"/>
        <v>south</v>
      </c>
      <c r="K85" s="1" t="s">
        <v>143</v>
      </c>
      <c r="L85" s="20">
        <v>83</v>
      </c>
      <c r="N85" t="str">
        <v>Rakesh</v>
      </c>
      <c r="O85" t="str">
        <v>south</v>
      </c>
      <c r="P85" t="str">
        <v>cream</v>
      </c>
      <c r="Q85">
        <v>83</v>
      </c>
    </row>
    <row r="86" spans="9:17" x14ac:dyDescent="0.25">
      <c r="I86" s="1" t="s">
        <v>178</v>
      </c>
      <c r="J86" s="1" t="s">
        <v>747</v>
      </c>
      <c r="K86" s="1" t="s">
        <v>149</v>
      </c>
      <c r="L86" s="20">
        <v>27</v>
      </c>
      <c r="N86" t="str">
        <v>Suresh</v>
      </c>
      <c r="O86" t="str">
        <v>west</v>
      </c>
      <c r="P86" t="str">
        <v>cookers</v>
      </c>
      <c r="Q86">
        <v>27</v>
      </c>
    </row>
    <row r="87" spans="9:17" x14ac:dyDescent="0.25">
      <c r="I87" s="1" t="str">
        <f t="shared" ref="I87:J89" si="20">I86</f>
        <v>Suresh</v>
      </c>
      <c r="J87" s="1" t="str">
        <f t="shared" si="20"/>
        <v>west</v>
      </c>
      <c r="K87" s="1" t="s">
        <v>154</v>
      </c>
      <c r="L87" s="20">
        <v>75</v>
      </c>
      <c r="N87" t="str">
        <v>Suresh</v>
      </c>
      <c r="O87" t="str">
        <v>west</v>
      </c>
      <c r="P87" t="str">
        <v>pans</v>
      </c>
      <c r="Q87">
        <v>75</v>
      </c>
    </row>
    <row r="88" spans="9:17" x14ac:dyDescent="0.25">
      <c r="I88" s="1" t="str">
        <f t="shared" si="20"/>
        <v>Suresh</v>
      </c>
      <c r="J88" s="1" t="str">
        <f t="shared" si="20"/>
        <v>west</v>
      </c>
      <c r="K88" s="1" t="s">
        <v>161</v>
      </c>
      <c r="L88" s="20">
        <v>46</v>
      </c>
      <c r="N88" t="str">
        <v>Suresh</v>
      </c>
      <c r="O88" t="str">
        <v>west</v>
      </c>
      <c r="P88" t="str">
        <v>t-shirts</v>
      </c>
      <c r="Q88">
        <v>46</v>
      </c>
    </row>
    <row r="89" spans="9:17" x14ac:dyDescent="0.25">
      <c r="I89" s="1" t="str">
        <f t="shared" si="20"/>
        <v>Suresh</v>
      </c>
      <c r="J89" s="1" t="str">
        <f t="shared" si="20"/>
        <v>west</v>
      </c>
      <c r="K89" s="1" t="s">
        <v>167</v>
      </c>
      <c r="L89" s="20">
        <v>85</v>
      </c>
      <c r="N89" t="str">
        <v>Suresh</v>
      </c>
      <c r="O89" t="str">
        <v>west</v>
      </c>
      <c r="P89" t="str">
        <v>pants</v>
      </c>
      <c r="Q89">
        <v>85</v>
      </c>
    </row>
    <row r="90" spans="9:17" x14ac:dyDescent="0.25">
      <c r="I90" s="1" t="s">
        <v>184</v>
      </c>
      <c r="J90" s="1" t="s">
        <v>747</v>
      </c>
      <c r="K90" s="1" t="s">
        <v>173</v>
      </c>
      <c r="L90" s="20">
        <v>34</v>
      </c>
      <c r="N90" t="str">
        <v>Mahesh</v>
      </c>
      <c r="O90" t="str">
        <v>west</v>
      </c>
      <c r="P90" t="str">
        <v>b.com(hons) set</v>
      </c>
      <c r="Q90">
        <v>34</v>
      </c>
    </row>
    <row r="91" spans="9:17" x14ac:dyDescent="0.25">
      <c r="I91" s="1" t="str">
        <f t="shared" ref="I91:J93" si="21">I90</f>
        <v>Mahesh</v>
      </c>
      <c r="J91" s="1" t="str">
        <f t="shared" si="21"/>
        <v>west</v>
      </c>
      <c r="K91" s="1" t="s">
        <v>179</v>
      </c>
      <c r="L91" s="20">
        <v>98</v>
      </c>
      <c r="N91" t="str">
        <v>Mahesh</v>
      </c>
      <c r="O91" t="str">
        <v>west</v>
      </c>
      <c r="P91" t="str">
        <v>oven</v>
      </c>
      <c r="Q91">
        <v>98</v>
      </c>
    </row>
    <row r="92" spans="9:17" x14ac:dyDescent="0.25">
      <c r="I92" s="1" t="str">
        <f t="shared" si="21"/>
        <v>Mahesh</v>
      </c>
      <c r="J92" s="1" t="str">
        <f t="shared" si="21"/>
        <v>west</v>
      </c>
      <c r="K92" s="1" t="s">
        <v>185</v>
      </c>
      <c r="L92" s="20">
        <v>61</v>
      </c>
      <c r="N92" t="str">
        <v>Mahesh</v>
      </c>
      <c r="O92" t="str">
        <v>west</v>
      </c>
      <c r="P92" t="str">
        <v>lipstick</v>
      </c>
      <c r="Q92">
        <v>61</v>
      </c>
    </row>
    <row r="93" spans="9:17" x14ac:dyDescent="0.25">
      <c r="I93" s="1" t="str">
        <f t="shared" si="21"/>
        <v>Mahesh</v>
      </c>
      <c r="J93" s="1" t="str">
        <f t="shared" si="21"/>
        <v>west</v>
      </c>
      <c r="K93" s="1" t="s">
        <v>192</v>
      </c>
      <c r="L93" s="20">
        <v>26</v>
      </c>
      <c r="N93" t="str">
        <v>Mahesh</v>
      </c>
      <c r="O93" t="str">
        <v>west</v>
      </c>
      <c r="P93" t="str">
        <v>vickes</v>
      </c>
      <c r="Q93">
        <v>26</v>
      </c>
    </row>
    <row r="94" spans="9:17" x14ac:dyDescent="0.25">
      <c r="I94" s="1" t="s">
        <v>190</v>
      </c>
      <c r="J94" s="1" t="s">
        <v>749</v>
      </c>
      <c r="K94" s="1" t="s">
        <v>198</v>
      </c>
      <c r="L94" s="20">
        <v>83</v>
      </c>
      <c r="N94" t="str">
        <v>Rajesh</v>
      </c>
      <c r="O94" t="str">
        <v>north</v>
      </c>
      <c r="P94" t="str">
        <v>dollo</v>
      </c>
      <c r="Q94">
        <v>83</v>
      </c>
    </row>
    <row r="95" spans="9:17" x14ac:dyDescent="0.25">
      <c r="I95" s="1" t="str">
        <f t="shared" ref="I95:J97" si="22">I94</f>
        <v>Rajesh</v>
      </c>
      <c r="J95" s="1" t="str">
        <f t="shared" si="22"/>
        <v>north</v>
      </c>
      <c r="K95" s="1" t="s">
        <v>203</v>
      </c>
      <c r="L95" s="20">
        <v>34</v>
      </c>
      <c r="N95" t="str">
        <v>Rajesh</v>
      </c>
      <c r="O95" t="str">
        <v>north</v>
      </c>
      <c r="P95" t="str">
        <v>three wheelers</v>
      </c>
      <c r="Q95">
        <v>34</v>
      </c>
    </row>
    <row r="96" spans="9:17" x14ac:dyDescent="0.25">
      <c r="I96" s="1" t="str">
        <f t="shared" si="22"/>
        <v>Rajesh</v>
      </c>
      <c r="J96" s="1" t="str">
        <f t="shared" si="22"/>
        <v>north</v>
      </c>
      <c r="K96" s="1" t="s">
        <v>209</v>
      </c>
      <c r="L96" s="20">
        <v>75</v>
      </c>
      <c r="N96" t="str">
        <v>Rajesh</v>
      </c>
      <c r="O96" t="str">
        <v>north</v>
      </c>
      <c r="P96" t="str">
        <v>jackets</v>
      </c>
      <c r="Q96">
        <v>75</v>
      </c>
    </row>
    <row r="97" spans="9:17" x14ac:dyDescent="0.25">
      <c r="I97" s="1" t="str">
        <f t="shared" si="22"/>
        <v>Rajesh</v>
      </c>
      <c r="J97" s="1" t="str">
        <f t="shared" si="22"/>
        <v>north</v>
      </c>
      <c r="K97" s="1" t="s">
        <v>215</v>
      </c>
      <c r="L97" s="20">
        <v>84</v>
      </c>
      <c r="N97" t="str">
        <v>Rajesh</v>
      </c>
      <c r="O97" t="str">
        <v>north</v>
      </c>
      <c r="P97" t="str">
        <v>puppets</v>
      </c>
      <c r="Q97">
        <v>84</v>
      </c>
    </row>
    <row r="98" spans="9:17" x14ac:dyDescent="0.25">
      <c r="I98" s="1" t="s">
        <v>197</v>
      </c>
      <c r="J98" s="1" t="s">
        <v>749</v>
      </c>
      <c r="K98" s="1" t="s">
        <v>220</v>
      </c>
      <c r="L98" s="20">
        <v>95</v>
      </c>
      <c r="N98" t="str">
        <v>Mukesh</v>
      </c>
      <c r="O98" t="str">
        <v>north</v>
      </c>
      <c r="P98" t="str">
        <v>dols</v>
      </c>
      <c r="Q98">
        <v>95</v>
      </c>
    </row>
    <row r="99" spans="9:17" x14ac:dyDescent="0.25">
      <c r="I99" s="1" t="str">
        <f t="shared" ref="I99:J101" si="23">I98</f>
        <v>Mukesh</v>
      </c>
      <c r="J99" s="1" t="str">
        <f t="shared" si="23"/>
        <v>north</v>
      </c>
      <c r="K99" s="1" t="s">
        <v>226</v>
      </c>
      <c r="L99" s="20">
        <v>35</v>
      </c>
      <c r="N99" t="str">
        <v>Mukesh</v>
      </c>
      <c r="O99" t="str">
        <v>north</v>
      </c>
      <c r="P99" t="str">
        <v>makeup kit</v>
      </c>
      <c r="Q99">
        <v>35</v>
      </c>
    </row>
    <row r="100" spans="9:17" x14ac:dyDescent="0.25">
      <c r="I100" s="1" t="str">
        <f t="shared" si="23"/>
        <v>Mukesh</v>
      </c>
      <c r="J100" s="1" t="str">
        <f t="shared" si="23"/>
        <v>north</v>
      </c>
      <c r="K100" s="1" t="s">
        <v>232</v>
      </c>
      <c r="L100" s="20">
        <v>60</v>
      </c>
      <c r="N100" t="str">
        <v>Mukesh</v>
      </c>
      <c r="O100" t="str">
        <v>north</v>
      </c>
      <c r="P100" t="str">
        <v>keyboard</v>
      </c>
      <c r="Q100">
        <v>60</v>
      </c>
    </row>
    <row r="101" spans="9:17" x14ac:dyDescent="0.25">
      <c r="I101" s="1" t="str">
        <f t="shared" si="23"/>
        <v>Mukesh</v>
      </c>
      <c r="J101" s="1" t="str">
        <f t="shared" si="23"/>
        <v>north</v>
      </c>
      <c r="K101" s="1" t="s">
        <v>238</v>
      </c>
      <c r="L101" s="20">
        <v>48</v>
      </c>
      <c r="N101" t="str">
        <v>Mukesh</v>
      </c>
      <c r="O101" t="str">
        <v>north</v>
      </c>
      <c r="P101" t="str">
        <v>pencils</v>
      </c>
      <c r="Q101">
        <v>48</v>
      </c>
    </row>
    <row r="102" spans="9:17" x14ac:dyDescent="0.25">
      <c r="I102" s="1" t="s">
        <v>202</v>
      </c>
      <c r="J102" s="1" t="s">
        <v>749</v>
      </c>
      <c r="K102" s="1" t="s">
        <v>244</v>
      </c>
      <c r="L102" s="20">
        <v>80</v>
      </c>
      <c r="N102" t="str">
        <v>Nitin</v>
      </c>
      <c r="O102" t="str">
        <v>north</v>
      </c>
      <c r="P102" t="str">
        <v>jeans</v>
      </c>
      <c r="Q102">
        <v>80</v>
      </c>
    </row>
    <row r="103" spans="9:17" x14ac:dyDescent="0.25">
      <c r="I103" s="1" t="str">
        <f t="shared" ref="I103:J105" si="24">I102</f>
        <v>Nitin</v>
      </c>
      <c r="J103" s="1" t="str">
        <f t="shared" si="24"/>
        <v>north</v>
      </c>
      <c r="K103" s="1" t="s">
        <v>251</v>
      </c>
      <c r="L103" s="20">
        <v>96</v>
      </c>
      <c r="N103" t="str">
        <v>Nitin</v>
      </c>
      <c r="O103" t="str">
        <v>north</v>
      </c>
      <c r="P103" t="str">
        <v>megzins</v>
      </c>
      <c r="Q103">
        <v>96</v>
      </c>
    </row>
    <row r="104" spans="9:17" x14ac:dyDescent="0.25">
      <c r="I104" s="1" t="str">
        <f t="shared" si="24"/>
        <v>Nitin</v>
      </c>
      <c r="J104" s="1" t="str">
        <f t="shared" si="24"/>
        <v>north</v>
      </c>
      <c r="K104" s="1" t="s">
        <v>257</v>
      </c>
      <c r="L104" s="20">
        <v>75</v>
      </c>
      <c r="N104" t="str">
        <v>Nitin</v>
      </c>
      <c r="O104" t="str">
        <v>north</v>
      </c>
      <c r="P104" t="str">
        <v>vildamecM 50/500</v>
      </c>
      <c r="Q104">
        <v>75</v>
      </c>
    </row>
    <row r="105" spans="9:17" x14ac:dyDescent="0.25">
      <c r="I105" s="1" t="str">
        <f t="shared" si="24"/>
        <v>Nitin</v>
      </c>
      <c r="J105" s="1" t="str">
        <f t="shared" si="24"/>
        <v>north</v>
      </c>
      <c r="K105" s="1" t="s">
        <v>264</v>
      </c>
      <c r="L105" s="20">
        <v>89</v>
      </c>
      <c r="N105" t="str">
        <v>Nitin</v>
      </c>
      <c r="O105" t="str">
        <v>north</v>
      </c>
      <c r="P105" t="str">
        <v>streps</v>
      </c>
      <c r="Q105">
        <v>89</v>
      </c>
    </row>
    <row r="106" spans="9:17" x14ac:dyDescent="0.25">
      <c r="I106" s="1" t="s">
        <v>208</v>
      </c>
      <c r="J106" s="1" t="s">
        <v>751</v>
      </c>
      <c r="K106" s="1" t="s">
        <v>270</v>
      </c>
      <c r="L106" s="20">
        <v>13</v>
      </c>
      <c r="N106" t="str">
        <v>Sumit</v>
      </c>
      <c r="O106" t="str">
        <v>east</v>
      </c>
      <c r="P106" t="str">
        <v>slingshots</v>
      </c>
      <c r="Q106">
        <v>13</v>
      </c>
    </row>
    <row r="107" spans="9:17" x14ac:dyDescent="0.25">
      <c r="I107" s="1" t="str">
        <f t="shared" ref="I107:J109" si="25">I106</f>
        <v>Sumit</v>
      </c>
      <c r="J107" s="1" t="str">
        <f t="shared" si="25"/>
        <v>east</v>
      </c>
      <c r="K107" s="1" t="s">
        <v>276</v>
      </c>
      <c r="L107" s="20">
        <v>34</v>
      </c>
      <c r="N107" t="str">
        <v>Sumit</v>
      </c>
      <c r="O107" t="str">
        <v>east</v>
      </c>
      <c r="P107" t="str">
        <v>sword</v>
      </c>
      <c r="Q107">
        <v>34</v>
      </c>
    </row>
    <row r="108" spans="9:17" x14ac:dyDescent="0.25">
      <c r="I108" s="1" t="str">
        <f t="shared" si="25"/>
        <v>Sumit</v>
      </c>
      <c r="J108" s="1" t="str">
        <f t="shared" si="25"/>
        <v>east</v>
      </c>
      <c r="K108" s="1" t="s">
        <v>283</v>
      </c>
      <c r="L108" s="20">
        <v>78</v>
      </c>
      <c r="N108" t="str">
        <v>Sumit</v>
      </c>
      <c r="O108" t="str">
        <v>east</v>
      </c>
      <c r="P108" t="str">
        <v>creatine</v>
      </c>
      <c r="Q108">
        <v>78</v>
      </c>
    </row>
    <row r="109" spans="9:17" x14ac:dyDescent="0.25">
      <c r="I109" s="1" t="str">
        <f t="shared" si="25"/>
        <v>Sumit</v>
      </c>
      <c r="J109" s="1" t="str">
        <f t="shared" si="25"/>
        <v>east</v>
      </c>
      <c r="K109" s="1" t="s">
        <v>289</v>
      </c>
      <c r="L109" s="20">
        <v>28</v>
      </c>
      <c r="N109" t="str">
        <v>Sumit</v>
      </c>
      <c r="O109" t="str">
        <v>east</v>
      </c>
      <c r="P109" t="str">
        <v>whey protein</v>
      </c>
      <c r="Q109">
        <v>28</v>
      </c>
    </row>
    <row r="110" spans="9:17" x14ac:dyDescent="0.25">
      <c r="I110" s="1" t="s">
        <v>214</v>
      </c>
      <c r="J110" s="1" t="s">
        <v>747</v>
      </c>
      <c r="K110" s="1" t="s">
        <v>295</v>
      </c>
      <c r="L110" s="20">
        <v>41</v>
      </c>
      <c r="N110" t="str">
        <v>Ravi</v>
      </c>
      <c r="O110" t="str">
        <v>west</v>
      </c>
      <c r="P110" t="str">
        <v>leather armor</v>
      </c>
      <c r="Q110">
        <v>41</v>
      </c>
    </row>
    <row r="111" spans="9:17" x14ac:dyDescent="0.25">
      <c r="I111" s="1" t="str">
        <f t="shared" ref="I111:J113" si="26">I110</f>
        <v>Ravi</v>
      </c>
      <c r="J111" s="1" t="str">
        <f t="shared" si="26"/>
        <v>west</v>
      </c>
      <c r="K111" s="1" t="s">
        <v>301</v>
      </c>
      <c r="L111" s="20">
        <v>31</v>
      </c>
      <c r="N111" t="str">
        <v>Ravi</v>
      </c>
      <c r="O111" t="str">
        <v>west</v>
      </c>
      <c r="P111" t="str">
        <v>auto</v>
      </c>
      <c r="Q111">
        <v>31</v>
      </c>
    </row>
    <row r="112" spans="9:17" x14ac:dyDescent="0.25">
      <c r="I112" s="1" t="str">
        <f t="shared" si="26"/>
        <v>Ravi</v>
      </c>
      <c r="J112" s="1" t="str">
        <f t="shared" si="26"/>
        <v>west</v>
      </c>
      <c r="K112" s="1" t="s">
        <v>307</v>
      </c>
      <c r="L112" s="20">
        <v>74</v>
      </c>
      <c r="N112" t="str">
        <v>Ravi</v>
      </c>
      <c r="O112" t="str">
        <v>west</v>
      </c>
      <c r="P112" t="str">
        <v>pajamas</v>
      </c>
      <c r="Q112">
        <v>74</v>
      </c>
    </row>
    <row r="113" spans="9:17" x14ac:dyDescent="0.25">
      <c r="I113" s="1" t="str">
        <f t="shared" si="26"/>
        <v>Ravi</v>
      </c>
      <c r="J113" s="1" t="str">
        <f t="shared" si="26"/>
        <v>west</v>
      </c>
      <c r="K113" s="1" t="s">
        <v>312</v>
      </c>
      <c r="L113" s="20">
        <v>87</v>
      </c>
      <c r="N113" t="str">
        <v>Ravi</v>
      </c>
      <c r="O113" t="str">
        <v>west</v>
      </c>
      <c r="P113" t="str">
        <v>lowers</v>
      </c>
      <c r="Q113">
        <v>87</v>
      </c>
    </row>
    <row r="114" spans="9:17" x14ac:dyDescent="0.25">
      <c r="I114" s="1" t="s">
        <v>219</v>
      </c>
      <c r="J114" s="1" t="s">
        <v>745</v>
      </c>
      <c r="K114" s="1" t="s">
        <v>318</v>
      </c>
      <c r="L114" s="20">
        <v>72</v>
      </c>
      <c r="N114" t="str">
        <v>Ajay</v>
      </c>
      <c r="O114" t="str">
        <v>south</v>
      </c>
      <c r="P114" t="str">
        <v>moniter</v>
      </c>
      <c r="Q114">
        <v>72</v>
      </c>
    </row>
    <row r="115" spans="9:17" x14ac:dyDescent="0.25">
      <c r="I115" s="1" t="str">
        <f t="shared" ref="I115:J117" si="27">I114</f>
        <v>Ajay</v>
      </c>
      <c r="J115" s="1" t="str">
        <f t="shared" si="27"/>
        <v>south</v>
      </c>
      <c r="K115" s="1" t="s">
        <v>324</v>
      </c>
      <c r="L115" s="20">
        <v>23</v>
      </c>
      <c r="N115" t="str">
        <v>Ajay</v>
      </c>
      <c r="O115" t="str">
        <v>south</v>
      </c>
      <c r="P115" t="str">
        <v>colors</v>
      </c>
      <c r="Q115">
        <v>23</v>
      </c>
    </row>
    <row r="116" spans="9:17" x14ac:dyDescent="0.25">
      <c r="I116" s="1" t="str">
        <f t="shared" si="27"/>
        <v>Ajay</v>
      </c>
      <c r="J116" s="1" t="str">
        <f t="shared" si="27"/>
        <v>south</v>
      </c>
      <c r="K116" s="1" t="s">
        <v>330</v>
      </c>
      <c r="L116" s="20">
        <v>53</v>
      </c>
      <c r="N116" t="str">
        <v>Ajay</v>
      </c>
      <c r="O116" t="str">
        <v>south</v>
      </c>
      <c r="P116" t="str">
        <v>perfomence inhancer</v>
      </c>
      <c r="Q116">
        <v>53</v>
      </c>
    </row>
    <row r="117" spans="9:17" x14ac:dyDescent="0.25">
      <c r="I117" s="1" t="str">
        <f t="shared" si="27"/>
        <v>Ajay</v>
      </c>
      <c r="J117" s="1" t="str">
        <f t="shared" si="27"/>
        <v>south</v>
      </c>
      <c r="K117" s="1" t="s">
        <v>335</v>
      </c>
      <c r="L117" s="20">
        <v>83</v>
      </c>
      <c r="N117" t="str">
        <v>Ajay</v>
      </c>
      <c r="O117" t="str">
        <v>south</v>
      </c>
      <c r="P117" t="str">
        <v>toys cars</v>
      </c>
      <c r="Q117">
        <v>83</v>
      </c>
    </row>
  </sheetData>
  <phoneticPr fontId="9" type="noConversion"/>
  <conditionalFormatting sqref="A1:D11">
    <cfRule type="expression" dxfId="23" priority="7">
      <formula>$G$5=$C1</formula>
    </cfRule>
  </conditionalFormatting>
  <conditionalFormatting sqref="A16:D26">
    <cfRule type="expression" dxfId="22" priority="1">
      <formula>$G$17=$C16</formula>
    </cfRule>
    <cfRule type="expression" dxfId="21" priority="8">
      <formula>$G$17=$C16</formula>
    </cfRule>
  </conditionalFormatting>
  <pageMargins left="0.7" right="0.7" top="0.75" bottom="0.75" header="0.3" footer="0.3"/>
  <drawing r:id="rId1"/>
  <legacyDrawing r:id="rId2"/>
  <controls>
    <mc:AlternateContent xmlns:mc="http://schemas.openxmlformats.org/markup-compatibility/2006">
      <mc:Choice Requires="x14">
        <control shapeId="19457" r:id="rId3" name="ListBox1">
          <controlPr defaultSize="0" autoLine="0" linkedCell="N3" r:id="rId4">
            <anchor moveWithCells="1">
              <from>
                <xdr:col>13</xdr:col>
                <xdr:colOff>9525</xdr:colOff>
                <xdr:row>1</xdr:row>
                <xdr:rowOff>171450</xdr:rowOff>
              </from>
              <to>
                <xdr:col>16</xdr:col>
                <xdr:colOff>438150</xdr:colOff>
                <xdr:row>2</xdr:row>
                <xdr:rowOff>180975</xdr:rowOff>
              </to>
            </anchor>
          </controlPr>
        </control>
      </mc:Choice>
      <mc:Fallback>
        <control shapeId="19457" r:id="rId3" name="ListBox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76B1-63D7-4966-8C00-F76675DDD987}">
  <sheetPr codeName="Sheet19"/>
  <dimension ref="A1:Q40"/>
  <sheetViews>
    <sheetView workbookViewId="0">
      <selection activeCell="E3" sqref="E3"/>
    </sheetView>
  </sheetViews>
  <sheetFormatPr defaultRowHeight="15" x14ac:dyDescent="0.25"/>
  <cols>
    <col min="1" max="1" width="41" bestFit="1" customWidth="1"/>
    <col min="2" max="2" width="41" customWidth="1"/>
    <col min="3" max="3" width="30.28515625" bestFit="1" customWidth="1"/>
    <col min="4" max="4" width="25.85546875" customWidth="1"/>
    <col min="5" max="5" width="30.28515625" bestFit="1" customWidth="1"/>
    <col min="6" max="6" width="58.85546875" bestFit="1" customWidth="1"/>
    <col min="7" max="7" width="255.7109375" bestFit="1" customWidth="1"/>
    <col min="8" max="8" width="196.85546875" bestFit="1" customWidth="1"/>
    <col min="9" max="9" width="252.7109375" bestFit="1" customWidth="1"/>
    <col min="10" max="10" width="81.85546875" bestFit="1" customWidth="1"/>
    <col min="11" max="11" width="255.7109375" bestFit="1" customWidth="1"/>
    <col min="12" max="12" width="11.28515625" bestFit="1" customWidth="1"/>
    <col min="13" max="13" width="153.5703125" bestFit="1" customWidth="1"/>
    <col min="14" max="14" width="130.5703125" bestFit="1" customWidth="1"/>
    <col min="15" max="15" width="255.7109375" bestFit="1" customWidth="1"/>
    <col min="16" max="16" width="177.85546875" bestFit="1" customWidth="1"/>
    <col min="17" max="17" width="121.140625" bestFit="1" customWidth="1"/>
    <col min="18" max="18" width="255.7109375" bestFit="1" customWidth="1"/>
    <col min="19" max="19" width="114" bestFit="1" customWidth="1"/>
    <col min="20" max="20" width="252.7109375" bestFit="1" customWidth="1"/>
    <col min="21" max="21" width="81.85546875" bestFit="1" customWidth="1"/>
    <col min="22" max="22" width="111.140625" bestFit="1" customWidth="1"/>
    <col min="23" max="23" width="11.28515625" bestFit="1" customWidth="1"/>
    <col min="24" max="24" width="30.28515625" bestFit="1" customWidth="1"/>
  </cols>
  <sheetData>
    <row r="1" spans="1:17" x14ac:dyDescent="0.25">
      <c r="A1" s="183" t="s">
        <v>771</v>
      </c>
      <c r="B1" s="183" t="s">
        <v>772</v>
      </c>
      <c r="C1" s="183" t="s">
        <v>773</v>
      </c>
      <c r="D1" s="183" t="s">
        <v>774</v>
      </c>
      <c r="E1" s="183" t="s">
        <v>775</v>
      </c>
      <c r="F1" s="56"/>
      <c r="G1" s="56"/>
      <c r="H1" s="56"/>
      <c r="I1" s="56"/>
      <c r="J1" s="56"/>
      <c r="K1" s="56"/>
      <c r="L1" s="56"/>
      <c r="M1" s="56"/>
      <c r="N1" s="56"/>
      <c r="O1" s="56"/>
      <c r="P1" s="56"/>
      <c r="Q1" s="56"/>
    </row>
    <row r="2" spans="1:17" ht="60" x14ac:dyDescent="0.25">
      <c r="A2" s="182" t="s">
        <v>776</v>
      </c>
      <c r="B2" s="182" t="s">
        <v>777</v>
      </c>
      <c r="C2" s="182"/>
      <c r="D2" s="182"/>
      <c r="E2" s="182"/>
      <c r="F2" s="50"/>
      <c r="G2" s="50"/>
      <c r="H2" s="50"/>
      <c r="I2" s="50"/>
      <c r="J2" s="50"/>
      <c r="K2" s="50"/>
      <c r="L2" s="75"/>
      <c r="M2" s="50"/>
      <c r="N2" s="75"/>
      <c r="O2" s="75"/>
      <c r="P2" s="75"/>
      <c r="Q2" s="75"/>
    </row>
    <row r="3" spans="1:17" ht="195" x14ac:dyDescent="0.25">
      <c r="A3" s="182" t="s">
        <v>778</v>
      </c>
      <c r="B3" s="182" t="s">
        <v>779</v>
      </c>
      <c r="C3" s="182" t="s">
        <v>780</v>
      </c>
      <c r="D3" s="182" t="s">
        <v>781</v>
      </c>
      <c r="E3" s="182"/>
      <c r="F3" s="50"/>
      <c r="G3" s="50"/>
      <c r="H3" s="50"/>
      <c r="I3" s="50"/>
      <c r="J3" s="50"/>
      <c r="K3" s="50"/>
      <c r="L3" s="75"/>
      <c r="M3" s="50"/>
      <c r="N3" s="50"/>
      <c r="O3" s="75"/>
      <c r="P3" s="75"/>
      <c r="Q3" s="75"/>
    </row>
    <row r="4" spans="1:17" ht="135" x14ac:dyDescent="0.25">
      <c r="A4" s="182" t="s">
        <v>781</v>
      </c>
      <c r="B4" s="182" t="s">
        <v>782</v>
      </c>
      <c r="C4" s="182" t="s">
        <v>783</v>
      </c>
      <c r="D4" s="182" t="s">
        <v>784</v>
      </c>
      <c r="E4" s="182"/>
      <c r="K4" s="50"/>
      <c r="M4" s="50"/>
    </row>
    <row r="5" spans="1:17" ht="90" x14ac:dyDescent="0.25">
      <c r="A5" s="182" t="s">
        <v>785</v>
      </c>
      <c r="B5" s="182" t="s">
        <v>786</v>
      </c>
      <c r="C5" s="182" t="s">
        <v>787</v>
      </c>
      <c r="D5" s="182" t="s">
        <v>788</v>
      </c>
      <c r="E5" s="182"/>
      <c r="K5" s="50"/>
      <c r="M5" s="50"/>
    </row>
    <row r="6" spans="1:17" ht="45" x14ac:dyDescent="0.25">
      <c r="A6" s="182" t="s">
        <v>788</v>
      </c>
      <c r="B6" s="182" t="s">
        <v>789</v>
      </c>
      <c r="C6" s="182"/>
      <c r="D6" s="182"/>
      <c r="E6" s="182"/>
      <c r="K6" s="50"/>
      <c r="M6" s="50"/>
    </row>
    <row r="7" spans="1:17" ht="30" x14ac:dyDescent="0.25">
      <c r="A7" s="182" t="s">
        <v>790</v>
      </c>
      <c r="B7" s="182" t="s">
        <v>791</v>
      </c>
      <c r="C7" s="182"/>
      <c r="D7" s="182"/>
      <c r="E7" s="182"/>
      <c r="K7" s="50"/>
      <c r="M7" s="50"/>
    </row>
    <row r="8" spans="1:17" ht="75" x14ac:dyDescent="0.25">
      <c r="A8" s="182" t="s">
        <v>792</v>
      </c>
      <c r="B8" s="182" t="s">
        <v>793</v>
      </c>
      <c r="C8" s="182" t="s">
        <v>794</v>
      </c>
      <c r="D8" s="182" t="s">
        <v>795</v>
      </c>
      <c r="E8" s="182"/>
      <c r="K8" s="50"/>
      <c r="M8" s="50"/>
    </row>
    <row r="9" spans="1:17" ht="30" x14ac:dyDescent="0.25">
      <c r="A9" s="182" t="s">
        <v>795</v>
      </c>
      <c r="B9" s="182" t="s">
        <v>796</v>
      </c>
      <c r="C9" s="182"/>
      <c r="D9" s="182"/>
      <c r="E9" s="182"/>
      <c r="K9" s="50"/>
      <c r="M9" s="50"/>
    </row>
    <row r="10" spans="1:17" ht="30" x14ac:dyDescent="0.25">
      <c r="A10" s="182" t="s">
        <v>797</v>
      </c>
      <c r="B10" s="182" t="s">
        <v>798</v>
      </c>
      <c r="C10" s="182"/>
      <c r="D10" s="182"/>
      <c r="E10" s="182"/>
      <c r="K10" s="50"/>
      <c r="M10" s="50"/>
    </row>
    <row r="11" spans="1:17" ht="60" x14ac:dyDescent="0.25">
      <c r="A11" s="182" t="s">
        <v>799</v>
      </c>
      <c r="B11" s="182" t="s">
        <v>800</v>
      </c>
      <c r="C11" s="182" t="s">
        <v>801</v>
      </c>
      <c r="D11" s="182" t="s">
        <v>802</v>
      </c>
      <c r="E11" s="182"/>
      <c r="K11" s="50"/>
      <c r="M11" s="50"/>
    </row>
    <row r="12" spans="1:17" ht="150" x14ac:dyDescent="0.25">
      <c r="A12" s="182" t="s">
        <v>803</v>
      </c>
      <c r="B12" s="182" t="s">
        <v>804</v>
      </c>
      <c r="C12" s="182" t="s">
        <v>805</v>
      </c>
      <c r="D12" s="182"/>
      <c r="E12" s="182"/>
      <c r="K12" s="50"/>
      <c r="M12" s="50"/>
    </row>
    <row r="13" spans="1:17" ht="30" x14ac:dyDescent="0.25">
      <c r="A13" s="182" t="s">
        <v>806</v>
      </c>
      <c r="B13" s="182" t="s">
        <v>807</v>
      </c>
      <c r="C13" s="182"/>
      <c r="D13" s="182"/>
      <c r="E13" s="182" t="s">
        <v>808</v>
      </c>
      <c r="K13" s="50"/>
      <c r="M13" s="50"/>
    </row>
    <row r="14" spans="1:17" ht="60" x14ac:dyDescent="0.25">
      <c r="A14" s="182" t="s">
        <v>809</v>
      </c>
      <c r="B14" s="182" t="s">
        <v>810</v>
      </c>
      <c r="C14" s="182"/>
      <c r="D14" s="182"/>
      <c r="E14" s="182"/>
      <c r="K14" s="50"/>
      <c r="M14" s="50"/>
    </row>
    <row r="15" spans="1:17" ht="180" x14ac:dyDescent="0.25">
      <c r="A15" s="182" t="s">
        <v>811</v>
      </c>
      <c r="B15" s="182" t="s">
        <v>810</v>
      </c>
      <c r="C15" s="182" t="s">
        <v>812</v>
      </c>
      <c r="D15" s="182" t="s">
        <v>813</v>
      </c>
      <c r="E15" s="182"/>
      <c r="K15" s="50"/>
      <c r="M15" s="50"/>
    </row>
    <row r="16" spans="1:17" ht="45" x14ac:dyDescent="0.25">
      <c r="A16" s="182" t="s">
        <v>814</v>
      </c>
      <c r="B16" s="182" t="s">
        <v>815</v>
      </c>
      <c r="C16" s="182"/>
      <c r="D16" s="182"/>
      <c r="E16" s="182"/>
      <c r="K16" s="50"/>
      <c r="M16" s="50"/>
    </row>
    <row r="17" spans="1:13" ht="60" x14ac:dyDescent="0.25">
      <c r="A17" s="182" t="s">
        <v>816</v>
      </c>
      <c r="B17" s="182" t="s">
        <v>817</v>
      </c>
      <c r="C17" s="182"/>
      <c r="D17" s="182"/>
      <c r="E17" s="182" t="s">
        <v>808</v>
      </c>
      <c r="K17" s="50"/>
      <c r="M17" s="50"/>
    </row>
    <row r="18" spans="1:13" ht="120" x14ac:dyDescent="0.25">
      <c r="A18" s="182" t="s">
        <v>818</v>
      </c>
      <c r="B18" s="182" t="s">
        <v>819</v>
      </c>
      <c r="C18" s="182" t="s">
        <v>820</v>
      </c>
      <c r="D18" s="182" t="s">
        <v>821</v>
      </c>
      <c r="E18" s="182"/>
      <c r="K18" s="50"/>
      <c r="M18" s="50"/>
    </row>
    <row r="19" spans="1:13" ht="45" x14ac:dyDescent="0.25">
      <c r="A19" s="182" t="s">
        <v>822</v>
      </c>
      <c r="B19" s="182" t="s">
        <v>823</v>
      </c>
      <c r="C19" s="182"/>
      <c r="D19" s="182"/>
      <c r="E19" s="182"/>
      <c r="K19" s="50"/>
      <c r="M19" s="50"/>
    </row>
    <row r="20" spans="1:13" ht="60" x14ac:dyDescent="0.25">
      <c r="A20" s="182" t="s">
        <v>824</v>
      </c>
      <c r="B20" s="182" t="s">
        <v>825</v>
      </c>
      <c r="C20" s="182"/>
      <c r="D20" s="182"/>
      <c r="E20" s="182" t="s">
        <v>808</v>
      </c>
      <c r="K20" s="50"/>
      <c r="M20" s="50"/>
    </row>
    <row r="21" spans="1:13" ht="45" x14ac:dyDescent="0.25">
      <c r="A21" s="182" t="s">
        <v>826</v>
      </c>
      <c r="B21" s="182" t="s">
        <v>827</v>
      </c>
      <c r="C21" s="182"/>
      <c r="D21" s="182"/>
      <c r="E21" s="182"/>
      <c r="K21" s="50"/>
      <c r="M21" s="50"/>
    </row>
    <row r="22" spans="1:13" ht="60" x14ac:dyDescent="0.25">
      <c r="A22" s="182" t="s">
        <v>828</v>
      </c>
      <c r="B22" s="182" t="s">
        <v>829</v>
      </c>
      <c r="C22" s="182"/>
      <c r="D22" s="182"/>
      <c r="E22" s="182" t="s">
        <v>808</v>
      </c>
      <c r="K22" s="50"/>
      <c r="M22" s="50"/>
    </row>
    <row r="23" spans="1:13" x14ac:dyDescent="0.25">
      <c r="A23" s="182"/>
      <c r="B23" s="182"/>
      <c r="C23" s="182"/>
      <c r="D23" s="182"/>
      <c r="E23" s="182"/>
    </row>
    <row r="24" spans="1:13" x14ac:dyDescent="0.25">
      <c r="A24" s="182"/>
      <c r="B24" s="182"/>
      <c r="C24" s="182"/>
      <c r="D24" s="182"/>
      <c r="E24" s="182"/>
    </row>
    <row r="25" spans="1:13" x14ac:dyDescent="0.25">
      <c r="A25" s="182"/>
      <c r="B25" s="182"/>
      <c r="C25" s="182"/>
      <c r="D25" s="182"/>
      <c r="E25" s="182"/>
    </row>
    <row r="26" spans="1:13" x14ac:dyDescent="0.25">
      <c r="A26" s="183" t="s">
        <v>771</v>
      </c>
      <c r="B26" s="183" t="s">
        <v>772</v>
      </c>
      <c r="C26" s="182"/>
      <c r="D26" s="182"/>
      <c r="E26" s="182"/>
    </row>
    <row r="27" spans="1:13" ht="150" x14ac:dyDescent="0.25">
      <c r="A27" s="182" t="s">
        <v>830</v>
      </c>
      <c r="B27" s="182" t="s">
        <v>780</v>
      </c>
      <c r="C27" s="182"/>
      <c r="D27" s="182"/>
      <c r="E27" s="182"/>
    </row>
    <row r="28" spans="1:13" ht="105" x14ac:dyDescent="0.25">
      <c r="A28" s="182" t="s">
        <v>781</v>
      </c>
      <c r="B28" s="182" t="s">
        <v>783</v>
      </c>
      <c r="C28" s="182"/>
      <c r="D28" s="182"/>
      <c r="E28" s="182"/>
    </row>
    <row r="29" spans="1:13" ht="75" x14ac:dyDescent="0.25">
      <c r="A29" s="182" t="s">
        <v>784</v>
      </c>
      <c r="B29" s="182" t="s">
        <v>787</v>
      </c>
      <c r="C29" s="182"/>
      <c r="D29" s="182"/>
      <c r="E29" s="182"/>
    </row>
    <row r="30" spans="1:13" ht="60" x14ac:dyDescent="0.25">
      <c r="A30" s="182" t="s">
        <v>788</v>
      </c>
      <c r="B30" s="182" t="s">
        <v>794</v>
      </c>
      <c r="C30" s="182"/>
      <c r="D30" s="182"/>
      <c r="E30" s="182"/>
    </row>
    <row r="31" spans="1:13" ht="60" x14ac:dyDescent="0.25">
      <c r="A31" s="182" t="s">
        <v>795</v>
      </c>
      <c r="B31" s="182" t="s">
        <v>801</v>
      </c>
      <c r="C31" s="182"/>
      <c r="D31" s="182"/>
      <c r="E31" s="182"/>
    </row>
    <row r="32" spans="1:13" ht="75" x14ac:dyDescent="0.25">
      <c r="A32" s="182" t="s">
        <v>802</v>
      </c>
      <c r="B32" s="182" t="s">
        <v>820</v>
      </c>
      <c r="C32" s="182"/>
      <c r="D32" s="182"/>
      <c r="E32" s="182"/>
    </row>
    <row r="33" spans="1:5" x14ac:dyDescent="0.25">
      <c r="A33" s="182"/>
      <c r="B33" s="182"/>
      <c r="C33" s="182"/>
      <c r="D33" s="182"/>
      <c r="E33" s="182"/>
    </row>
    <row r="34" spans="1:5" x14ac:dyDescent="0.25">
      <c r="A34" s="182"/>
      <c r="B34" s="182"/>
      <c r="C34" s="182"/>
      <c r="D34" s="182"/>
      <c r="E34" s="182"/>
    </row>
    <row r="35" spans="1:5" x14ac:dyDescent="0.25">
      <c r="A35" s="182"/>
      <c r="B35" s="182"/>
      <c r="C35" s="182"/>
      <c r="D35" s="182"/>
      <c r="E35" s="182"/>
    </row>
    <row r="36" spans="1:5" x14ac:dyDescent="0.25">
      <c r="A36" s="183" t="s">
        <v>771</v>
      </c>
      <c r="B36" s="183" t="s">
        <v>772</v>
      </c>
      <c r="C36" s="183" t="s">
        <v>773</v>
      </c>
      <c r="D36" s="182"/>
      <c r="E36" s="182"/>
    </row>
    <row r="37" spans="1:5" ht="30" x14ac:dyDescent="0.25">
      <c r="A37" s="182" t="s">
        <v>806</v>
      </c>
      <c r="B37" s="182" t="s">
        <v>807</v>
      </c>
      <c r="C37" s="182" t="s">
        <v>808</v>
      </c>
      <c r="D37" s="182"/>
      <c r="E37" s="182"/>
    </row>
    <row r="38" spans="1:5" ht="60" x14ac:dyDescent="0.25">
      <c r="A38" s="182" t="s">
        <v>816</v>
      </c>
      <c r="B38" s="182" t="s">
        <v>817</v>
      </c>
      <c r="C38" s="182" t="s">
        <v>808</v>
      </c>
      <c r="D38" s="182"/>
      <c r="E38" s="182"/>
    </row>
    <row r="39" spans="1:5" ht="60" x14ac:dyDescent="0.25">
      <c r="A39" s="182" t="s">
        <v>824</v>
      </c>
      <c r="B39" s="182" t="s">
        <v>825</v>
      </c>
      <c r="C39" s="182" t="s">
        <v>808</v>
      </c>
      <c r="D39" s="182"/>
      <c r="E39" s="182"/>
    </row>
    <row r="40" spans="1:5" ht="60" x14ac:dyDescent="0.25">
      <c r="A40" s="182" t="s">
        <v>828</v>
      </c>
      <c r="B40" s="182" t="s">
        <v>829</v>
      </c>
      <c r="C40" s="182" t="s">
        <v>808</v>
      </c>
      <c r="D40" s="182"/>
      <c r="E40" s="182"/>
    </row>
  </sheetData>
  <dataConsolidate>
    <dataRefs count="1">
      <dataRef ref="B48:B62" sheet="online data import"/>
    </dataRefs>
  </dataConsolidate>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9520F-D6F2-4534-94B7-B7D2DEE5C3CB}">
  <sheetPr codeName="Sheet20"/>
  <dimension ref="A1:F53"/>
  <sheetViews>
    <sheetView workbookViewId="0">
      <selection activeCell="I2" sqref="I2"/>
    </sheetView>
  </sheetViews>
  <sheetFormatPr defaultRowHeight="15" x14ac:dyDescent="0.25"/>
  <cols>
    <col min="1" max="1" width="17.5703125" bestFit="1" customWidth="1"/>
    <col min="2" max="2" width="17.28515625" bestFit="1" customWidth="1"/>
    <col min="3" max="3" width="19.5703125" bestFit="1" customWidth="1"/>
    <col min="4" max="4" width="16.85546875" bestFit="1" customWidth="1"/>
    <col min="5" max="5" width="10.42578125" bestFit="1" customWidth="1"/>
    <col min="6" max="6" width="15.28515625" bestFit="1" customWidth="1"/>
    <col min="7" max="8" width="17.28515625" bestFit="1" customWidth="1"/>
    <col min="9" max="9" width="16.7109375" bestFit="1" customWidth="1"/>
    <col min="10" max="10" width="16.42578125" bestFit="1" customWidth="1"/>
    <col min="11" max="11" width="11.7109375" bestFit="1" customWidth="1"/>
  </cols>
  <sheetData>
    <row r="1" spans="1:6" x14ac:dyDescent="0.25">
      <c r="A1" s="85" t="s">
        <v>888</v>
      </c>
      <c r="B1" s="85" t="s">
        <v>889</v>
      </c>
      <c r="C1" s="86" t="s">
        <v>890</v>
      </c>
      <c r="D1" s="86" t="s">
        <v>891</v>
      </c>
    </row>
    <row r="2" spans="1:6" x14ac:dyDescent="0.25">
      <c r="A2" s="1" t="s">
        <v>836</v>
      </c>
      <c r="B2" s="1" t="str">
        <f>PROPER(TRIM(A2))</f>
        <v>Michael Anderson</v>
      </c>
      <c r="C2" s="1" t="str">
        <f>UPPER(TRIM(A2))</f>
        <v>MICHAEL ANDERSON</v>
      </c>
      <c r="D2" s="1" t="str">
        <f>LOWER(TRIM(A2))</f>
        <v>michael anderson</v>
      </c>
      <c r="E2" s="6">
        <v>17394</v>
      </c>
      <c r="F2" s="50">
        <f ca="1">_xlfn.DAYS(TODAY(),E2)</f>
        <v>28917</v>
      </c>
    </row>
    <row r="3" spans="1:6" x14ac:dyDescent="0.25">
      <c r="A3" s="1" t="s">
        <v>837</v>
      </c>
      <c r="B3" s="1" t="str">
        <f>PROPER(TRIM(A3))</f>
        <v>Sarah Smith</v>
      </c>
      <c r="C3" s="1" t="str">
        <f t="shared" ref="C3:C53" si="0">UPPER(TRIM(A3))</f>
        <v>SARAH SMITH</v>
      </c>
      <c r="D3" s="1" t="str">
        <f t="shared" ref="D3:D53" si="1">LOWER(TRIM(A3))</f>
        <v>sarah smith</v>
      </c>
    </row>
    <row r="4" spans="1:6" x14ac:dyDescent="0.25">
      <c r="A4" s="1" t="s">
        <v>838</v>
      </c>
      <c r="B4" s="1" t="str">
        <f>PROPER(TRIM(A4))</f>
        <v>Rahul Sharma</v>
      </c>
      <c r="C4" s="1" t="str">
        <f t="shared" si="0"/>
        <v>RAHUL SHARMA</v>
      </c>
      <c r="D4" s="1" t="str">
        <f t="shared" si="1"/>
        <v>rahul sharma</v>
      </c>
    </row>
    <row r="5" spans="1:6" x14ac:dyDescent="0.25">
      <c r="A5" s="1" t="s">
        <v>839</v>
      </c>
      <c r="B5" s="1" t="str">
        <f>PROPER(TRIM(A5))</f>
        <v>Aman Kumar</v>
      </c>
      <c r="C5" s="1" t="str">
        <f t="shared" si="0"/>
        <v>AMAN KUMAR</v>
      </c>
      <c r="D5" s="1" t="str">
        <f t="shared" si="1"/>
        <v>aman kumar</v>
      </c>
    </row>
    <row r="6" spans="1:6" x14ac:dyDescent="0.25">
      <c r="A6" s="1" t="s">
        <v>840</v>
      </c>
      <c r="B6" s="1" t="str">
        <f>PROPER(TRIM(A6))</f>
        <v>Priya Singh</v>
      </c>
      <c r="C6" s="1" t="str">
        <f t="shared" si="0"/>
        <v>PRIYA SINGH</v>
      </c>
      <c r="D6" s="1" t="str">
        <f t="shared" si="1"/>
        <v>priya singh</v>
      </c>
    </row>
    <row r="7" spans="1:6" x14ac:dyDescent="0.25">
      <c r="A7" s="1" t="s">
        <v>841</v>
      </c>
      <c r="B7" s="1" t="str">
        <f t="shared" ref="B7:B53" si="2">PROPER(TRIM(A7))</f>
        <v>Rohit Mehra</v>
      </c>
      <c r="C7" s="1" t="str">
        <f t="shared" si="0"/>
        <v>ROHIT MEHRA</v>
      </c>
      <c r="D7" s="1" t="str">
        <f t="shared" si="1"/>
        <v>rohit mehra</v>
      </c>
    </row>
    <row r="8" spans="1:6" x14ac:dyDescent="0.25">
      <c r="A8" s="1" t="s">
        <v>842</v>
      </c>
      <c r="B8" s="1" t="str">
        <f t="shared" si="2"/>
        <v>Neha Verma</v>
      </c>
      <c r="C8" s="1" t="str">
        <f t="shared" si="0"/>
        <v>NEHA VERMA</v>
      </c>
      <c r="D8" s="1" t="str">
        <f t="shared" si="1"/>
        <v>neha verma</v>
      </c>
    </row>
    <row r="9" spans="1:6" x14ac:dyDescent="0.25">
      <c r="A9" s="1" t="s">
        <v>843</v>
      </c>
      <c r="B9" s="1" t="str">
        <f t="shared" si="2"/>
        <v>Akash Gupta</v>
      </c>
      <c r="C9" s="1" t="str">
        <f t="shared" si="0"/>
        <v>AKASH GUPTA</v>
      </c>
      <c r="D9" s="1" t="str">
        <f t="shared" si="1"/>
        <v>akash gupta</v>
      </c>
    </row>
    <row r="10" spans="1:6" x14ac:dyDescent="0.25">
      <c r="A10" s="1" t="s">
        <v>844</v>
      </c>
      <c r="B10" s="1" t="str">
        <f t="shared" si="2"/>
        <v>Vikash Yadav</v>
      </c>
      <c r="C10" s="1" t="str">
        <f t="shared" si="0"/>
        <v>VIKASH YADAV</v>
      </c>
      <c r="D10" s="1" t="str">
        <f t="shared" si="1"/>
        <v>vikash yadav</v>
      </c>
    </row>
    <row r="11" spans="1:6" x14ac:dyDescent="0.25">
      <c r="A11" s="1" t="s">
        <v>845</v>
      </c>
      <c r="B11" s="1" t="str">
        <f t="shared" si="2"/>
        <v>Pooja Sharma</v>
      </c>
      <c r="C11" s="1" t="str">
        <f t="shared" si="0"/>
        <v>POOJA SHARMA</v>
      </c>
      <c r="D11" s="1" t="str">
        <f t="shared" si="1"/>
        <v>pooja sharma</v>
      </c>
    </row>
    <row r="12" spans="1:6" x14ac:dyDescent="0.25">
      <c r="A12" s="1" t="s">
        <v>846</v>
      </c>
      <c r="B12" s="1" t="str">
        <f t="shared" si="2"/>
        <v>Arjun Patel</v>
      </c>
      <c r="C12" s="1" t="str">
        <f t="shared" si="0"/>
        <v>ARJUN PATEL</v>
      </c>
      <c r="D12" s="1" t="str">
        <f t="shared" si="1"/>
        <v>arjun patel</v>
      </c>
    </row>
    <row r="13" spans="1:6" x14ac:dyDescent="0.25">
      <c r="A13" s="1" t="s">
        <v>847</v>
      </c>
      <c r="B13" s="1" t="str">
        <f t="shared" si="2"/>
        <v>Nitin Kumar</v>
      </c>
      <c r="C13" s="1" t="str">
        <f t="shared" si="0"/>
        <v>NITIN KUMAR</v>
      </c>
      <c r="D13" s="1" t="str">
        <f t="shared" si="1"/>
        <v>nitin kumar</v>
      </c>
    </row>
    <row r="14" spans="1:6" x14ac:dyDescent="0.25">
      <c r="A14" s="1" t="s">
        <v>848</v>
      </c>
      <c r="B14" s="1" t="str">
        <f t="shared" si="2"/>
        <v>Sneha Jain</v>
      </c>
      <c r="C14" s="1" t="str">
        <f t="shared" si="0"/>
        <v>SNEHA JAIN</v>
      </c>
      <c r="D14" s="1" t="str">
        <f t="shared" si="1"/>
        <v>sneha jain</v>
      </c>
    </row>
    <row r="15" spans="1:6" x14ac:dyDescent="0.25">
      <c r="A15" s="1" t="s">
        <v>849</v>
      </c>
      <c r="B15" s="1" t="str">
        <f t="shared" si="2"/>
        <v>Karan Malhotra</v>
      </c>
      <c r="C15" s="1" t="str">
        <f t="shared" si="0"/>
        <v>KARAN MALHOTRA</v>
      </c>
      <c r="D15" s="1" t="str">
        <f t="shared" si="1"/>
        <v>karan malhotra</v>
      </c>
    </row>
    <row r="16" spans="1:6" x14ac:dyDescent="0.25">
      <c r="A16" s="1" t="s">
        <v>850</v>
      </c>
      <c r="B16" s="1" t="str">
        <f t="shared" si="2"/>
        <v>Anjali Verma</v>
      </c>
      <c r="C16" s="1" t="str">
        <f t="shared" si="0"/>
        <v>ANJALI VERMA</v>
      </c>
      <c r="D16" s="1" t="str">
        <f t="shared" si="1"/>
        <v>anjali verma</v>
      </c>
    </row>
    <row r="17" spans="1:4" x14ac:dyDescent="0.25">
      <c r="A17" s="1" t="s">
        <v>851</v>
      </c>
      <c r="B17" s="1" t="str">
        <f t="shared" si="2"/>
        <v>Mohit Agarwal</v>
      </c>
      <c r="C17" s="1" t="str">
        <f t="shared" si="0"/>
        <v>MOHIT AGARWAL</v>
      </c>
      <c r="D17" s="1" t="str">
        <f t="shared" si="1"/>
        <v>mohit agarwal</v>
      </c>
    </row>
    <row r="18" spans="1:4" x14ac:dyDescent="0.25">
      <c r="A18" s="1" t="s">
        <v>852</v>
      </c>
      <c r="B18" s="1" t="str">
        <f t="shared" si="2"/>
        <v>Riya Kapoor</v>
      </c>
      <c r="C18" s="1" t="str">
        <f t="shared" si="0"/>
        <v>RIYA KAPOOR</v>
      </c>
      <c r="D18" s="1" t="str">
        <f t="shared" si="1"/>
        <v>riya kapoor</v>
      </c>
    </row>
    <row r="19" spans="1:4" x14ac:dyDescent="0.25">
      <c r="A19" s="1" t="s">
        <v>853</v>
      </c>
      <c r="B19" s="1" t="str">
        <f t="shared" si="2"/>
        <v>Sumit Kumar</v>
      </c>
      <c r="C19" s="1" t="str">
        <f t="shared" si="0"/>
        <v>SUMIT KUMAR</v>
      </c>
      <c r="D19" s="1" t="str">
        <f t="shared" si="1"/>
        <v>sumit kumar</v>
      </c>
    </row>
    <row r="20" spans="1:4" x14ac:dyDescent="0.25">
      <c r="A20" s="1" t="s">
        <v>854</v>
      </c>
      <c r="B20" s="1" t="str">
        <f t="shared" si="2"/>
        <v>Tanvi Sharma</v>
      </c>
      <c r="C20" s="1" t="str">
        <f t="shared" si="0"/>
        <v>TANVI SHARMA</v>
      </c>
      <c r="D20" s="1" t="str">
        <f t="shared" si="1"/>
        <v>tanvi sharma</v>
      </c>
    </row>
    <row r="21" spans="1:4" x14ac:dyDescent="0.25">
      <c r="A21" s="1" t="s">
        <v>855</v>
      </c>
      <c r="B21" s="1" t="str">
        <f t="shared" si="2"/>
        <v>Aditya Singh</v>
      </c>
      <c r="C21" s="1" t="str">
        <f t="shared" si="0"/>
        <v>ADITYA SINGH</v>
      </c>
      <c r="D21" s="1" t="str">
        <f t="shared" si="1"/>
        <v>aditya singh</v>
      </c>
    </row>
    <row r="22" spans="1:4" x14ac:dyDescent="0.25">
      <c r="A22" s="1" t="s">
        <v>856</v>
      </c>
      <c r="B22" s="1" t="str">
        <f t="shared" si="2"/>
        <v>Payal Gupta</v>
      </c>
      <c r="C22" s="1" t="str">
        <f t="shared" si="0"/>
        <v>PAYAL GUPTA</v>
      </c>
      <c r="D22" s="1" t="str">
        <f t="shared" si="1"/>
        <v>payal gupta</v>
      </c>
    </row>
    <row r="23" spans="1:4" x14ac:dyDescent="0.25">
      <c r="A23" s="1" t="s">
        <v>857</v>
      </c>
      <c r="B23" s="1" t="str">
        <f t="shared" si="2"/>
        <v>Rajeev Mehta</v>
      </c>
      <c r="C23" s="1" t="str">
        <f t="shared" si="0"/>
        <v>RAJEEV MEHTA</v>
      </c>
      <c r="D23" s="1" t="str">
        <f t="shared" si="1"/>
        <v>rajeev mehta</v>
      </c>
    </row>
    <row r="24" spans="1:4" x14ac:dyDescent="0.25">
      <c r="A24" s="1" t="s">
        <v>858</v>
      </c>
      <c r="B24" s="1" t="str">
        <f t="shared" si="2"/>
        <v>Krishna Yadav</v>
      </c>
      <c r="C24" s="1" t="str">
        <f t="shared" si="0"/>
        <v>KRISHNA YADAV</v>
      </c>
      <c r="D24" s="1" t="str">
        <f t="shared" si="1"/>
        <v>krishna yadav</v>
      </c>
    </row>
    <row r="25" spans="1:4" x14ac:dyDescent="0.25">
      <c r="A25" s="1" t="s">
        <v>859</v>
      </c>
      <c r="B25" s="1" t="str">
        <f t="shared" si="2"/>
        <v>Anushka Sharma</v>
      </c>
      <c r="C25" s="1" t="str">
        <f t="shared" si="0"/>
        <v>ANUSHKA SHARMA</v>
      </c>
      <c r="D25" s="1" t="str">
        <f t="shared" si="1"/>
        <v>anushka sharma</v>
      </c>
    </row>
    <row r="26" spans="1:4" x14ac:dyDescent="0.25">
      <c r="A26" s="1" t="s">
        <v>860</v>
      </c>
      <c r="B26" s="1" t="str">
        <f t="shared" si="2"/>
        <v>Varun Kapoor</v>
      </c>
      <c r="C26" s="1" t="str">
        <f t="shared" si="0"/>
        <v>VARUN KAPOOR</v>
      </c>
      <c r="D26" s="1" t="str">
        <f t="shared" si="1"/>
        <v>varun kapoor</v>
      </c>
    </row>
    <row r="27" spans="1:4" x14ac:dyDescent="0.25">
      <c r="A27" s="1" t="s">
        <v>861</v>
      </c>
      <c r="B27" s="1" t="str">
        <f t="shared" si="2"/>
        <v>Divya Patel</v>
      </c>
      <c r="C27" s="1" t="str">
        <f t="shared" si="0"/>
        <v>DIVYA PATEL</v>
      </c>
      <c r="D27" s="1" t="str">
        <f t="shared" si="1"/>
        <v>divya patel</v>
      </c>
    </row>
    <row r="28" spans="1:4" x14ac:dyDescent="0.25">
      <c r="A28" s="1" t="s">
        <v>862</v>
      </c>
      <c r="B28" s="1" t="str">
        <f t="shared" si="2"/>
        <v>Sahil Khan</v>
      </c>
      <c r="C28" s="1" t="str">
        <f t="shared" si="0"/>
        <v>SAHIL KHAN</v>
      </c>
      <c r="D28" s="1" t="str">
        <f t="shared" si="1"/>
        <v>sahil khan</v>
      </c>
    </row>
    <row r="29" spans="1:4" x14ac:dyDescent="0.25">
      <c r="A29" s="1" t="s">
        <v>863</v>
      </c>
      <c r="B29" s="1" t="str">
        <f t="shared" si="2"/>
        <v>Muskan Gupta</v>
      </c>
      <c r="C29" s="1" t="str">
        <f t="shared" si="0"/>
        <v>MUSKAN GUPTA</v>
      </c>
      <c r="D29" s="1" t="str">
        <f t="shared" si="1"/>
        <v>muskan gupta</v>
      </c>
    </row>
    <row r="30" spans="1:4" x14ac:dyDescent="0.25">
      <c r="A30" s="1" t="s">
        <v>864</v>
      </c>
      <c r="B30" s="1" t="str">
        <f t="shared" si="2"/>
        <v>Abhishek Singh</v>
      </c>
      <c r="C30" s="1" t="str">
        <f t="shared" si="0"/>
        <v>ABHISHEK SINGH</v>
      </c>
      <c r="D30" s="1" t="str">
        <f t="shared" si="1"/>
        <v>abhishek singh</v>
      </c>
    </row>
    <row r="31" spans="1:4" x14ac:dyDescent="0.25">
      <c r="A31" s="1" t="s">
        <v>865</v>
      </c>
      <c r="B31" s="1" t="str">
        <f t="shared" si="2"/>
        <v>Sakshi Mehra</v>
      </c>
      <c r="C31" s="1" t="str">
        <f t="shared" si="0"/>
        <v>SAKSHI MEHRA</v>
      </c>
      <c r="D31" s="1" t="str">
        <f t="shared" si="1"/>
        <v>sakshi mehra</v>
      </c>
    </row>
    <row r="32" spans="1:4" x14ac:dyDescent="0.25">
      <c r="A32" s="1" t="s">
        <v>866</v>
      </c>
      <c r="B32" s="1" t="str">
        <f t="shared" si="2"/>
        <v>Rohan Verma</v>
      </c>
      <c r="C32" s="1" t="str">
        <f t="shared" si="0"/>
        <v>ROHAN VERMA</v>
      </c>
      <c r="D32" s="1" t="str">
        <f t="shared" si="1"/>
        <v>rohan verma</v>
      </c>
    </row>
    <row r="33" spans="1:4" x14ac:dyDescent="0.25">
      <c r="A33" s="1" t="s">
        <v>867</v>
      </c>
      <c r="B33" s="1" t="str">
        <f t="shared" si="2"/>
        <v>Isha Patel</v>
      </c>
      <c r="C33" s="1" t="str">
        <f t="shared" si="0"/>
        <v>ISHA PATEL</v>
      </c>
      <c r="D33" s="1" t="str">
        <f t="shared" si="1"/>
        <v>isha patel</v>
      </c>
    </row>
    <row r="34" spans="1:4" x14ac:dyDescent="0.25">
      <c r="A34" s="1" t="s">
        <v>868</v>
      </c>
      <c r="B34" s="1" t="str">
        <f t="shared" si="2"/>
        <v>Manav Sharma</v>
      </c>
      <c r="C34" s="1" t="str">
        <f t="shared" si="0"/>
        <v>MANAV SHARMA</v>
      </c>
      <c r="D34" s="1" t="str">
        <f t="shared" si="1"/>
        <v>manav sharma</v>
      </c>
    </row>
    <row r="35" spans="1:4" x14ac:dyDescent="0.25">
      <c r="A35" s="1" t="s">
        <v>869</v>
      </c>
      <c r="B35" s="1" t="str">
        <f t="shared" si="2"/>
        <v>Kavya Jain</v>
      </c>
      <c r="C35" s="1" t="str">
        <f t="shared" si="0"/>
        <v>KAVYA JAIN</v>
      </c>
      <c r="D35" s="1" t="str">
        <f t="shared" si="1"/>
        <v>kavya jain</v>
      </c>
    </row>
    <row r="36" spans="1:4" x14ac:dyDescent="0.25">
      <c r="A36" s="1" t="s">
        <v>870</v>
      </c>
      <c r="B36" s="1" t="str">
        <f t="shared" si="2"/>
        <v>Deepak Yadav</v>
      </c>
      <c r="C36" s="1" t="str">
        <f t="shared" si="0"/>
        <v>DEEPAK YADAV</v>
      </c>
      <c r="D36" s="1" t="str">
        <f t="shared" si="1"/>
        <v>deepak yadav</v>
      </c>
    </row>
    <row r="37" spans="1:4" x14ac:dyDescent="0.25">
      <c r="A37" s="1" t="s">
        <v>871</v>
      </c>
      <c r="B37" s="1" t="str">
        <f t="shared" si="2"/>
        <v>Priyanshu Kumar</v>
      </c>
      <c r="C37" s="1" t="str">
        <f t="shared" si="0"/>
        <v>PRIYANSHU KUMAR</v>
      </c>
      <c r="D37" s="1" t="str">
        <f t="shared" si="1"/>
        <v>priyanshu kumar</v>
      </c>
    </row>
    <row r="38" spans="1:4" x14ac:dyDescent="0.25">
      <c r="A38" s="1" t="s">
        <v>872</v>
      </c>
      <c r="B38" s="1" t="str">
        <f t="shared" si="2"/>
        <v>Neelam Gupta</v>
      </c>
      <c r="C38" s="1" t="str">
        <f t="shared" si="0"/>
        <v>NEELAM GUPTA</v>
      </c>
      <c r="D38" s="1" t="str">
        <f t="shared" si="1"/>
        <v>neelam gupta</v>
      </c>
    </row>
    <row r="39" spans="1:4" x14ac:dyDescent="0.25">
      <c r="A39" s="1" t="s">
        <v>873</v>
      </c>
      <c r="B39" s="1" t="str">
        <f t="shared" si="2"/>
        <v>Ayush Mehta</v>
      </c>
      <c r="C39" s="1" t="str">
        <f t="shared" si="0"/>
        <v>AYUSH MEHTA</v>
      </c>
      <c r="D39" s="1" t="str">
        <f t="shared" si="1"/>
        <v>ayush mehta</v>
      </c>
    </row>
    <row r="40" spans="1:4" x14ac:dyDescent="0.25">
      <c r="A40" s="1" t="s">
        <v>874</v>
      </c>
      <c r="B40" s="1" t="str">
        <f t="shared" si="2"/>
        <v>Shruti Singh</v>
      </c>
      <c r="C40" s="1" t="str">
        <f t="shared" si="0"/>
        <v>SHRUTI SINGH</v>
      </c>
      <c r="D40" s="1" t="str">
        <f t="shared" si="1"/>
        <v>shruti singh</v>
      </c>
    </row>
    <row r="41" spans="1:4" x14ac:dyDescent="0.25">
      <c r="A41" s="1" t="s">
        <v>875</v>
      </c>
      <c r="B41" s="1" t="str">
        <f t="shared" si="2"/>
        <v>Arnav Kapoor</v>
      </c>
      <c r="C41" s="1" t="str">
        <f t="shared" si="0"/>
        <v>ARNAV KAPOOR</v>
      </c>
      <c r="D41" s="1" t="str">
        <f t="shared" si="1"/>
        <v>arnav kapoor</v>
      </c>
    </row>
    <row r="42" spans="1:4" x14ac:dyDescent="0.25">
      <c r="A42" s="1" t="s">
        <v>876</v>
      </c>
      <c r="B42" s="1" t="str">
        <f t="shared" si="2"/>
        <v>Megha Sharma</v>
      </c>
      <c r="C42" s="1" t="str">
        <f t="shared" si="0"/>
        <v>MEGHA SHARMA</v>
      </c>
      <c r="D42" s="1" t="str">
        <f t="shared" si="1"/>
        <v>megha sharma</v>
      </c>
    </row>
    <row r="43" spans="1:4" x14ac:dyDescent="0.25">
      <c r="A43" s="1" t="s">
        <v>877</v>
      </c>
      <c r="B43" s="1" t="str">
        <f t="shared" si="2"/>
        <v>Vivek Patel</v>
      </c>
      <c r="C43" s="1" t="str">
        <f t="shared" si="0"/>
        <v>VIVEK PATEL</v>
      </c>
      <c r="D43" s="1" t="str">
        <f t="shared" si="1"/>
        <v>vivek patel</v>
      </c>
    </row>
    <row r="44" spans="1:4" x14ac:dyDescent="0.25">
      <c r="A44" s="1" t="s">
        <v>878</v>
      </c>
      <c r="B44" s="1" t="str">
        <f t="shared" si="2"/>
        <v>Ritik Kumar</v>
      </c>
      <c r="C44" s="1" t="str">
        <f t="shared" si="0"/>
        <v>RITIK KUMAR</v>
      </c>
      <c r="D44" s="1" t="str">
        <f t="shared" si="1"/>
        <v>ritik kumar</v>
      </c>
    </row>
    <row r="45" spans="1:4" x14ac:dyDescent="0.25">
      <c r="A45" s="1" t="s">
        <v>879</v>
      </c>
      <c r="B45" s="1" t="str">
        <f t="shared" si="2"/>
        <v>Aditi Verma</v>
      </c>
      <c r="C45" s="1" t="str">
        <f t="shared" si="0"/>
        <v>ADITI VERMA</v>
      </c>
      <c r="D45" s="1" t="str">
        <f t="shared" si="1"/>
        <v>aditi verma</v>
      </c>
    </row>
    <row r="46" spans="1:4" x14ac:dyDescent="0.25">
      <c r="A46" s="1" t="s">
        <v>880</v>
      </c>
      <c r="B46" s="1" t="str">
        <f t="shared" si="2"/>
        <v>Nikhil Yadav</v>
      </c>
      <c r="C46" s="1" t="str">
        <f t="shared" si="0"/>
        <v>NIKHIL YADAV</v>
      </c>
      <c r="D46" s="1" t="str">
        <f t="shared" si="1"/>
        <v>nikhil yadav</v>
      </c>
    </row>
    <row r="47" spans="1:4" x14ac:dyDescent="0.25">
      <c r="A47" s="1" t="s">
        <v>881</v>
      </c>
      <c r="B47" s="1" t="str">
        <f t="shared" si="2"/>
        <v>Prachi Jain</v>
      </c>
      <c r="C47" s="1" t="str">
        <f t="shared" si="0"/>
        <v>PRACHI JAIN</v>
      </c>
      <c r="D47" s="1" t="str">
        <f t="shared" si="1"/>
        <v>prachi jain</v>
      </c>
    </row>
    <row r="48" spans="1:4" x14ac:dyDescent="0.25">
      <c r="A48" s="1" t="s">
        <v>882</v>
      </c>
      <c r="B48" s="1" t="str">
        <f t="shared" si="2"/>
        <v>Sumit Singh</v>
      </c>
      <c r="C48" s="1" t="str">
        <f t="shared" si="0"/>
        <v>SUMIT SINGH</v>
      </c>
      <c r="D48" s="1" t="str">
        <f t="shared" si="1"/>
        <v>sumit singh</v>
      </c>
    </row>
    <row r="49" spans="1:4" x14ac:dyDescent="0.25">
      <c r="A49" s="1" t="s">
        <v>883</v>
      </c>
      <c r="B49" s="1" t="str">
        <f t="shared" si="2"/>
        <v>Komal Gupta</v>
      </c>
      <c r="C49" s="1" t="str">
        <f t="shared" si="0"/>
        <v>KOMAL GUPTA</v>
      </c>
      <c r="D49" s="1" t="str">
        <f t="shared" si="1"/>
        <v>komal gupta</v>
      </c>
    </row>
    <row r="50" spans="1:4" x14ac:dyDescent="0.25">
      <c r="A50" s="1" t="s">
        <v>884</v>
      </c>
      <c r="B50" s="1" t="str">
        <f t="shared" si="2"/>
        <v>Harsh Mehra</v>
      </c>
      <c r="C50" s="1" t="str">
        <f t="shared" si="0"/>
        <v>HARSH MEHRA</v>
      </c>
      <c r="D50" s="1" t="str">
        <f t="shared" si="1"/>
        <v>harsh mehra</v>
      </c>
    </row>
    <row r="51" spans="1:4" x14ac:dyDescent="0.25">
      <c r="A51" s="1" t="s">
        <v>885</v>
      </c>
      <c r="B51" s="1" t="str">
        <f t="shared" si="2"/>
        <v>Sanvi Sharma</v>
      </c>
      <c r="C51" s="1" t="str">
        <f t="shared" si="0"/>
        <v>SANVI SHARMA</v>
      </c>
      <c r="D51" s="1" t="str">
        <f t="shared" si="1"/>
        <v>sanvi sharma</v>
      </c>
    </row>
    <row r="52" spans="1:4" x14ac:dyDescent="0.25">
      <c r="A52" s="1" t="s">
        <v>886</v>
      </c>
      <c r="B52" s="1" t="str">
        <f t="shared" si="2"/>
        <v>Rakesh Patel</v>
      </c>
      <c r="C52" s="1" t="str">
        <f t="shared" si="0"/>
        <v>RAKESH PATEL</v>
      </c>
      <c r="D52" s="1" t="str">
        <f t="shared" si="1"/>
        <v>rakesh patel</v>
      </c>
    </row>
    <row r="53" spans="1:4" x14ac:dyDescent="0.25">
      <c r="A53" s="1" t="s">
        <v>887</v>
      </c>
      <c r="B53" s="1" t="str">
        <f t="shared" si="2"/>
        <v>Tanu Kapoor</v>
      </c>
      <c r="C53" s="1" t="str">
        <f t="shared" si="0"/>
        <v>TANU KAPOOR</v>
      </c>
      <c r="D53" s="1" t="str">
        <f t="shared" si="1"/>
        <v>tanu kapoor</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E77BC-E436-4AB3-99F7-19471DC4408B}">
  <sheetPr codeName="Sheet21"/>
  <dimension ref="A1:AA52"/>
  <sheetViews>
    <sheetView zoomScale="90" zoomScaleNormal="90" workbookViewId="0">
      <selection activeCell="C6" sqref="C6"/>
    </sheetView>
  </sheetViews>
  <sheetFormatPr defaultRowHeight="15" x14ac:dyDescent="0.25"/>
  <cols>
    <col min="1" max="1" width="9.28515625" bestFit="1" customWidth="1"/>
    <col min="2" max="2" width="7.5703125" bestFit="1" customWidth="1"/>
    <col min="3" max="3" width="9.28515625" bestFit="1" customWidth="1"/>
    <col min="4" max="4" width="6.42578125" bestFit="1" customWidth="1"/>
    <col min="5" max="5" width="5" bestFit="1" customWidth="1"/>
    <col min="6" max="6" width="4.7109375" bestFit="1" customWidth="1"/>
    <col min="7" max="7" width="5" bestFit="1" customWidth="1"/>
    <col min="8" max="8" width="4.28515625" bestFit="1" customWidth="1"/>
    <col min="9" max="9" width="6.85546875" bestFit="1" customWidth="1"/>
    <col min="10" max="10" width="10.7109375" bestFit="1" customWidth="1"/>
    <col min="11" max="11" width="7.85546875" bestFit="1" customWidth="1"/>
    <col min="12" max="12" width="10.140625" bestFit="1" customWidth="1"/>
    <col min="13" max="13" width="10" bestFit="1" customWidth="1"/>
    <col min="15" max="15" width="7.85546875" bestFit="1" customWidth="1"/>
    <col min="16" max="16" width="7.5703125" bestFit="1" customWidth="1"/>
    <col min="17" max="17" width="9.28515625" bestFit="1" customWidth="1"/>
    <col min="18" max="18" width="6.42578125" bestFit="1" customWidth="1"/>
    <col min="19" max="19" width="5" bestFit="1" customWidth="1"/>
    <col min="20" max="20" width="4.7109375" bestFit="1" customWidth="1"/>
    <col min="21" max="21" width="5" bestFit="1" customWidth="1"/>
    <col min="22" max="22" width="4.28515625" bestFit="1" customWidth="1"/>
    <col min="23" max="23" width="6.85546875" bestFit="1" customWidth="1"/>
    <col min="24" max="24" width="10.7109375" bestFit="1" customWidth="1"/>
    <col min="25" max="25" width="7.85546875" bestFit="1" customWidth="1"/>
    <col min="26" max="26" width="10.140625" bestFit="1" customWidth="1"/>
    <col min="27" max="27" width="10" bestFit="1" customWidth="1"/>
  </cols>
  <sheetData>
    <row r="1" spans="1:27" ht="18.75" x14ac:dyDescent="0.3">
      <c r="A1" s="486" t="s">
        <v>942</v>
      </c>
      <c r="B1" s="486"/>
      <c r="C1" s="486"/>
      <c r="D1" s="486"/>
      <c r="E1" s="486"/>
      <c r="F1" s="486"/>
      <c r="G1" s="486"/>
      <c r="H1" s="486"/>
      <c r="I1" s="486"/>
      <c r="J1" s="486"/>
      <c r="K1" s="486"/>
      <c r="L1" s="486"/>
      <c r="M1" s="486"/>
    </row>
    <row r="2" spans="1:27" x14ac:dyDescent="0.25">
      <c r="A2" s="92" t="s">
        <v>548</v>
      </c>
      <c r="B2" s="92" t="s">
        <v>498</v>
      </c>
      <c r="C2" s="92" t="s">
        <v>556</v>
      </c>
      <c r="D2" s="92" t="s">
        <v>557</v>
      </c>
      <c r="E2" s="92" t="s">
        <v>558</v>
      </c>
      <c r="F2" s="92" t="s">
        <v>502</v>
      </c>
      <c r="G2" s="92" t="s">
        <v>503</v>
      </c>
      <c r="H2" s="92" t="s">
        <v>504</v>
      </c>
      <c r="I2" s="92" t="s">
        <v>559</v>
      </c>
      <c r="J2" s="92" t="s">
        <v>560</v>
      </c>
      <c r="K2" s="92" t="s">
        <v>561</v>
      </c>
      <c r="L2" s="92" t="s">
        <v>562</v>
      </c>
      <c r="M2" s="92" t="s">
        <v>563</v>
      </c>
      <c r="O2" s="92" t="s">
        <v>548</v>
      </c>
      <c r="P2" s="92" t="s">
        <v>498</v>
      </c>
      <c r="Q2" s="92" t="s">
        <v>556</v>
      </c>
      <c r="R2" s="92" t="s">
        <v>557</v>
      </c>
      <c r="S2" s="92" t="s">
        <v>558</v>
      </c>
      <c r="T2" s="92" t="s">
        <v>502</v>
      </c>
      <c r="U2" s="92" t="s">
        <v>503</v>
      </c>
      <c r="V2" s="92" t="s">
        <v>504</v>
      </c>
      <c r="W2" s="92" t="s">
        <v>559</v>
      </c>
      <c r="X2" s="92" t="s">
        <v>560</v>
      </c>
      <c r="Y2" s="92" t="s">
        <v>561</v>
      </c>
      <c r="Z2" s="92" t="s">
        <v>562</v>
      </c>
      <c r="AA2" s="92" t="s">
        <v>563</v>
      </c>
    </row>
    <row r="3" spans="1:27" x14ac:dyDescent="0.25">
      <c r="A3" s="93" t="s">
        <v>57</v>
      </c>
      <c r="B3" s="20">
        <v>25</v>
      </c>
      <c r="C3" s="20">
        <v>23</v>
      </c>
      <c r="D3" s="20">
        <v>26</v>
      </c>
      <c r="E3" s="20">
        <v>22</v>
      </c>
      <c r="F3" s="20">
        <v>24</v>
      </c>
      <c r="G3" s="20">
        <v>26</v>
      </c>
      <c r="H3" s="20">
        <v>25</v>
      </c>
      <c r="I3" s="20">
        <v>24</v>
      </c>
      <c r="J3" s="20">
        <v>26</v>
      </c>
      <c r="K3" s="20">
        <v>21</v>
      </c>
      <c r="L3" s="20">
        <v>22</v>
      </c>
      <c r="M3" s="20">
        <v>23</v>
      </c>
      <c r="O3" t="s">
        <v>73</v>
      </c>
      <c r="P3" cm="1">
        <f t="array" aca="1" ref="P3:X12" ca="1">OFFSET(A2,MATCH(O3,A3:A52,0),1,10,9)</f>
        <v>26</v>
      </c>
      <c r="Q3">
        <f ca="1"/>
        <v>23</v>
      </c>
      <c r="R3">
        <f ca="1"/>
        <v>21</v>
      </c>
      <c r="S3">
        <f ca="1"/>
        <v>22</v>
      </c>
      <c r="T3">
        <f ca="1"/>
        <v>21</v>
      </c>
      <c r="U3">
        <f ca="1"/>
        <v>23</v>
      </c>
      <c r="V3">
        <f ca="1"/>
        <v>25</v>
      </c>
      <c r="W3">
        <f ca="1"/>
        <v>24</v>
      </c>
      <c r="X3">
        <f ca="1"/>
        <v>20</v>
      </c>
    </row>
    <row r="4" spans="1:27" x14ac:dyDescent="0.25">
      <c r="A4" s="93" t="s">
        <v>66</v>
      </c>
      <c r="B4" s="20">
        <v>20</v>
      </c>
      <c r="C4" s="20">
        <v>20</v>
      </c>
      <c r="D4" s="20">
        <v>26</v>
      </c>
      <c r="E4" s="20">
        <v>25</v>
      </c>
      <c r="F4" s="20">
        <v>21</v>
      </c>
      <c r="G4" s="20">
        <v>20</v>
      </c>
      <c r="H4" s="20">
        <v>22</v>
      </c>
      <c r="I4" s="20">
        <v>21</v>
      </c>
      <c r="J4" s="20">
        <v>24</v>
      </c>
      <c r="K4" s="20">
        <v>20</v>
      </c>
      <c r="L4" s="20">
        <v>26</v>
      </c>
      <c r="M4" s="20">
        <v>22</v>
      </c>
      <c r="P4">
        <f ca="1"/>
        <v>24</v>
      </c>
      <c r="Q4">
        <f ca="1"/>
        <v>25</v>
      </c>
      <c r="R4">
        <f ca="1"/>
        <v>21</v>
      </c>
      <c r="S4">
        <f ca="1"/>
        <v>20</v>
      </c>
      <c r="T4">
        <f ca="1"/>
        <v>23</v>
      </c>
      <c r="U4">
        <f ca="1"/>
        <v>22</v>
      </c>
      <c r="V4">
        <f ca="1"/>
        <v>21</v>
      </c>
      <c r="W4">
        <f ca="1"/>
        <v>23</v>
      </c>
      <c r="X4">
        <f ca="1"/>
        <v>23</v>
      </c>
    </row>
    <row r="5" spans="1:27" x14ac:dyDescent="0.25">
      <c r="A5" s="93" t="s">
        <v>73</v>
      </c>
      <c r="B5" s="20">
        <v>26</v>
      </c>
      <c r="C5" s="20">
        <v>23</v>
      </c>
      <c r="D5" s="20">
        <v>21</v>
      </c>
      <c r="E5" s="20">
        <v>22</v>
      </c>
      <c r="F5" s="20">
        <v>21</v>
      </c>
      <c r="G5" s="20">
        <v>23</v>
      </c>
      <c r="H5" s="20">
        <v>25</v>
      </c>
      <c r="I5" s="20">
        <v>24</v>
      </c>
      <c r="J5" s="20">
        <v>20</v>
      </c>
      <c r="K5" s="20">
        <v>20</v>
      </c>
      <c r="L5" s="20">
        <v>21</v>
      </c>
      <c r="M5" s="20">
        <v>26</v>
      </c>
      <c r="P5">
        <f ca="1"/>
        <v>26</v>
      </c>
      <c r="Q5">
        <f ca="1"/>
        <v>25</v>
      </c>
      <c r="R5">
        <f ca="1"/>
        <v>21</v>
      </c>
      <c r="S5">
        <f ca="1"/>
        <v>22</v>
      </c>
      <c r="T5">
        <f ca="1"/>
        <v>20</v>
      </c>
      <c r="U5">
        <f ca="1"/>
        <v>26</v>
      </c>
      <c r="V5">
        <f ca="1"/>
        <v>26</v>
      </c>
      <c r="W5">
        <f ca="1"/>
        <v>20</v>
      </c>
      <c r="X5">
        <f ca="1"/>
        <v>22</v>
      </c>
    </row>
    <row r="6" spans="1:27" x14ac:dyDescent="0.25">
      <c r="A6" s="93" t="s">
        <v>79</v>
      </c>
      <c r="B6" s="20">
        <v>24</v>
      </c>
      <c r="C6" s="20">
        <v>25</v>
      </c>
      <c r="D6" s="20">
        <v>21</v>
      </c>
      <c r="E6" s="20">
        <v>20</v>
      </c>
      <c r="F6" s="20">
        <v>23</v>
      </c>
      <c r="G6" s="20">
        <v>22</v>
      </c>
      <c r="H6" s="20">
        <v>21</v>
      </c>
      <c r="I6" s="20">
        <v>23</v>
      </c>
      <c r="J6" s="20">
        <v>23</v>
      </c>
      <c r="K6" s="20">
        <v>24</v>
      </c>
      <c r="L6" s="20">
        <v>25</v>
      </c>
      <c r="M6" s="20">
        <v>24</v>
      </c>
      <c r="P6">
        <f ca="1"/>
        <v>23</v>
      </c>
      <c r="Q6">
        <f ca="1"/>
        <v>26</v>
      </c>
      <c r="R6">
        <f ca="1"/>
        <v>24</v>
      </c>
      <c r="S6">
        <f ca="1"/>
        <v>21</v>
      </c>
      <c r="T6">
        <f ca="1"/>
        <v>23</v>
      </c>
      <c r="U6">
        <f ca="1"/>
        <v>20</v>
      </c>
      <c r="V6">
        <f ca="1"/>
        <v>25</v>
      </c>
      <c r="W6">
        <f ca="1"/>
        <v>24</v>
      </c>
      <c r="X6">
        <f ca="1"/>
        <v>22</v>
      </c>
    </row>
    <row r="7" spans="1:27" x14ac:dyDescent="0.25">
      <c r="A7" s="93" t="s">
        <v>85</v>
      </c>
      <c r="B7" s="20">
        <v>26</v>
      </c>
      <c r="C7" s="20">
        <v>25</v>
      </c>
      <c r="D7" s="20">
        <v>21</v>
      </c>
      <c r="E7" s="20">
        <v>22</v>
      </c>
      <c r="F7" s="20">
        <v>20</v>
      </c>
      <c r="G7" s="20">
        <v>26</v>
      </c>
      <c r="H7" s="20">
        <v>26</v>
      </c>
      <c r="I7" s="20">
        <v>20</v>
      </c>
      <c r="J7" s="20">
        <v>22</v>
      </c>
      <c r="K7" s="20">
        <v>25</v>
      </c>
      <c r="L7" s="20">
        <v>23</v>
      </c>
      <c r="M7" s="20">
        <v>22</v>
      </c>
      <c r="P7">
        <f ca="1"/>
        <v>25</v>
      </c>
      <c r="Q7">
        <f ca="1"/>
        <v>23</v>
      </c>
      <c r="R7">
        <f ca="1"/>
        <v>26</v>
      </c>
      <c r="S7">
        <f ca="1"/>
        <v>21</v>
      </c>
      <c r="T7">
        <f ca="1"/>
        <v>26</v>
      </c>
      <c r="U7">
        <f ca="1"/>
        <v>25</v>
      </c>
      <c r="V7">
        <f ca="1"/>
        <v>21</v>
      </c>
      <c r="W7">
        <f ca="1"/>
        <v>26</v>
      </c>
      <c r="X7">
        <f ca="1"/>
        <v>21</v>
      </c>
    </row>
    <row r="8" spans="1:27" x14ac:dyDescent="0.25">
      <c r="A8" s="93" t="s">
        <v>92</v>
      </c>
      <c r="B8" s="20">
        <v>23</v>
      </c>
      <c r="C8" s="20">
        <v>26</v>
      </c>
      <c r="D8" s="20">
        <v>24</v>
      </c>
      <c r="E8" s="20">
        <v>21</v>
      </c>
      <c r="F8" s="20">
        <v>23</v>
      </c>
      <c r="G8" s="20">
        <v>20</v>
      </c>
      <c r="H8" s="20">
        <v>25</v>
      </c>
      <c r="I8" s="20">
        <v>24</v>
      </c>
      <c r="J8" s="20">
        <v>22</v>
      </c>
      <c r="K8" s="20">
        <v>21</v>
      </c>
      <c r="L8" s="20">
        <v>24</v>
      </c>
      <c r="M8" s="20">
        <v>22</v>
      </c>
      <c r="P8">
        <f ca="1"/>
        <v>21</v>
      </c>
      <c r="Q8">
        <f ca="1"/>
        <v>24</v>
      </c>
      <c r="R8">
        <f ca="1"/>
        <v>24</v>
      </c>
      <c r="S8">
        <f ca="1"/>
        <v>26</v>
      </c>
      <c r="T8">
        <f ca="1"/>
        <v>26</v>
      </c>
      <c r="U8">
        <f ca="1"/>
        <v>20</v>
      </c>
      <c r="V8">
        <f ca="1"/>
        <v>20</v>
      </c>
      <c r="W8">
        <f ca="1"/>
        <v>24</v>
      </c>
      <c r="X8">
        <f ca="1"/>
        <v>26</v>
      </c>
    </row>
    <row r="9" spans="1:27" x14ac:dyDescent="0.25">
      <c r="A9" s="93" t="s">
        <v>98</v>
      </c>
      <c r="B9" s="20">
        <v>25</v>
      </c>
      <c r="C9" s="20">
        <v>23</v>
      </c>
      <c r="D9" s="20">
        <v>26</v>
      </c>
      <c r="E9" s="20">
        <v>21</v>
      </c>
      <c r="F9" s="20">
        <v>26</v>
      </c>
      <c r="G9" s="20">
        <v>25</v>
      </c>
      <c r="H9" s="20">
        <v>21</v>
      </c>
      <c r="I9" s="20">
        <v>26</v>
      </c>
      <c r="J9" s="20">
        <v>21</v>
      </c>
      <c r="K9" s="20">
        <v>23</v>
      </c>
      <c r="L9" s="20">
        <v>22</v>
      </c>
      <c r="M9" s="20">
        <v>23</v>
      </c>
      <c r="P9">
        <f ca="1"/>
        <v>22</v>
      </c>
      <c r="Q9">
        <f ca="1"/>
        <v>24</v>
      </c>
      <c r="R9">
        <f ca="1"/>
        <v>21</v>
      </c>
      <c r="S9">
        <f ca="1"/>
        <v>25</v>
      </c>
      <c r="T9">
        <f ca="1"/>
        <v>21</v>
      </c>
      <c r="U9">
        <f ca="1"/>
        <v>24</v>
      </c>
      <c r="V9">
        <f ca="1"/>
        <v>20</v>
      </c>
      <c r="W9">
        <f ca="1"/>
        <v>21</v>
      </c>
      <c r="X9">
        <f ca="1"/>
        <v>20</v>
      </c>
    </row>
    <row r="10" spans="1:27" x14ac:dyDescent="0.25">
      <c r="A10" s="93" t="s">
        <v>104</v>
      </c>
      <c r="B10" s="20">
        <v>21</v>
      </c>
      <c r="C10" s="20">
        <v>24</v>
      </c>
      <c r="D10" s="20">
        <v>24</v>
      </c>
      <c r="E10" s="20">
        <v>26</v>
      </c>
      <c r="F10" s="20">
        <v>26</v>
      </c>
      <c r="G10" s="20">
        <v>20</v>
      </c>
      <c r="H10" s="20">
        <v>20</v>
      </c>
      <c r="I10" s="20">
        <v>24</v>
      </c>
      <c r="J10" s="20">
        <v>26</v>
      </c>
      <c r="K10" s="20">
        <v>22</v>
      </c>
      <c r="L10" s="20">
        <v>23</v>
      </c>
      <c r="M10" s="20">
        <v>24</v>
      </c>
      <c r="P10">
        <f ca="1"/>
        <v>24</v>
      </c>
      <c r="Q10">
        <f ca="1"/>
        <v>21</v>
      </c>
      <c r="R10">
        <f ca="1"/>
        <v>23</v>
      </c>
      <c r="S10">
        <f ca="1"/>
        <v>24</v>
      </c>
      <c r="T10">
        <f ca="1"/>
        <v>25</v>
      </c>
      <c r="U10">
        <f ca="1"/>
        <v>24</v>
      </c>
      <c r="V10">
        <f ca="1"/>
        <v>24</v>
      </c>
      <c r="W10">
        <f ca="1"/>
        <v>21</v>
      </c>
      <c r="X10">
        <f ca="1"/>
        <v>25</v>
      </c>
    </row>
    <row r="11" spans="1:27" x14ac:dyDescent="0.25">
      <c r="A11" s="93" t="s">
        <v>111</v>
      </c>
      <c r="B11" s="20">
        <v>22</v>
      </c>
      <c r="C11" s="20">
        <v>24</v>
      </c>
      <c r="D11" s="20">
        <v>21</v>
      </c>
      <c r="E11" s="20">
        <v>25</v>
      </c>
      <c r="F11" s="20">
        <v>21</v>
      </c>
      <c r="G11" s="20">
        <v>24</v>
      </c>
      <c r="H11" s="20">
        <v>20</v>
      </c>
      <c r="I11" s="20">
        <v>21</v>
      </c>
      <c r="J11" s="20">
        <v>20</v>
      </c>
      <c r="K11" s="20">
        <v>20</v>
      </c>
      <c r="L11" s="20">
        <v>26</v>
      </c>
      <c r="M11" s="20">
        <v>25</v>
      </c>
      <c r="P11">
        <f ca="1"/>
        <v>24</v>
      </c>
      <c r="Q11">
        <f ca="1"/>
        <v>24</v>
      </c>
      <c r="R11">
        <f ca="1"/>
        <v>26</v>
      </c>
      <c r="S11">
        <f ca="1"/>
        <v>22</v>
      </c>
      <c r="T11">
        <f ca="1"/>
        <v>21</v>
      </c>
      <c r="U11">
        <f ca="1"/>
        <v>25</v>
      </c>
      <c r="V11">
        <f ca="1"/>
        <v>22</v>
      </c>
      <c r="W11">
        <f ca="1"/>
        <v>22</v>
      </c>
      <c r="X11">
        <f ca="1"/>
        <v>21</v>
      </c>
    </row>
    <row r="12" spans="1:27" x14ac:dyDescent="0.25">
      <c r="A12" s="93" t="s">
        <v>117</v>
      </c>
      <c r="B12" s="20">
        <v>24</v>
      </c>
      <c r="C12" s="20">
        <v>21</v>
      </c>
      <c r="D12" s="20">
        <v>23</v>
      </c>
      <c r="E12" s="20">
        <v>24</v>
      </c>
      <c r="F12" s="20">
        <v>25</v>
      </c>
      <c r="G12" s="20">
        <v>24</v>
      </c>
      <c r="H12" s="20">
        <v>24</v>
      </c>
      <c r="I12" s="20">
        <v>21</v>
      </c>
      <c r="J12" s="20">
        <v>25</v>
      </c>
      <c r="K12" s="20">
        <v>26</v>
      </c>
      <c r="L12" s="20">
        <v>25</v>
      </c>
      <c r="M12" s="20">
        <v>23</v>
      </c>
      <c r="P12">
        <f ca="1"/>
        <v>24</v>
      </c>
      <c r="Q12">
        <f ca="1"/>
        <v>25</v>
      </c>
      <c r="R12">
        <f ca="1"/>
        <v>23</v>
      </c>
      <c r="S12">
        <f ca="1"/>
        <v>24</v>
      </c>
      <c r="T12">
        <f ca="1"/>
        <v>25</v>
      </c>
      <c r="U12">
        <f ca="1"/>
        <v>20</v>
      </c>
      <c r="V12">
        <f ca="1"/>
        <v>22</v>
      </c>
      <c r="W12">
        <f ca="1"/>
        <v>23</v>
      </c>
      <c r="X12">
        <f ca="1"/>
        <v>21</v>
      </c>
    </row>
    <row r="13" spans="1:27" x14ac:dyDescent="0.25">
      <c r="A13" s="93" t="s">
        <v>124</v>
      </c>
      <c r="B13" s="20">
        <v>24</v>
      </c>
      <c r="C13" s="20">
        <v>24</v>
      </c>
      <c r="D13" s="20">
        <v>26</v>
      </c>
      <c r="E13" s="20">
        <v>22</v>
      </c>
      <c r="F13" s="20">
        <v>21</v>
      </c>
      <c r="G13" s="20">
        <v>25</v>
      </c>
      <c r="H13" s="20">
        <v>22</v>
      </c>
      <c r="I13" s="20">
        <v>22</v>
      </c>
      <c r="J13" s="20">
        <v>21</v>
      </c>
      <c r="K13" s="20">
        <v>23</v>
      </c>
      <c r="L13" s="20">
        <v>25</v>
      </c>
      <c r="M13" s="20">
        <v>21</v>
      </c>
    </row>
    <row r="14" spans="1:27" x14ac:dyDescent="0.25">
      <c r="A14" s="93" t="s">
        <v>129</v>
      </c>
      <c r="B14" s="20">
        <v>24</v>
      </c>
      <c r="C14" s="20">
        <v>25</v>
      </c>
      <c r="D14" s="20">
        <v>23</v>
      </c>
      <c r="E14" s="20">
        <v>24</v>
      </c>
      <c r="F14" s="20">
        <v>25</v>
      </c>
      <c r="G14" s="20">
        <v>20</v>
      </c>
      <c r="H14" s="20">
        <v>22</v>
      </c>
      <c r="I14" s="20">
        <v>23</v>
      </c>
      <c r="J14" s="20">
        <v>21</v>
      </c>
      <c r="K14" s="20">
        <v>21</v>
      </c>
      <c r="L14" s="20">
        <v>23</v>
      </c>
      <c r="M14" s="20">
        <v>25</v>
      </c>
    </row>
    <row r="15" spans="1:27" x14ac:dyDescent="0.25">
      <c r="A15" s="93" t="s">
        <v>135</v>
      </c>
      <c r="B15" s="20">
        <v>21</v>
      </c>
      <c r="C15" s="20">
        <v>20</v>
      </c>
      <c r="D15" s="20">
        <v>26</v>
      </c>
      <c r="E15" s="20">
        <v>21</v>
      </c>
      <c r="F15" s="20">
        <v>21</v>
      </c>
      <c r="G15" s="20">
        <v>26</v>
      </c>
      <c r="H15" s="20">
        <v>25</v>
      </c>
      <c r="I15" s="20">
        <v>24</v>
      </c>
      <c r="J15" s="20">
        <v>25</v>
      </c>
      <c r="K15" s="20">
        <v>20</v>
      </c>
      <c r="L15" s="20">
        <v>21</v>
      </c>
      <c r="M15" s="20">
        <v>24</v>
      </c>
    </row>
    <row r="16" spans="1:27" x14ac:dyDescent="0.25">
      <c r="A16" s="93" t="s">
        <v>142</v>
      </c>
      <c r="B16" s="20">
        <v>24</v>
      </c>
      <c r="C16" s="20">
        <v>20</v>
      </c>
      <c r="D16" s="20">
        <v>24</v>
      </c>
      <c r="E16" s="20">
        <v>21</v>
      </c>
      <c r="F16" s="20">
        <v>24</v>
      </c>
      <c r="G16" s="20">
        <v>23</v>
      </c>
      <c r="H16" s="20">
        <v>25</v>
      </c>
      <c r="I16" s="20">
        <v>21</v>
      </c>
      <c r="J16" s="20">
        <v>21</v>
      </c>
      <c r="K16" s="20">
        <v>26</v>
      </c>
      <c r="L16" s="20">
        <v>20</v>
      </c>
      <c r="M16" s="20">
        <v>20</v>
      </c>
    </row>
    <row r="17" spans="1:26" x14ac:dyDescent="0.25">
      <c r="A17" s="93" t="s">
        <v>148</v>
      </c>
      <c r="B17" s="20">
        <v>24</v>
      </c>
      <c r="C17" s="20">
        <v>26</v>
      </c>
      <c r="D17" s="20">
        <v>26</v>
      </c>
      <c r="E17" s="20">
        <v>24</v>
      </c>
      <c r="F17" s="20">
        <v>22</v>
      </c>
      <c r="G17" s="20">
        <v>25</v>
      </c>
      <c r="H17" s="20">
        <v>25</v>
      </c>
      <c r="I17" s="20">
        <v>26</v>
      </c>
      <c r="J17" s="20">
        <v>26</v>
      </c>
      <c r="K17" s="20">
        <v>21</v>
      </c>
      <c r="L17" s="20">
        <v>23</v>
      </c>
      <c r="M17" s="20">
        <v>23</v>
      </c>
    </row>
    <row r="18" spans="1:26" x14ac:dyDescent="0.25">
      <c r="A18" s="93" t="s">
        <v>153</v>
      </c>
      <c r="B18" s="20">
        <v>22</v>
      </c>
      <c r="C18" s="20">
        <v>23</v>
      </c>
      <c r="D18" s="20">
        <v>22</v>
      </c>
      <c r="E18" s="20">
        <v>23</v>
      </c>
      <c r="F18" s="20">
        <v>21</v>
      </c>
      <c r="G18" s="20">
        <v>20</v>
      </c>
      <c r="H18" s="20">
        <v>25</v>
      </c>
      <c r="I18" s="20">
        <v>24</v>
      </c>
      <c r="J18" s="20">
        <v>26</v>
      </c>
      <c r="K18" s="20">
        <v>25</v>
      </c>
      <c r="L18" s="20">
        <v>20</v>
      </c>
      <c r="M18" s="20">
        <v>26</v>
      </c>
    </row>
    <row r="19" spans="1:26" x14ac:dyDescent="0.25">
      <c r="A19" s="93" t="s">
        <v>159</v>
      </c>
      <c r="B19" s="20">
        <v>26</v>
      </c>
      <c r="C19" s="20">
        <v>21</v>
      </c>
      <c r="D19" s="20">
        <v>20</v>
      </c>
      <c r="E19" s="20">
        <v>23</v>
      </c>
      <c r="F19" s="20">
        <v>23</v>
      </c>
      <c r="G19" s="20">
        <v>23</v>
      </c>
      <c r="H19" s="20">
        <v>20</v>
      </c>
      <c r="I19" s="20">
        <v>20</v>
      </c>
      <c r="J19" s="20">
        <v>20</v>
      </c>
      <c r="K19" s="20">
        <v>25</v>
      </c>
      <c r="L19" s="20">
        <v>26</v>
      </c>
      <c r="M19" s="20">
        <v>20</v>
      </c>
    </row>
    <row r="20" spans="1:26" x14ac:dyDescent="0.25">
      <c r="A20" s="93" t="s">
        <v>166</v>
      </c>
      <c r="B20" s="20">
        <v>25</v>
      </c>
      <c r="C20" s="20">
        <v>26</v>
      </c>
      <c r="D20" s="20">
        <v>25</v>
      </c>
      <c r="E20" s="20">
        <v>26</v>
      </c>
      <c r="F20" s="20">
        <v>20</v>
      </c>
      <c r="G20" s="20">
        <v>25</v>
      </c>
      <c r="H20" s="20">
        <v>20</v>
      </c>
      <c r="I20" s="20">
        <v>25</v>
      </c>
      <c r="J20" s="20">
        <v>26</v>
      </c>
      <c r="K20" s="20">
        <v>26</v>
      </c>
      <c r="L20" s="20">
        <v>25</v>
      </c>
      <c r="M20" s="20">
        <v>25</v>
      </c>
    </row>
    <row r="21" spans="1:26" x14ac:dyDescent="0.25">
      <c r="A21" s="93" t="s">
        <v>172</v>
      </c>
      <c r="B21" s="20">
        <v>21</v>
      </c>
      <c r="C21" s="20">
        <v>25</v>
      </c>
      <c r="D21" s="20">
        <v>26</v>
      </c>
      <c r="E21" s="20">
        <v>22</v>
      </c>
      <c r="F21" s="20">
        <v>26</v>
      </c>
      <c r="G21" s="20">
        <v>25</v>
      </c>
      <c r="H21" s="20">
        <v>26</v>
      </c>
      <c r="I21" s="20">
        <v>25</v>
      </c>
      <c r="J21" s="20">
        <v>20</v>
      </c>
      <c r="K21" s="20">
        <v>20</v>
      </c>
      <c r="L21" s="20">
        <v>26</v>
      </c>
      <c r="M21" s="20">
        <v>26</v>
      </c>
    </row>
    <row r="22" spans="1:26" x14ac:dyDescent="0.25">
      <c r="A22" s="93" t="s">
        <v>178</v>
      </c>
      <c r="B22" s="20">
        <v>24</v>
      </c>
      <c r="C22" s="20">
        <v>24</v>
      </c>
      <c r="D22" s="20">
        <v>25</v>
      </c>
      <c r="E22" s="20">
        <v>25</v>
      </c>
      <c r="F22" s="20">
        <v>25</v>
      </c>
      <c r="G22" s="20">
        <v>26</v>
      </c>
      <c r="H22" s="20">
        <v>21</v>
      </c>
      <c r="I22" s="20">
        <v>22</v>
      </c>
      <c r="J22" s="20">
        <v>20</v>
      </c>
      <c r="K22" s="20">
        <v>25</v>
      </c>
      <c r="L22" s="20">
        <v>26</v>
      </c>
      <c r="M22" s="20">
        <v>21</v>
      </c>
    </row>
    <row r="23" spans="1:26" x14ac:dyDescent="0.25">
      <c r="A23" s="93" t="s">
        <v>184</v>
      </c>
      <c r="B23" s="20">
        <v>26</v>
      </c>
      <c r="C23" s="20">
        <v>25</v>
      </c>
      <c r="D23" s="20">
        <v>26</v>
      </c>
      <c r="E23" s="20">
        <v>26</v>
      </c>
      <c r="F23" s="20">
        <v>20</v>
      </c>
      <c r="G23" s="20">
        <v>22</v>
      </c>
      <c r="H23" s="20">
        <v>23</v>
      </c>
      <c r="I23" s="20">
        <v>22</v>
      </c>
      <c r="J23" s="20">
        <v>26</v>
      </c>
      <c r="K23" s="20">
        <v>24</v>
      </c>
      <c r="L23" s="20">
        <v>22</v>
      </c>
      <c r="M23" s="20">
        <v>26</v>
      </c>
    </row>
    <row r="24" spans="1:26" x14ac:dyDescent="0.25">
      <c r="A24" s="93" t="s">
        <v>190</v>
      </c>
      <c r="B24" s="20">
        <v>20</v>
      </c>
      <c r="C24" s="20">
        <v>21</v>
      </c>
      <c r="D24" s="20">
        <v>24</v>
      </c>
      <c r="E24" s="20">
        <v>21</v>
      </c>
      <c r="F24" s="20">
        <v>24</v>
      </c>
      <c r="G24" s="20">
        <v>25</v>
      </c>
      <c r="H24" s="20">
        <v>25</v>
      </c>
      <c r="I24" s="20">
        <v>23</v>
      </c>
      <c r="J24" s="20">
        <v>21</v>
      </c>
      <c r="K24" s="20">
        <v>26</v>
      </c>
      <c r="L24" s="20">
        <v>26</v>
      </c>
      <c r="M24" s="20">
        <v>26</v>
      </c>
    </row>
    <row r="25" spans="1:26" x14ac:dyDescent="0.25">
      <c r="A25" s="93" t="s">
        <v>197</v>
      </c>
      <c r="B25" s="20">
        <v>21</v>
      </c>
      <c r="C25" s="20">
        <v>22</v>
      </c>
      <c r="D25" s="20">
        <v>23</v>
      </c>
      <c r="E25" s="20">
        <v>26</v>
      </c>
      <c r="F25" s="20">
        <v>22</v>
      </c>
      <c r="G25" s="20">
        <v>20</v>
      </c>
      <c r="H25" s="20">
        <v>23</v>
      </c>
      <c r="I25" s="20">
        <v>25</v>
      </c>
      <c r="J25" s="20">
        <v>24</v>
      </c>
      <c r="K25" s="20">
        <v>20</v>
      </c>
      <c r="L25" s="20">
        <v>26</v>
      </c>
      <c r="M25" s="20">
        <v>25</v>
      </c>
    </row>
    <row r="26" spans="1:26" x14ac:dyDescent="0.25">
      <c r="A26" s="93" t="s">
        <v>202</v>
      </c>
      <c r="B26" s="20">
        <v>20</v>
      </c>
      <c r="C26" s="20">
        <v>24</v>
      </c>
      <c r="D26" s="20">
        <v>25</v>
      </c>
      <c r="E26" s="20">
        <v>24</v>
      </c>
      <c r="F26" s="20">
        <v>24</v>
      </c>
      <c r="G26" s="20">
        <v>20</v>
      </c>
      <c r="H26" s="20">
        <v>26</v>
      </c>
      <c r="I26" s="20">
        <v>26</v>
      </c>
      <c r="J26" s="20">
        <v>20</v>
      </c>
      <c r="K26" s="20">
        <v>25</v>
      </c>
      <c r="L26" s="20">
        <v>21</v>
      </c>
      <c r="M26" s="20">
        <v>26</v>
      </c>
      <c r="W26" s="50"/>
      <c r="X26" s="50"/>
      <c r="Y26" s="50"/>
      <c r="Z26" s="50"/>
    </row>
    <row r="27" spans="1:26" x14ac:dyDescent="0.25">
      <c r="A27" s="93" t="s">
        <v>208</v>
      </c>
      <c r="B27" s="20">
        <v>25</v>
      </c>
      <c r="C27" s="20">
        <v>22</v>
      </c>
      <c r="D27" s="20">
        <v>26</v>
      </c>
      <c r="E27" s="20">
        <v>25</v>
      </c>
      <c r="F27" s="20">
        <v>24</v>
      </c>
      <c r="G27" s="20">
        <v>25</v>
      </c>
      <c r="H27" s="20">
        <v>20</v>
      </c>
      <c r="I27" s="20">
        <v>24</v>
      </c>
      <c r="J27" s="20">
        <v>23</v>
      </c>
      <c r="K27" s="20">
        <v>21</v>
      </c>
      <c r="L27" s="20">
        <v>26</v>
      </c>
      <c r="M27" s="20">
        <v>26</v>
      </c>
    </row>
    <row r="28" spans="1:26" x14ac:dyDescent="0.25">
      <c r="A28" s="93" t="s">
        <v>214</v>
      </c>
      <c r="B28" s="20">
        <v>26</v>
      </c>
      <c r="C28" s="20">
        <v>21</v>
      </c>
      <c r="D28" s="20">
        <v>23</v>
      </c>
      <c r="E28" s="20">
        <v>25</v>
      </c>
      <c r="F28" s="20">
        <v>24</v>
      </c>
      <c r="G28" s="20">
        <v>21</v>
      </c>
      <c r="H28" s="20">
        <v>23</v>
      </c>
      <c r="I28" s="20">
        <v>21</v>
      </c>
      <c r="J28" s="20">
        <v>22</v>
      </c>
      <c r="K28" s="20">
        <v>26</v>
      </c>
      <c r="L28" s="20">
        <v>22</v>
      </c>
      <c r="M28" s="20">
        <v>24</v>
      </c>
    </row>
    <row r="29" spans="1:26" x14ac:dyDescent="0.25">
      <c r="A29" s="93" t="s">
        <v>219</v>
      </c>
      <c r="B29" s="20">
        <v>22</v>
      </c>
      <c r="C29" s="20">
        <v>25</v>
      </c>
      <c r="D29" s="20">
        <v>21</v>
      </c>
      <c r="E29" s="20">
        <v>23</v>
      </c>
      <c r="F29" s="20">
        <v>22</v>
      </c>
      <c r="G29" s="20">
        <v>20</v>
      </c>
      <c r="H29" s="20">
        <v>20</v>
      </c>
      <c r="I29" s="20">
        <v>23</v>
      </c>
      <c r="J29" s="20">
        <v>24</v>
      </c>
      <c r="K29" s="20">
        <v>26</v>
      </c>
      <c r="L29" s="20">
        <v>20</v>
      </c>
      <c r="M29" s="20">
        <v>21</v>
      </c>
    </row>
    <row r="30" spans="1:26" x14ac:dyDescent="0.25">
      <c r="A30" s="93" t="s">
        <v>225</v>
      </c>
      <c r="B30" s="20">
        <v>25</v>
      </c>
      <c r="C30" s="20">
        <v>26</v>
      </c>
      <c r="D30" s="20">
        <v>23</v>
      </c>
      <c r="E30" s="20">
        <v>26</v>
      </c>
      <c r="F30" s="20">
        <v>21</v>
      </c>
      <c r="G30" s="20">
        <v>23</v>
      </c>
      <c r="H30" s="20">
        <v>22</v>
      </c>
      <c r="I30" s="20">
        <v>21</v>
      </c>
      <c r="J30" s="20">
        <v>22</v>
      </c>
      <c r="K30" s="20">
        <v>22</v>
      </c>
      <c r="L30" s="20">
        <v>24</v>
      </c>
      <c r="M30" s="20">
        <v>25</v>
      </c>
    </row>
    <row r="31" spans="1:26" x14ac:dyDescent="0.25">
      <c r="A31" s="93" t="s">
        <v>231</v>
      </c>
      <c r="B31" s="20">
        <v>25</v>
      </c>
      <c r="C31" s="20">
        <v>25</v>
      </c>
      <c r="D31" s="20">
        <v>26</v>
      </c>
      <c r="E31" s="20">
        <v>24</v>
      </c>
      <c r="F31" s="20">
        <v>24</v>
      </c>
      <c r="G31" s="20">
        <v>25</v>
      </c>
      <c r="H31" s="20">
        <v>23</v>
      </c>
      <c r="I31" s="20">
        <v>26</v>
      </c>
      <c r="J31" s="20">
        <v>26</v>
      </c>
      <c r="K31" s="20">
        <v>22</v>
      </c>
      <c r="L31" s="20">
        <v>23</v>
      </c>
      <c r="M31" s="20">
        <v>25</v>
      </c>
    </row>
    <row r="32" spans="1:26" x14ac:dyDescent="0.25">
      <c r="A32" s="93" t="s">
        <v>237</v>
      </c>
      <c r="B32" s="20">
        <v>22</v>
      </c>
      <c r="C32" s="20">
        <v>23</v>
      </c>
      <c r="D32" s="20">
        <v>21</v>
      </c>
      <c r="E32" s="20">
        <v>24</v>
      </c>
      <c r="F32" s="20">
        <v>20</v>
      </c>
      <c r="G32" s="20">
        <v>24</v>
      </c>
      <c r="H32" s="20">
        <v>23</v>
      </c>
      <c r="I32" s="20">
        <v>22</v>
      </c>
      <c r="J32" s="20">
        <v>26</v>
      </c>
      <c r="K32" s="20">
        <v>26</v>
      </c>
      <c r="L32" s="20">
        <v>26</v>
      </c>
      <c r="M32" s="20">
        <v>20</v>
      </c>
    </row>
    <row r="33" spans="1:13" x14ac:dyDescent="0.25">
      <c r="A33" s="93" t="s">
        <v>243</v>
      </c>
      <c r="B33" s="20">
        <v>26</v>
      </c>
      <c r="C33" s="20">
        <v>21</v>
      </c>
      <c r="D33" s="20">
        <v>21</v>
      </c>
      <c r="E33" s="20">
        <v>25</v>
      </c>
      <c r="F33" s="20">
        <v>24</v>
      </c>
      <c r="G33" s="20">
        <v>25</v>
      </c>
      <c r="H33" s="20">
        <v>26</v>
      </c>
      <c r="I33" s="20">
        <v>24</v>
      </c>
      <c r="J33" s="20">
        <v>20</v>
      </c>
      <c r="K33" s="20">
        <v>20</v>
      </c>
      <c r="L33" s="20">
        <v>24</v>
      </c>
      <c r="M33" s="20">
        <v>21</v>
      </c>
    </row>
    <row r="34" spans="1:13" x14ac:dyDescent="0.25">
      <c r="A34" s="93" t="s">
        <v>249</v>
      </c>
      <c r="B34" s="20">
        <v>22</v>
      </c>
      <c r="C34" s="20">
        <v>21</v>
      </c>
      <c r="D34" s="20">
        <v>25</v>
      </c>
      <c r="E34" s="20">
        <v>24</v>
      </c>
      <c r="F34" s="20">
        <v>22</v>
      </c>
      <c r="G34" s="20">
        <v>22</v>
      </c>
      <c r="H34" s="20">
        <v>26</v>
      </c>
      <c r="I34" s="20">
        <v>25</v>
      </c>
      <c r="J34" s="20">
        <v>26</v>
      </c>
      <c r="K34" s="20">
        <v>21</v>
      </c>
      <c r="L34" s="20">
        <v>20</v>
      </c>
      <c r="M34" s="20">
        <v>24</v>
      </c>
    </row>
    <row r="35" spans="1:13" x14ac:dyDescent="0.25">
      <c r="A35" s="93" t="s">
        <v>256</v>
      </c>
      <c r="B35" s="20">
        <v>20</v>
      </c>
      <c r="C35" s="20">
        <v>20</v>
      </c>
      <c r="D35" s="20">
        <v>23</v>
      </c>
      <c r="E35" s="20">
        <v>24</v>
      </c>
      <c r="F35" s="20">
        <v>23</v>
      </c>
      <c r="G35" s="20">
        <v>20</v>
      </c>
      <c r="H35" s="20">
        <v>22</v>
      </c>
      <c r="I35" s="20">
        <v>23</v>
      </c>
      <c r="J35" s="20">
        <v>26</v>
      </c>
      <c r="K35" s="20">
        <v>26</v>
      </c>
      <c r="L35" s="20">
        <v>25</v>
      </c>
      <c r="M35" s="20">
        <v>24</v>
      </c>
    </row>
    <row r="36" spans="1:13" x14ac:dyDescent="0.25">
      <c r="A36" s="93" t="s">
        <v>262</v>
      </c>
      <c r="B36" s="20">
        <v>24</v>
      </c>
      <c r="C36" s="20">
        <v>22</v>
      </c>
      <c r="D36" s="20">
        <v>20</v>
      </c>
      <c r="E36" s="20">
        <v>22</v>
      </c>
      <c r="F36" s="20">
        <v>26</v>
      </c>
      <c r="G36" s="20">
        <v>22</v>
      </c>
      <c r="H36" s="20">
        <v>25</v>
      </c>
      <c r="I36" s="20">
        <v>21</v>
      </c>
      <c r="J36" s="20">
        <v>25</v>
      </c>
      <c r="K36" s="20">
        <v>26</v>
      </c>
      <c r="L36" s="20">
        <v>23</v>
      </c>
      <c r="M36" s="20">
        <v>25</v>
      </c>
    </row>
    <row r="37" spans="1:13" x14ac:dyDescent="0.25">
      <c r="A37" s="93" t="s">
        <v>269</v>
      </c>
      <c r="B37" s="20">
        <v>23</v>
      </c>
      <c r="C37" s="20">
        <v>24</v>
      </c>
      <c r="D37" s="20">
        <v>24</v>
      </c>
      <c r="E37" s="20">
        <v>24</v>
      </c>
      <c r="F37" s="20">
        <v>20</v>
      </c>
      <c r="G37" s="20">
        <v>21</v>
      </c>
      <c r="H37" s="20">
        <v>22</v>
      </c>
      <c r="I37" s="20">
        <v>24</v>
      </c>
      <c r="J37" s="20">
        <v>23</v>
      </c>
      <c r="K37" s="20">
        <v>23</v>
      </c>
      <c r="L37" s="20">
        <v>24</v>
      </c>
      <c r="M37" s="20">
        <v>26</v>
      </c>
    </row>
    <row r="38" spans="1:13" x14ac:dyDescent="0.25">
      <c r="A38" s="93" t="s">
        <v>275</v>
      </c>
      <c r="B38" s="20">
        <v>22</v>
      </c>
      <c r="C38" s="20">
        <v>25</v>
      </c>
      <c r="D38" s="20">
        <v>22</v>
      </c>
      <c r="E38" s="20">
        <v>20</v>
      </c>
      <c r="F38" s="20">
        <v>23</v>
      </c>
      <c r="G38" s="20">
        <v>20</v>
      </c>
      <c r="H38" s="20">
        <v>20</v>
      </c>
      <c r="I38" s="20">
        <v>22</v>
      </c>
      <c r="J38" s="20">
        <v>20</v>
      </c>
      <c r="K38" s="20">
        <v>23</v>
      </c>
      <c r="L38" s="20">
        <v>25</v>
      </c>
      <c r="M38" s="20">
        <v>24</v>
      </c>
    </row>
    <row r="39" spans="1:13" x14ac:dyDescent="0.25">
      <c r="A39" s="93" t="s">
        <v>281</v>
      </c>
      <c r="B39" s="20">
        <v>23</v>
      </c>
      <c r="C39" s="20">
        <v>22</v>
      </c>
      <c r="D39" s="20">
        <v>20</v>
      </c>
      <c r="E39" s="20">
        <v>22</v>
      </c>
      <c r="F39" s="20">
        <v>24</v>
      </c>
      <c r="G39" s="20">
        <v>25</v>
      </c>
      <c r="H39" s="20">
        <v>25</v>
      </c>
      <c r="I39" s="20">
        <v>26</v>
      </c>
      <c r="J39" s="20">
        <v>21</v>
      </c>
      <c r="K39" s="20">
        <v>21</v>
      </c>
      <c r="L39" s="20">
        <v>26</v>
      </c>
      <c r="M39" s="20">
        <v>21</v>
      </c>
    </row>
    <row r="40" spans="1:13" x14ac:dyDescent="0.25">
      <c r="A40" s="93" t="s">
        <v>288</v>
      </c>
      <c r="B40" s="20">
        <v>26</v>
      </c>
      <c r="C40" s="20">
        <v>24</v>
      </c>
      <c r="D40" s="20">
        <v>26</v>
      </c>
      <c r="E40" s="20">
        <v>25</v>
      </c>
      <c r="F40" s="20">
        <v>25</v>
      </c>
      <c r="G40" s="20">
        <v>20</v>
      </c>
      <c r="H40" s="20">
        <v>21</v>
      </c>
      <c r="I40" s="20">
        <v>26</v>
      </c>
      <c r="J40" s="20">
        <v>23</v>
      </c>
      <c r="K40" s="20">
        <v>22</v>
      </c>
      <c r="L40" s="20">
        <v>24</v>
      </c>
      <c r="M40" s="20">
        <v>20</v>
      </c>
    </row>
    <row r="41" spans="1:13" x14ac:dyDescent="0.25">
      <c r="A41" s="93" t="s">
        <v>294</v>
      </c>
      <c r="B41" s="20">
        <v>23</v>
      </c>
      <c r="C41" s="20">
        <v>23</v>
      </c>
      <c r="D41" s="20">
        <v>26</v>
      </c>
      <c r="E41" s="20">
        <v>22</v>
      </c>
      <c r="F41" s="20">
        <v>24</v>
      </c>
      <c r="G41" s="20">
        <v>21</v>
      </c>
      <c r="H41" s="20">
        <v>22</v>
      </c>
      <c r="I41" s="20">
        <v>25</v>
      </c>
      <c r="J41" s="20">
        <v>21</v>
      </c>
      <c r="K41" s="20">
        <v>20</v>
      </c>
      <c r="L41" s="20">
        <v>22</v>
      </c>
      <c r="M41" s="20">
        <v>24</v>
      </c>
    </row>
    <row r="42" spans="1:13" x14ac:dyDescent="0.25">
      <c r="A42" s="93" t="s">
        <v>300</v>
      </c>
      <c r="B42" s="20">
        <v>23</v>
      </c>
      <c r="C42" s="20">
        <v>20</v>
      </c>
      <c r="D42" s="20">
        <v>26</v>
      </c>
      <c r="E42" s="20">
        <v>21</v>
      </c>
      <c r="F42" s="20">
        <v>21</v>
      </c>
      <c r="G42" s="20">
        <v>24</v>
      </c>
      <c r="H42" s="20">
        <v>22</v>
      </c>
      <c r="I42" s="20">
        <v>22</v>
      </c>
      <c r="J42" s="20">
        <v>22</v>
      </c>
      <c r="K42" s="20">
        <v>24</v>
      </c>
      <c r="L42" s="20">
        <v>23</v>
      </c>
      <c r="M42" s="20">
        <v>25</v>
      </c>
    </row>
    <row r="43" spans="1:13" x14ac:dyDescent="0.25">
      <c r="A43" s="93" t="s">
        <v>306</v>
      </c>
      <c r="B43" s="20">
        <v>26</v>
      </c>
      <c r="C43" s="20">
        <v>26</v>
      </c>
      <c r="D43" s="20">
        <v>23</v>
      </c>
      <c r="E43" s="20">
        <v>21</v>
      </c>
      <c r="F43" s="20">
        <v>26</v>
      </c>
      <c r="G43" s="20">
        <v>26</v>
      </c>
      <c r="H43" s="20">
        <v>26</v>
      </c>
      <c r="I43" s="20">
        <v>26</v>
      </c>
      <c r="J43" s="20">
        <v>24</v>
      </c>
      <c r="K43" s="20">
        <v>20</v>
      </c>
      <c r="L43" s="20">
        <v>25</v>
      </c>
      <c r="M43" s="20">
        <v>26</v>
      </c>
    </row>
    <row r="44" spans="1:13" x14ac:dyDescent="0.25">
      <c r="A44" s="93" t="s">
        <v>311</v>
      </c>
      <c r="B44" s="20">
        <v>20</v>
      </c>
      <c r="C44" s="20">
        <v>20</v>
      </c>
      <c r="D44" s="20">
        <v>25</v>
      </c>
      <c r="E44" s="20">
        <v>24</v>
      </c>
      <c r="F44" s="20">
        <v>22</v>
      </c>
      <c r="G44" s="20">
        <v>22</v>
      </c>
      <c r="H44" s="20">
        <v>21</v>
      </c>
      <c r="I44" s="20">
        <v>24</v>
      </c>
      <c r="J44" s="20">
        <v>24</v>
      </c>
      <c r="K44" s="20">
        <v>20</v>
      </c>
      <c r="L44" s="20">
        <v>24</v>
      </c>
      <c r="M44" s="20">
        <v>21</v>
      </c>
    </row>
    <row r="45" spans="1:13" x14ac:dyDescent="0.25">
      <c r="A45" s="93" t="s">
        <v>317</v>
      </c>
      <c r="B45" s="20">
        <v>23</v>
      </c>
      <c r="C45" s="20">
        <v>24</v>
      </c>
      <c r="D45" s="20">
        <v>21</v>
      </c>
      <c r="E45" s="20">
        <v>20</v>
      </c>
      <c r="F45" s="20">
        <v>25</v>
      </c>
      <c r="G45" s="20">
        <v>21</v>
      </c>
      <c r="H45" s="20">
        <v>24</v>
      </c>
      <c r="I45" s="20">
        <v>24</v>
      </c>
      <c r="J45" s="20">
        <v>21</v>
      </c>
      <c r="K45" s="20">
        <v>24</v>
      </c>
      <c r="L45" s="20">
        <v>24</v>
      </c>
      <c r="M45" s="20">
        <v>23</v>
      </c>
    </row>
    <row r="46" spans="1:13" x14ac:dyDescent="0.25">
      <c r="A46" s="93" t="s">
        <v>323</v>
      </c>
      <c r="B46" s="20">
        <v>25</v>
      </c>
      <c r="C46" s="20">
        <v>22</v>
      </c>
      <c r="D46" s="20">
        <v>23</v>
      </c>
      <c r="E46" s="20">
        <v>25</v>
      </c>
      <c r="F46" s="20">
        <v>21</v>
      </c>
      <c r="G46" s="20">
        <v>23</v>
      </c>
      <c r="H46" s="20">
        <v>23</v>
      </c>
      <c r="I46" s="20">
        <v>25</v>
      </c>
      <c r="J46" s="20">
        <v>23</v>
      </c>
      <c r="K46" s="20">
        <v>21</v>
      </c>
      <c r="L46" s="20">
        <v>23</v>
      </c>
      <c r="M46" s="20">
        <v>24</v>
      </c>
    </row>
    <row r="47" spans="1:13" x14ac:dyDescent="0.25">
      <c r="A47" s="93" t="s">
        <v>329</v>
      </c>
      <c r="B47" s="20">
        <v>21</v>
      </c>
      <c r="C47" s="20">
        <v>21</v>
      </c>
      <c r="D47" s="20">
        <v>21</v>
      </c>
      <c r="E47" s="20">
        <v>24</v>
      </c>
      <c r="F47" s="20">
        <v>25</v>
      </c>
      <c r="G47" s="20">
        <v>26</v>
      </c>
      <c r="H47" s="20">
        <v>23</v>
      </c>
      <c r="I47" s="20">
        <v>21</v>
      </c>
      <c r="J47" s="20">
        <v>22</v>
      </c>
      <c r="K47" s="20">
        <v>22</v>
      </c>
      <c r="L47" s="20">
        <v>22</v>
      </c>
      <c r="M47" s="20">
        <v>23</v>
      </c>
    </row>
    <row r="48" spans="1:13" x14ac:dyDescent="0.25">
      <c r="A48" s="93" t="s">
        <v>334</v>
      </c>
      <c r="B48" s="20">
        <v>24</v>
      </c>
      <c r="C48" s="20">
        <v>26</v>
      </c>
      <c r="D48" s="20">
        <v>23</v>
      </c>
      <c r="E48" s="20">
        <v>23</v>
      </c>
      <c r="F48" s="20">
        <v>21</v>
      </c>
      <c r="G48" s="20">
        <v>21</v>
      </c>
      <c r="H48" s="20">
        <v>20</v>
      </c>
      <c r="I48" s="20">
        <v>20</v>
      </c>
      <c r="J48" s="20">
        <v>23</v>
      </c>
      <c r="K48" s="20">
        <v>22</v>
      </c>
      <c r="L48" s="20">
        <v>20</v>
      </c>
      <c r="M48" s="20">
        <v>26</v>
      </c>
    </row>
    <row r="49" spans="1:13" x14ac:dyDescent="0.25">
      <c r="A49" s="93" t="s">
        <v>340</v>
      </c>
      <c r="B49" s="20">
        <v>21</v>
      </c>
      <c r="C49" s="20">
        <v>25</v>
      </c>
      <c r="D49" s="20">
        <v>26</v>
      </c>
      <c r="E49" s="20">
        <v>23</v>
      </c>
      <c r="F49" s="20">
        <v>20</v>
      </c>
      <c r="G49" s="20">
        <v>22</v>
      </c>
      <c r="H49" s="20">
        <v>24</v>
      </c>
      <c r="I49" s="20">
        <v>23</v>
      </c>
      <c r="J49" s="20">
        <v>22</v>
      </c>
      <c r="K49" s="20">
        <v>24</v>
      </c>
      <c r="L49" s="20">
        <v>22</v>
      </c>
      <c r="M49" s="20">
        <v>21</v>
      </c>
    </row>
    <row r="50" spans="1:13" x14ac:dyDescent="0.25">
      <c r="A50" s="93" t="s">
        <v>346</v>
      </c>
      <c r="B50" s="20">
        <v>23</v>
      </c>
      <c r="C50" s="20">
        <v>23</v>
      </c>
      <c r="D50" s="20">
        <v>24</v>
      </c>
      <c r="E50" s="20">
        <v>21</v>
      </c>
      <c r="F50" s="20">
        <v>23</v>
      </c>
      <c r="G50" s="20">
        <v>22</v>
      </c>
      <c r="H50" s="20">
        <v>20</v>
      </c>
      <c r="I50" s="20">
        <v>20</v>
      </c>
      <c r="J50" s="20">
        <v>26</v>
      </c>
      <c r="K50" s="20">
        <v>23</v>
      </c>
      <c r="L50" s="20">
        <v>25</v>
      </c>
      <c r="M50" s="20">
        <v>25</v>
      </c>
    </row>
    <row r="51" spans="1:13" x14ac:dyDescent="0.25">
      <c r="A51" s="93" t="s">
        <v>352</v>
      </c>
      <c r="B51" s="20">
        <v>25</v>
      </c>
      <c r="C51" s="20">
        <v>23</v>
      </c>
      <c r="D51" s="20">
        <v>25</v>
      </c>
      <c r="E51" s="20">
        <v>22</v>
      </c>
      <c r="F51" s="20">
        <v>20</v>
      </c>
      <c r="G51" s="20">
        <v>22</v>
      </c>
      <c r="H51" s="20">
        <v>21</v>
      </c>
      <c r="I51" s="20">
        <v>22</v>
      </c>
      <c r="J51" s="20">
        <v>23</v>
      </c>
      <c r="K51" s="20">
        <v>23</v>
      </c>
      <c r="L51" s="20">
        <v>26</v>
      </c>
      <c r="M51" s="20">
        <v>21</v>
      </c>
    </row>
    <row r="52" spans="1:13" x14ac:dyDescent="0.25">
      <c r="A52" s="93" t="s">
        <v>358</v>
      </c>
      <c r="B52" s="20">
        <v>24</v>
      </c>
      <c r="C52" s="20">
        <v>21</v>
      </c>
      <c r="D52" s="20">
        <v>26</v>
      </c>
      <c r="E52" s="20">
        <v>22</v>
      </c>
      <c r="F52" s="20">
        <v>22</v>
      </c>
      <c r="G52" s="20">
        <v>25</v>
      </c>
      <c r="H52" s="20">
        <v>23</v>
      </c>
      <c r="I52" s="20">
        <v>24</v>
      </c>
      <c r="J52" s="20">
        <v>26</v>
      </c>
      <c r="K52" s="20">
        <v>22</v>
      </c>
      <c r="L52" s="20">
        <v>22</v>
      </c>
      <c r="M52" s="20">
        <v>23</v>
      </c>
    </row>
  </sheetData>
  <mergeCells count="1">
    <mergeCell ref="A1:M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B99B-B932-47F0-A4DF-9B4027257297}">
  <sheetPr codeName="Sheet22"/>
  <dimension ref="A1:AZ211"/>
  <sheetViews>
    <sheetView zoomScaleNormal="100" workbookViewId="0">
      <selection activeCell="AO24" sqref="AO24"/>
    </sheetView>
  </sheetViews>
  <sheetFormatPr defaultRowHeight="15" x14ac:dyDescent="0.25"/>
  <cols>
    <col min="1" max="1" width="12.140625" bestFit="1" customWidth="1"/>
    <col min="2" max="2" width="15.5703125" bestFit="1" customWidth="1"/>
    <col min="3" max="3" width="22.28515625" bestFit="1" customWidth="1"/>
    <col min="4" max="4" width="5.140625" bestFit="1" customWidth="1"/>
    <col min="5" max="5" width="4.28515625" bestFit="1" customWidth="1"/>
    <col min="6" max="6" width="3.28515625" bestFit="1" customWidth="1"/>
    <col min="7" max="7" width="3.7109375" bestFit="1" customWidth="1"/>
    <col min="8" max="8" width="4.28515625" bestFit="1" customWidth="1"/>
    <col min="9" max="9" width="5" bestFit="1" customWidth="1"/>
    <col min="10" max="10" width="4.28515625" bestFit="1" customWidth="1"/>
    <col min="11" max="11" width="5.140625" bestFit="1" customWidth="1"/>
    <col min="12" max="12" width="10.42578125" bestFit="1" customWidth="1"/>
    <col min="13" max="13" width="3.28515625" bestFit="1" customWidth="1"/>
    <col min="14" max="14" width="3.7109375" bestFit="1" customWidth="1"/>
    <col min="15" max="15" width="4.28515625" bestFit="1" customWidth="1"/>
    <col min="16" max="16" width="5" bestFit="1" customWidth="1"/>
    <col min="17" max="17" width="4.28515625" bestFit="1" customWidth="1"/>
    <col min="18" max="18" width="5.140625" bestFit="1" customWidth="1"/>
    <col min="19" max="19" width="4.28515625" bestFit="1" customWidth="1"/>
    <col min="20" max="20" width="3.28515625" bestFit="1" customWidth="1"/>
    <col min="21" max="21" width="5.28515625" bestFit="1" customWidth="1"/>
    <col min="22" max="22" width="4.28515625" bestFit="1" customWidth="1"/>
    <col min="23" max="23" width="5" bestFit="1" customWidth="1"/>
    <col min="24" max="24" width="10.42578125" bestFit="1" customWidth="1"/>
    <col min="25" max="25" width="5.140625" bestFit="1" customWidth="1"/>
    <col min="26" max="26" width="4.28515625" bestFit="1" customWidth="1"/>
    <col min="27" max="27" width="3.28515625" bestFit="1" customWidth="1"/>
    <col min="28" max="28" width="3.7109375" bestFit="1" customWidth="1"/>
    <col min="29" max="29" width="4.28515625" bestFit="1" customWidth="1"/>
    <col min="30" max="30" width="5" bestFit="1" customWidth="1"/>
    <col min="31" max="31" width="4.28515625" bestFit="1" customWidth="1"/>
    <col min="32" max="32" width="5.140625" bestFit="1" customWidth="1"/>
    <col min="33" max="33" width="4.28515625" bestFit="1" customWidth="1"/>
    <col min="34" max="34" width="3.28515625" bestFit="1" customWidth="1"/>
    <col min="35" max="35" width="10" bestFit="1" customWidth="1"/>
    <col min="36" max="36" width="8.28515625" bestFit="1" customWidth="1"/>
    <col min="37" max="37" width="7" bestFit="1" customWidth="1"/>
    <col min="38" max="38" width="4.7109375" bestFit="1" customWidth="1"/>
  </cols>
  <sheetData>
    <row r="1" spans="1:52" x14ac:dyDescent="0.25">
      <c r="A1" s="487" t="s">
        <v>949</v>
      </c>
      <c r="B1" s="487"/>
      <c r="C1" s="487"/>
      <c r="D1" s="487"/>
      <c r="E1" s="487"/>
      <c r="F1" s="487"/>
      <c r="G1" s="487"/>
      <c r="H1" s="487"/>
      <c r="I1" s="487"/>
      <c r="J1" s="487"/>
      <c r="K1" s="487"/>
      <c r="L1" s="487"/>
      <c r="M1" s="487"/>
      <c r="N1" s="487"/>
      <c r="O1" s="487"/>
      <c r="P1" s="487"/>
      <c r="Q1" s="487"/>
      <c r="R1" s="487"/>
      <c r="S1" s="487"/>
      <c r="T1" s="487"/>
      <c r="U1" s="487"/>
      <c r="V1" s="487"/>
      <c r="W1" s="487"/>
      <c r="X1" s="487"/>
      <c r="Y1" s="487"/>
      <c r="Z1" s="487"/>
      <c r="AA1" s="487"/>
      <c r="AB1" s="487"/>
      <c r="AC1" s="487"/>
      <c r="AD1" s="487"/>
      <c r="AE1" s="487"/>
      <c r="AF1" s="487"/>
      <c r="AG1" s="487"/>
      <c r="AH1" s="487"/>
      <c r="AI1" s="487"/>
      <c r="AJ1" s="487"/>
      <c r="AK1" s="487"/>
      <c r="AX1" t="s">
        <v>1200</v>
      </c>
      <c r="AY1" t="s">
        <v>1201</v>
      </c>
      <c r="AZ1" t="s">
        <v>1202</v>
      </c>
    </row>
    <row r="2" spans="1:52" x14ac:dyDescent="0.25">
      <c r="A2" s="487"/>
      <c r="B2" s="487"/>
      <c r="C2" s="487"/>
      <c r="D2" s="487"/>
      <c r="E2" s="487"/>
      <c r="F2" s="487"/>
      <c r="G2" s="487"/>
      <c r="H2" s="487"/>
      <c r="I2" s="487"/>
      <c r="J2" s="487"/>
      <c r="K2" s="487"/>
      <c r="L2" s="487"/>
      <c r="M2" s="487"/>
      <c r="N2" s="487"/>
      <c r="O2" s="487"/>
      <c r="P2" s="487"/>
      <c r="Q2" s="487"/>
      <c r="R2" s="487"/>
      <c r="S2" s="487"/>
      <c r="T2" s="487"/>
      <c r="U2" s="487"/>
      <c r="V2" s="487"/>
      <c r="W2" s="487"/>
      <c r="X2" s="487"/>
      <c r="Y2" s="487"/>
      <c r="Z2" s="487"/>
      <c r="AA2" s="487"/>
      <c r="AB2" s="487"/>
      <c r="AC2" s="487"/>
      <c r="AD2" s="487"/>
      <c r="AE2" s="487"/>
      <c r="AF2" s="487"/>
      <c r="AG2" s="487"/>
      <c r="AH2" s="487"/>
      <c r="AI2" s="487"/>
      <c r="AJ2" s="487"/>
      <c r="AK2" s="487"/>
      <c r="AX2" t="str">
        <f>IF(D$6="","",TEXT(D$6,"dd"))</f>
        <v>01</v>
      </c>
      <c r="AY2">
        <f ca="1">IF($AX2="","",COUNTIF(D:D,"P"))</f>
        <v>163</v>
      </c>
      <c r="AZ2">
        <f ca="1">IF($AX2="","",COUNTIF(D:D,"R"))</f>
        <v>42</v>
      </c>
    </row>
    <row r="3" spans="1:52" x14ac:dyDescent="0.25">
      <c r="A3" s="94"/>
      <c r="B3" s="94"/>
      <c r="C3" s="94"/>
      <c r="D3" s="94"/>
      <c r="E3" s="94"/>
      <c r="F3" s="94"/>
      <c r="G3" s="94"/>
      <c r="H3" s="488" t="s">
        <v>947</v>
      </c>
      <c r="I3" s="488"/>
      <c r="J3" s="488"/>
      <c r="K3" s="488"/>
      <c r="L3" s="94" t="s">
        <v>579</v>
      </c>
      <c r="M3" s="94"/>
      <c r="N3" s="94"/>
      <c r="O3" s="94"/>
      <c r="P3" s="94"/>
      <c r="Q3" s="94"/>
      <c r="R3" s="94"/>
      <c r="S3" s="94"/>
      <c r="T3" s="488" t="s">
        <v>948</v>
      </c>
      <c r="U3" s="488"/>
      <c r="V3" s="488"/>
      <c r="W3" s="488"/>
      <c r="X3" s="94">
        <v>2025</v>
      </c>
      <c r="Y3" s="94"/>
      <c r="Z3" s="94"/>
      <c r="AA3" s="94"/>
      <c r="AB3" s="94"/>
      <c r="AC3" s="94"/>
      <c r="AD3" s="94"/>
      <c r="AE3" s="94"/>
      <c r="AF3" s="94"/>
      <c r="AG3" s="94"/>
      <c r="AH3" s="94"/>
      <c r="AI3" s="94"/>
      <c r="AJ3" s="94"/>
      <c r="AK3" s="94"/>
      <c r="AX3" t="str">
        <f>IF(E$6="","",TEXT(E$6,"dd"))</f>
        <v>02</v>
      </c>
      <c r="AY3">
        <f ca="1">IF($AX3="","",COUNTIF(E:E,"P"))</f>
        <v>151</v>
      </c>
      <c r="AZ3">
        <f ca="1">IF($AX3="","",COUNTIF(E:E,"R"))</f>
        <v>54</v>
      </c>
    </row>
    <row r="4" spans="1:52" x14ac:dyDescent="0.25">
      <c r="A4" s="96"/>
      <c r="B4" s="97"/>
      <c r="C4" s="97"/>
      <c r="D4" s="97"/>
      <c r="E4" s="97"/>
      <c r="F4" s="489" t="s">
        <v>952</v>
      </c>
      <c r="G4" s="489"/>
      <c r="H4" s="489"/>
      <c r="I4" s="489"/>
      <c r="J4" s="489"/>
      <c r="K4" s="98"/>
      <c r="L4" s="99">
        <f>DATEVALUE(1&amp;L3&amp;X3)</f>
        <v>45839</v>
      </c>
      <c r="M4" s="97"/>
      <c r="N4" s="97"/>
      <c r="O4" s="97"/>
      <c r="P4" s="97"/>
      <c r="Q4" s="97"/>
      <c r="R4" s="97"/>
      <c r="S4" s="97"/>
      <c r="T4" s="98"/>
      <c r="U4" s="98" t="s">
        <v>953</v>
      </c>
      <c r="V4" s="98"/>
      <c r="W4" s="98"/>
      <c r="X4" s="99">
        <f>EOMONTH(L4,0)</f>
        <v>45869</v>
      </c>
      <c r="Y4" s="97"/>
      <c r="Z4" s="97"/>
      <c r="AA4" s="97"/>
      <c r="AB4" s="97"/>
      <c r="AC4" s="97"/>
      <c r="AD4" s="97"/>
      <c r="AE4" s="97"/>
      <c r="AF4" s="97"/>
      <c r="AG4" s="97"/>
      <c r="AH4" s="97"/>
      <c r="AI4" s="97"/>
      <c r="AJ4" s="97"/>
      <c r="AK4" s="100"/>
      <c r="AX4" t="str">
        <f>IF(F$6="","",TEXT(F$6,"dd"))</f>
        <v>03</v>
      </c>
      <c r="AY4">
        <f ca="1">IF($AX4="","",COUNTIF(F:F,"P"))</f>
        <v>155</v>
      </c>
      <c r="AZ4">
        <f ca="1">IF($AX4="","",COUNTIF(F:F,"R"))</f>
        <v>50</v>
      </c>
    </row>
    <row r="5" spans="1:52" x14ac:dyDescent="0.25">
      <c r="A5" s="95"/>
      <c r="B5" s="95"/>
      <c r="C5" s="95"/>
      <c r="D5" s="95" t="str">
        <f>TEXT(D6,"ddd")</f>
        <v>Tue</v>
      </c>
      <c r="E5" s="95" t="str">
        <f t="shared" ref="E5:AH5" si="0">TEXT(E6,"ddd")</f>
        <v>Wed</v>
      </c>
      <c r="F5" s="95" t="str">
        <f t="shared" si="0"/>
        <v>Thu</v>
      </c>
      <c r="G5" s="95" t="str">
        <f t="shared" si="0"/>
        <v>Fri</v>
      </c>
      <c r="H5" s="95" t="str">
        <f t="shared" si="0"/>
        <v>Sat</v>
      </c>
      <c r="I5" s="95" t="str">
        <f t="shared" si="0"/>
        <v>Sun</v>
      </c>
      <c r="J5" s="95" t="str">
        <f t="shared" si="0"/>
        <v>Mon</v>
      </c>
      <c r="K5" s="95" t="str">
        <f t="shared" si="0"/>
        <v>Tue</v>
      </c>
      <c r="L5" s="95" t="str">
        <f t="shared" si="0"/>
        <v>Wed</v>
      </c>
      <c r="M5" s="95" t="str">
        <f t="shared" si="0"/>
        <v>Thu</v>
      </c>
      <c r="N5" s="95" t="str">
        <f t="shared" si="0"/>
        <v>Fri</v>
      </c>
      <c r="O5" s="95" t="str">
        <f t="shared" si="0"/>
        <v>Sat</v>
      </c>
      <c r="P5" s="95" t="str">
        <f t="shared" si="0"/>
        <v>Sun</v>
      </c>
      <c r="Q5" s="95" t="str">
        <f t="shared" si="0"/>
        <v>Mon</v>
      </c>
      <c r="R5" s="95" t="str">
        <f t="shared" si="0"/>
        <v>Tue</v>
      </c>
      <c r="S5" s="95" t="str">
        <f t="shared" si="0"/>
        <v>Wed</v>
      </c>
      <c r="T5" s="95" t="str">
        <f t="shared" si="0"/>
        <v>Thu</v>
      </c>
      <c r="U5" s="95" t="str">
        <f t="shared" si="0"/>
        <v>Fri</v>
      </c>
      <c r="V5" s="95" t="str">
        <f t="shared" si="0"/>
        <v>Sat</v>
      </c>
      <c r="W5" s="95" t="str">
        <f t="shared" si="0"/>
        <v>Sun</v>
      </c>
      <c r="X5" s="95" t="str">
        <f t="shared" si="0"/>
        <v>Mon</v>
      </c>
      <c r="Y5" s="95" t="str">
        <f t="shared" si="0"/>
        <v>Tue</v>
      </c>
      <c r="Z5" s="95" t="str">
        <f t="shared" si="0"/>
        <v>Wed</v>
      </c>
      <c r="AA5" s="95" t="str">
        <f t="shared" si="0"/>
        <v>Thu</v>
      </c>
      <c r="AB5" s="95" t="str">
        <f t="shared" si="0"/>
        <v>Fri</v>
      </c>
      <c r="AC5" s="95" t="str">
        <f t="shared" si="0"/>
        <v>Sat</v>
      </c>
      <c r="AD5" s="95" t="str">
        <f t="shared" si="0"/>
        <v>Sun</v>
      </c>
      <c r="AE5" s="95" t="str">
        <f t="shared" si="0"/>
        <v>Mon</v>
      </c>
      <c r="AF5" s="95" t="str">
        <f t="shared" si="0"/>
        <v>Tue</v>
      </c>
      <c r="AG5" s="95" t="str">
        <f t="shared" si="0"/>
        <v>Wed</v>
      </c>
      <c r="AH5" s="95" t="str">
        <f t="shared" si="0"/>
        <v>Thu</v>
      </c>
      <c r="AI5" s="95" t="s">
        <v>944</v>
      </c>
      <c r="AJ5" s="95" t="s">
        <v>945</v>
      </c>
      <c r="AK5" s="95" t="s">
        <v>946</v>
      </c>
      <c r="AX5" t="str">
        <f>IF(G$6="","",TEXT(G$6,"dd"))</f>
        <v>04</v>
      </c>
      <c r="AY5">
        <f ca="1">IF($AX5="","",COUNTIF(G:G,"P"))</f>
        <v>164</v>
      </c>
      <c r="AZ5">
        <f ca="1">IF($AX5="","",COUNTIF(G:G,"R"))</f>
        <v>41</v>
      </c>
    </row>
    <row r="6" spans="1:52" x14ac:dyDescent="0.25">
      <c r="A6" s="101" t="s">
        <v>950</v>
      </c>
      <c r="B6" s="101" t="s">
        <v>951</v>
      </c>
      <c r="C6" s="101" t="s">
        <v>943</v>
      </c>
      <c r="D6" s="113">
        <f>$L$4</f>
        <v>45839</v>
      </c>
      <c r="E6" s="114">
        <f>IF(D6&lt;$X$4,D6+1,"")</f>
        <v>45840</v>
      </c>
      <c r="F6" s="114">
        <f t="shared" ref="F6:AH6" si="1">IF(E6&lt;$X$4,E6+1,"")</f>
        <v>45841</v>
      </c>
      <c r="G6" s="114">
        <f t="shared" si="1"/>
        <v>45842</v>
      </c>
      <c r="H6" s="114">
        <f t="shared" si="1"/>
        <v>45843</v>
      </c>
      <c r="I6" s="114">
        <f t="shared" si="1"/>
        <v>45844</v>
      </c>
      <c r="J6" s="114">
        <f t="shared" si="1"/>
        <v>45845</v>
      </c>
      <c r="K6" s="114">
        <f t="shared" si="1"/>
        <v>45846</v>
      </c>
      <c r="L6" s="114">
        <f t="shared" si="1"/>
        <v>45847</v>
      </c>
      <c r="M6" s="114">
        <f t="shared" si="1"/>
        <v>45848</v>
      </c>
      <c r="N6" s="114">
        <f t="shared" si="1"/>
        <v>45849</v>
      </c>
      <c r="O6" s="114">
        <f t="shared" si="1"/>
        <v>45850</v>
      </c>
      <c r="P6" s="114">
        <f t="shared" si="1"/>
        <v>45851</v>
      </c>
      <c r="Q6" s="114">
        <f t="shared" si="1"/>
        <v>45852</v>
      </c>
      <c r="R6" s="114">
        <f t="shared" si="1"/>
        <v>45853</v>
      </c>
      <c r="S6" s="114">
        <f t="shared" si="1"/>
        <v>45854</v>
      </c>
      <c r="T6" s="114">
        <f t="shared" si="1"/>
        <v>45855</v>
      </c>
      <c r="U6" s="114">
        <f t="shared" si="1"/>
        <v>45856</v>
      </c>
      <c r="V6" s="114">
        <f t="shared" si="1"/>
        <v>45857</v>
      </c>
      <c r="W6" s="114">
        <f t="shared" si="1"/>
        <v>45858</v>
      </c>
      <c r="X6" s="114">
        <f t="shared" si="1"/>
        <v>45859</v>
      </c>
      <c r="Y6" s="114">
        <f t="shared" si="1"/>
        <v>45860</v>
      </c>
      <c r="Z6" s="114">
        <f t="shared" si="1"/>
        <v>45861</v>
      </c>
      <c r="AA6" s="114">
        <f t="shared" si="1"/>
        <v>45862</v>
      </c>
      <c r="AB6" s="114">
        <f t="shared" si="1"/>
        <v>45863</v>
      </c>
      <c r="AC6" s="114">
        <f t="shared" si="1"/>
        <v>45864</v>
      </c>
      <c r="AD6" s="114">
        <f t="shared" si="1"/>
        <v>45865</v>
      </c>
      <c r="AE6" s="114">
        <f t="shared" si="1"/>
        <v>45866</v>
      </c>
      <c r="AF6" s="114">
        <f t="shared" si="1"/>
        <v>45867</v>
      </c>
      <c r="AG6" s="114">
        <f t="shared" si="1"/>
        <v>45868</v>
      </c>
      <c r="AH6" s="115">
        <f t="shared" si="1"/>
        <v>45869</v>
      </c>
      <c r="AI6" s="108">
        <f>DAY($X$4)</f>
        <v>31</v>
      </c>
      <c r="AJ6" s="227">
        <f ca="1">COUNTIF(D7:AH7,"P")</f>
        <v>25</v>
      </c>
      <c r="AK6" s="109">
        <f ca="1">COUNTIF(D7:AH7,"R")</f>
        <v>6</v>
      </c>
      <c r="AX6" t="str">
        <f>IF(H$6="","",TEXT(H$6,"dd"))</f>
        <v>05</v>
      </c>
      <c r="AY6">
        <f ca="1">IF($AX6="","",COUNTIF(H:H,"P"))</f>
        <v>170</v>
      </c>
      <c r="AZ6">
        <f ca="1">IF($AX6="","",COUNTIF(H:H,"R"))</f>
        <v>35</v>
      </c>
    </row>
    <row r="7" spans="1:52" x14ac:dyDescent="0.25">
      <c r="A7" s="104">
        <v>1000</v>
      </c>
      <c r="B7" s="106" t="s">
        <v>62</v>
      </c>
      <c r="C7" s="102" t="s">
        <v>1101</v>
      </c>
      <c r="D7" s="112" t="str">
        <f ca="1">IF(D$6="","",IF(RAND()&lt;0.8,"P","R"))</f>
        <v>P</v>
      </c>
      <c r="E7" s="112" t="str">
        <f t="shared" ref="E7:T22" ca="1" si="2">IF(E$6="","",IF(RAND()&lt;0.8,"P","R"))</f>
        <v>P</v>
      </c>
      <c r="F7" s="112" t="str">
        <f t="shared" ca="1" si="2"/>
        <v>P</v>
      </c>
      <c r="G7" s="112" t="str">
        <f t="shared" ca="1" si="2"/>
        <v>P</v>
      </c>
      <c r="H7" s="112" t="str">
        <f t="shared" ca="1" si="2"/>
        <v>P</v>
      </c>
      <c r="I7" s="112" t="str">
        <f t="shared" ca="1" si="2"/>
        <v>R</v>
      </c>
      <c r="J7" s="112" t="str">
        <f t="shared" ca="1" si="2"/>
        <v>R</v>
      </c>
      <c r="K7" s="112" t="str">
        <f t="shared" ca="1" si="2"/>
        <v>P</v>
      </c>
      <c r="L7" s="112" t="str">
        <f t="shared" ca="1" si="2"/>
        <v>R</v>
      </c>
      <c r="M7" s="112" t="str">
        <f t="shared" ca="1" si="2"/>
        <v>P</v>
      </c>
      <c r="N7" s="112" t="str">
        <f t="shared" ca="1" si="2"/>
        <v>P</v>
      </c>
      <c r="O7" s="112" t="str">
        <f t="shared" ca="1" si="2"/>
        <v>P</v>
      </c>
      <c r="P7" s="112" t="str">
        <f t="shared" ca="1" si="2"/>
        <v>P</v>
      </c>
      <c r="Q7" s="112" t="str">
        <f t="shared" ca="1" si="2"/>
        <v>P</v>
      </c>
      <c r="R7" s="112" t="str">
        <f t="shared" ca="1" si="2"/>
        <v>R</v>
      </c>
      <c r="S7" s="112" t="str">
        <f t="shared" ca="1" si="2"/>
        <v>P</v>
      </c>
      <c r="T7" s="112" t="str">
        <f t="shared" ca="1" si="2"/>
        <v>P</v>
      </c>
      <c r="U7" s="112" t="str">
        <f t="shared" ref="U7:AH22" ca="1" si="3">IF(U$6="","",IF(RAND()&lt;0.8,"P","R"))</f>
        <v>P</v>
      </c>
      <c r="V7" s="112" t="str">
        <f t="shared" ca="1" si="3"/>
        <v>P</v>
      </c>
      <c r="W7" s="112" t="str">
        <f t="shared" ca="1" si="3"/>
        <v>R</v>
      </c>
      <c r="X7" s="112" t="str">
        <f t="shared" ca="1" si="3"/>
        <v>P</v>
      </c>
      <c r="Y7" s="112" t="str">
        <f t="shared" ca="1" si="3"/>
        <v>P</v>
      </c>
      <c r="Z7" s="112" t="str">
        <f t="shared" ca="1" si="3"/>
        <v>R</v>
      </c>
      <c r="AA7" s="112" t="str">
        <f t="shared" ca="1" si="3"/>
        <v>P</v>
      </c>
      <c r="AB7" s="112" t="str">
        <f t="shared" ca="1" si="3"/>
        <v>P</v>
      </c>
      <c r="AC7" s="112" t="str">
        <f t="shared" ca="1" si="3"/>
        <v>P</v>
      </c>
      <c r="AD7" s="112" t="str">
        <f t="shared" ca="1" si="3"/>
        <v>P</v>
      </c>
      <c r="AE7" s="112" t="str">
        <f t="shared" ca="1" si="3"/>
        <v>P</v>
      </c>
      <c r="AF7" s="112" t="str">
        <f t="shared" ca="1" si="3"/>
        <v>P</v>
      </c>
      <c r="AG7" s="112" t="str">
        <f t="shared" ca="1" si="3"/>
        <v>P</v>
      </c>
      <c r="AH7" s="112" t="str">
        <f t="shared" ca="1" si="3"/>
        <v>P</v>
      </c>
      <c r="AI7" s="110">
        <f t="shared" ref="AI7:AI70" si="4">DAY($X$4)</f>
        <v>31</v>
      </c>
      <c r="AJ7" s="220">
        <f t="shared" ref="AJ7:AJ70" ca="1" si="5">COUNTIF(D8:AH8,"P")</f>
        <v>28</v>
      </c>
      <c r="AK7" s="111">
        <f t="shared" ref="AK7:AK70" ca="1" si="6">COUNTIF(D8:AH8,"R")</f>
        <v>3</v>
      </c>
      <c r="AX7" t="str">
        <f>IF(I$6="","",TEXT(I$6,"dd"))</f>
        <v>06</v>
      </c>
      <c r="AY7">
        <f ca="1">IF($AX7="","",COUNTIF(I:I,"P"))</f>
        <v>174</v>
      </c>
      <c r="AZ7">
        <f ca="1">IF($AX7="","",COUNTIF(I:I,"R"))</f>
        <v>31</v>
      </c>
    </row>
    <row r="8" spans="1:52" x14ac:dyDescent="0.25">
      <c r="A8" s="105">
        <v>1001</v>
      </c>
      <c r="B8" s="107" t="s">
        <v>69</v>
      </c>
      <c r="C8" s="103" t="s">
        <v>1102</v>
      </c>
      <c r="D8" s="112" t="str">
        <f t="shared" ref="D8:S23" ca="1" si="7">IF(D$6="","",IF(RAND()&lt;0.8,"P","R"))</f>
        <v>P</v>
      </c>
      <c r="E8" s="112" t="str">
        <f t="shared" ca="1" si="2"/>
        <v>R</v>
      </c>
      <c r="F8" s="112" t="str">
        <f t="shared" ca="1" si="2"/>
        <v>P</v>
      </c>
      <c r="G8" s="112" t="str">
        <f t="shared" ca="1" si="2"/>
        <v>P</v>
      </c>
      <c r="H8" s="112" t="str">
        <f t="shared" ca="1" si="2"/>
        <v>P</v>
      </c>
      <c r="I8" s="112" t="str">
        <f t="shared" ca="1" si="2"/>
        <v>P</v>
      </c>
      <c r="J8" s="112" t="str">
        <f t="shared" ca="1" si="2"/>
        <v>P</v>
      </c>
      <c r="K8" s="112" t="str">
        <f t="shared" ca="1" si="2"/>
        <v>P</v>
      </c>
      <c r="L8" s="112" t="str">
        <f t="shared" ca="1" si="2"/>
        <v>P</v>
      </c>
      <c r="M8" s="112" t="str">
        <f t="shared" ca="1" si="2"/>
        <v>P</v>
      </c>
      <c r="N8" s="112" t="str">
        <f t="shared" ca="1" si="2"/>
        <v>P</v>
      </c>
      <c r="O8" s="112" t="str">
        <f t="shared" ca="1" si="2"/>
        <v>P</v>
      </c>
      <c r="P8" s="112" t="str">
        <f t="shared" ca="1" si="2"/>
        <v>P</v>
      </c>
      <c r="Q8" s="112" t="str">
        <f t="shared" ca="1" si="2"/>
        <v>P</v>
      </c>
      <c r="R8" s="112" t="str">
        <f t="shared" ca="1" si="2"/>
        <v>P</v>
      </c>
      <c r="S8" s="112" t="str">
        <f t="shared" ca="1" si="2"/>
        <v>P</v>
      </c>
      <c r="T8" s="112" t="str">
        <f t="shared" ca="1" si="2"/>
        <v>P</v>
      </c>
      <c r="U8" s="112" t="str">
        <f t="shared" ca="1" si="3"/>
        <v>R</v>
      </c>
      <c r="V8" s="112" t="str">
        <f t="shared" ca="1" si="3"/>
        <v>P</v>
      </c>
      <c r="W8" s="112" t="str">
        <f t="shared" ca="1" si="3"/>
        <v>P</v>
      </c>
      <c r="X8" s="112" t="str">
        <f t="shared" ca="1" si="3"/>
        <v>P</v>
      </c>
      <c r="Y8" s="112" t="str">
        <f t="shared" ca="1" si="3"/>
        <v>P</v>
      </c>
      <c r="Z8" s="112" t="str">
        <f t="shared" ca="1" si="3"/>
        <v>P</v>
      </c>
      <c r="AA8" s="112" t="str">
        <f t="shared" ca="1" si="3"/>
        <v>P</v>
      </c>
      <c r="AB8" s="112" t="str">
        <f t="shared" ca="1" si="3"/>
        <v>R</v>
      </c>
      <c r="AC8" s="112" t="str">
        <f t="shared" ca="1" si="3"/>
        <v>P</v>
      </c>
      <c r="AD8" s="112" t="str">
        <f t="shared" ca="1" si="3"/>
        <v>P</v>
      </c>
      <c r="AE8" s="112" t="str">
        <f t="shared" ca="1" si="3"/>
        <v>P</v>
      </c>
      <c r="AF8" s="112" t="str">
        <f t="shared" ca="1" si="3"/>
        <v>P</v>
      </c>
      <c r="AG8" s="112" t="str">
        <f t="shared" ca="1" si="3"/>
        <v>P</v>
      </c>
      <c r="AH8" s="112" t="str">
        <f t="shared" ca="1" si="3"/>
        <v>P</v>
      </c>
      <c r="AI8" s="110">
        <f t="shared" si="4"/>
        <v>31</v>
      </c>
      <c r="AJ8" s="220">
        <f t="shared" ca="1" si="5"/>
        <v>24</v>
      </c>
      <c r="AK8" s="111">
        <f t="shared" ca="1" si="6"/>
        <v>7</v>
      </c>
      <c r="AX8" t="str">
        <f>IF(J$6="","",TEXT(J$6,"dd"))</f>
        <v>07</v>
      </c>
      <c r="AY8">
        <f ca="1">IF($AX8="","",COUNTIF(J:J,"P"))</f>
        <v>166</v>
      </c>
      <c r="AZ8">
        <f ca="1">IF($AX8="","",COUNTIF(J:J,"R"))</f>
        <v>39</v>
      </c>
    </row>
    <row r="9" spans="1:52" x14ac:dyDescent="0.25">
      <c r="A9" s="105">
        <v>1002</v>
      </c>
      <c r="B9" s="107" t="s">
        <v>75</v>
      </c>
      <c r="C9" s="103" t="s">
        <v>1103</v>
      </c>
      <c r="D9" s="112" t="str">
        <f t="shared" ca="1" si="7"/>
        <v>R</v>
      </c>
      <c r="E9" s="112" t="str">
        <f t="shared" ca="1" si="2"/>
        <v>P</v>
      </c>
      <c r="F9" s="112" t="str">
        <f t="shared" ca="1" si="2"/>
        <v>P</v>
      </c>
      <c r="G9" s="112" t="str">
        <f t="shared" ca="1" si="2"/>
        <v>R</v>
      </c>
      <c r="H9" s="112" t="str">
        <f t="shared" ca="1" si="2"/>
        <v>P</v>
      </c>
      <c r="I9" s="112" t="str">
        <f t="shared" ca="1" si="2"/>
        <v>P</v>
      </c>
      <c r="J9" s="112" t="str">
        <f t="shared" ca="1" si="2"/>
        <v>P</v>
      </c>
      <c r="K9" s="112" t="str">
        <f t="shared" ca="1" si="2"/>
        <v>P</v>
      </c>
      <c r="L9" s="112" t="str">
        <f t="shared" ca="1" si="2"/>
        <v>P</v>
      </c>
      <c r="M9" s="112" t="str">
        <f t="shared" ca="1" si="2"/>
        <v>P</v>
      </c>
      <c r="N9" s="112" t="str">
        <f t="shared" ca="1" si="2"/>
        <v>P</v>
      </c>
      <c r="O9" s="112" t="str">
        <f t="shared" ca="1" si="2"/>
        <v>R</v>
      </c>
      <c r="P9" s="112" t="str">
        <f t="shared" ca="1" si="2"/>
        <v>P</v>
      </c>
      <c r="Q9" s="112" t="str">
        <f t="shared" ca="1" si="2"/>
        <v>P</v>
      </c>
      <c r="R9" s="112" t="str">
        <f t="shared" ca="1" si="2"/>
        <v>R</v>
      </c>
      <c r="S9" s="112" t="str">
        <f t="shared" ca="1" si="2"/>
        <v>P</v>
      </c>
      <c r="T9" s="112" t="str">
        <f t="shared" ca="1" si="2"/>
        <v>P</v>
      </c>
      <c r="U9" s="112" t="str">
        <f t="shared" ca="1" si="3"/>
        <v>P</v>
      </c>
      <c r="V9" s="112" t="str">
        <f t="shared" ca="1" si="3"/>
        <v>P</v>
      </c>
      <c r="W9" s="112" t="str">
        <f t="shared" ca="1" si="3"/>
        <v>P</v>
      </c>
      <c r="X9" s="112" t="str">
        <f t="shared" ca="1" si="3"/>
        <v>R</v>
      </c>
      <c r="Y9" s="112" t="str">
        <f t="shared" ca="1" si="3"/>
        <v>P</v>
      </c>
      <c r="Z9" s="112" t="str">
        <f t="shared" ca="1" si="3"/>
        <v>P</v>
      </c>
      <c r="AA9" s="112" t="str">
        <f t="shared" ca="1" si="3"/>
        <v>P</v>
      </c>
      <c r="AB9" s="112" t="str">
        <f t="shared" ca="1" si="3"/>
        <v>P</v>
      </c>
      <c r="AC9" s="112" t="str">
        <f t="shared" ca="1" si="3"/>
        <v>R</v>
      </c>
      <c r="AD9" s="112" t="str">
        <f t="shared" ca="1" si="3"/>
        <v>P</v>
      </c>
      <c r="AE9" s="112" t="str">
        <f t="shared" ca="1" si="3"/>
        <v>P</v>
      </c>
      <c r="AF9" s="112" t="str">
        <f t="shared" ca="1" si="3"/>
        <v>R</v>
      </c>
      <c r="AG9" s="112" t="str">
        <f t="shared" ca="1" si="3"/>
        <v>P</v>
      </c>
      <c r="AH9" s="112" t="str">
        <f t="shared" ca="1" si="3"/>
        <v>P</v>
      </c>
      <c r="AI9" s="110">
        <f t="shared" si="4"/>
        <v>31</v>
      </c>
      <c r="AJ9" s="220">
        <f t="shared" ca="1" si="5"/>
        <v>24</v>
      </c>
      <c r="AK9" s="111">
        <f t="shared" ca="1" si="6"/>
        <v>7</v>
      </c>
      <c r="AL9" t="s">
        <v>576</v>
      </c>
      <c r="AX9" t="str">
        <f>IF(K$6="","",TEXT(K$6,"dd"))</f>
        <v>08</v>
      </c>
      <c r="AY9">
        <f ca="1">IF($AX9="","",COUNTIF(K:K,"P"))</f>
        <v>175</v>
      </c>
      <c r="AZ9">
        <f ca="1">IF($AX9="","",COUNTIF(K:K,"R"))</f>
        <v>30</v>
      </c>
    </row>
    <row r="10" spans="1:52" x14ac:dyDescent="0.25">
      <c r="A10" s="105">
        <v>1003</v>
      </c>
      <c r="B10" s="107" t="s">
        <v>81</v>
      </c>
      <c r="C10" s="103" t="s">
        <v>1103</v>
      </c>
      <c r="D10" s="112" t="str">
        <f t="shared" ca="1" si="7"/>
        <v>R</v>
      </c>
      <c r="E10" s="112" t="str">
        <f t="shared" ca="1" si="2"/>
        <v>P</v>
      </c>
      <c r="F10" s="112" t="str">
        <f t="shared" ca="1" si="2"/>
        <v>P</v>
      </c>
      <c r="G10" s="112" t="str">
        <f t="shared" ca="1" si="2"/>
        <v>R</v>
      </c>
      <c r="H10" s="112" t="str">
        <f t="shared" ca="1" si="2"/>
        <v>P</v>
      </c>
      <c r="I10" s="112" t="str">
        <f t="shared" ca="1" si="2"/>
        <v>P</v>
      </c>
      <c r="J10" s="112" t="str">
        <f t="shared" ca="1" si="2"/>
        <v>P</v>
      </c>
      <c r="K10" s="112" t="str">
        <f t="shared" ca="1" si="2"/>
        <v>P</v>
      </c>
      <c r="L10" s="112" t="str">
        <f t="shared" ca="1" si="2"/>
        <v>R</v>
      </c>
      <c r="M10" s="112" t="str">
        <f t="shared" ca="1" si="2"/>
        <v>P</v>
      </c>
      <c r="N10" s="112" t="str">
        <f t="shared" ca="1" si="2"/>
        <v>P</v>
      </c>
      <c r="O10" s="112" t="str">
        <f t="shared" ca="1" si="2"/>
        <v>P</v>
      </c>
      <c r="P10" s="112" t="str">
        <f t="shared" ca="1" si="2"/>
        <v>P</v>
      </c>
      <c r="Q10" s="112" t="str">
        <f t="shared" ca="1" si="2"/>
        <v>P</v>
      </c>
      <c r="R10" s="112" t="str">
        <f t="shared" ca="1" si="2"/>
        <v>P</v>
      </c>
      <c r="S10" s="112" t="str">
        <f t="shared" ca="1" si="2"/>
        <v>P</v>
      </c>
      <c r="T10" s="112" t="str">
        <f t="shared" ca="1" si="2"/>
        <v>P</v>
      </c>
      <c r="U10" s="112" t="str">
        <f t="shared" ca="1" si="3"/>
        <v>P</v>
      </c>
      <c r="V10" s="112" t="str">
        <f t="shared" ca="1" si="3"/>
        <v>P</v>
      </c>
      <c r="W10" s="112" t="str">
        <f t="shared" ca="1" si="3"/>
        <v>R</v>
      </c>
      <c r="X10" s="112" t="str">
        <f t="shared" ca="1" si="3"/>
        <v>P</v>
      </c>
      <c r="Y10" s="112" t="str">
        <f t="shared" ca="1" si="3"/>
        <v>P</v>
      </c>
      <c r="Z10" s="112" t="str">
        <f t="shared" ca="1" si="3"/>
        <v>R</v>
      </c>
      <c r="AA10" s="112" t="str">
        <f t="shared" ca="1" si="3"/>
        <v>R</v>
      </c>
      <c r="AB10" s="112" t="str">
        <f t="shared" ca="1" si="3"/>
        <v>P</v>
      </c>
      <c r="AC10" s="112" t="str">
        <f t="shared" ca="1" si="3"/>
        <v>P</v>
      </c>
      <c r="AD10" s="112" t="str">
        <f t="shared" ca="1" si="3"/>
        <v>P</v>
      </c>
      <c r="AE10" s="112" t="str">
        <f t="shared" ca="1" si="3"/>
        <v>P</v>
      </c>
      <c r="AF10" s="112" t="str">
        <f t="shared" ca="1" si="3"/>
        <v>P</v>
      </c>
      <c r="AG10" s="112" t="str">
        <f t="shared" ca="1" si="3"/>
        <v>R</v>
      </c>
      <c r="AH10" s="112" t="str">
        <f t="shared" ca="1" si="3"/>
        <v>P</v>
      </c>
      <c r="AI10" s="110">
        <f t="shared" si="4"/>
        <v>31</v>
      </c>
      <c r="AJ10" s="220">
        <f t="shared" ca="1" si="5"/>
        <v>27</v>
      </c>
      <c r="AK10" s="111">
        <f t="shared" ca="1" si="6"/>
        <v>4</v>
      </c>
      <c r="AL10" t="s">
        <v>577</v>
      </c>
      <c r="AX10" t="str">
        <f>IF(L$6="","",TEXT(L$6,"dd"))</f>
        <v>09</v>
      </c>
      <c r="AY10">
        <f ca="1">IF($AX10="","",COUNTIF(L:L,"P"))</f>
        <v>155</v>
      </c>
      <c r="AZ10">
        <f ca="1">IF($AX10="","",COUNTIF(L:L,"R"))</f>
        <v>50</v>
      </c>
    </row>
    <row r="11" spans="1:52" x14ac:dyDescent="0.25">
      <c r="A11" s="105">
        <v>1004</v>
      </c>
      <c r="B11" s="107" t="s">
        <v>88</v>
      </c>
      <c r="C11" s="103" t="s">
        <v>1101</v>
      </c>
      <c r="D11" s="112" t="str">
        <f t="shared" ca="1" si="7"/>
        <v>P</v>
      </c>
      <c r="E11" s="112" t="str">
        <f t="shared" ca="1" si="2"/>
        <v>P</v>
      </c>
      <c r="F11" s="112" t="str">
        <f t="shared" ca="1" si="2"/>
        <v>P</v>
      </c>
      <c r="G11" s="112" t="str">
        <f t="shared" ca="1" si="2"/>
        <v>P</v>
      </c>
      <c r="H11" s="112" t="str">
        <f t="shared" ca="1" si="2"/>
        <v>P</v>
      </c>
      <c r="I11" s="112" t="str">
        <f t="shared" ca="1" si="2"/>
        <v>P</v>
      </c>
      <c r="J11" s="112" t="str">
        <f t="shared" ca="1" si="2"/>
        <v>P</v>
      </c>
      <c r="K11" s="112" t="str">
        <f t="shared" ca="1" si="2"/>
        <v>P</v>
      </c>
      <c r="L11" s="112" t="str">
        <f t="shared" ca="1" si="2"/>
        <v>P</v>
      </c>
      <c r="M11" s="112" t="str">
        <f t="shared" ca="1" si="2"/>
        <v>R</v>
      </c>
      <c r="N11" s="112" t="str">
        <f t="shared" ca="1" si="2"/>
        <v>P</v>
      </c>
      <c r="O11" s="112" t="str">
        <f t="shared" ca="1" si="2"/>
        <v>P</v>
      </c>
      <c r="P11" s="112" t="str">
        <f t="shared" ca="1" si="2"/>
        <v>P</v>
      </c>
      <c r="Q11" s="112" t="str">
        <f t="shared" ca="1" si="2"/>
        <v>P</v>
      </c>
      <c r="R11" s="112" t="str">
        <f t="shared" ca="1" si="2"/>
        <v>P</v>
      </c>
      <c r="S11" s="112" t="str">
        <f t="shared" ca="1" si="2"/>
        <v>P</v>
      </c>
      <c r="T11" s="112" t="str">
        <f t="shared" ca="1" si="2"/>
        <v>R</v>
      </c>
      <c r="U11" s="112" t="str">
        <f t="shared" ca="1" si="3"/>
        <v>P</v>
      </c>
      <c r="V11" s="112" t="str">
        <f t="shared" ca="1" si="3"/>
        <v>P</v>
      </c>
      <c r="W11" s="112" t="str">
        <f t="shared" ca="1" si="3"/>
        <v>P</v>
      </c>
      <c r="X11" s="112" t="str">
        <f t="shared" ca="1" si="3"/>
        <v>P</v>
      </c>
      <c r="Y11" s="112" t="str">
        <f t="shared" ca="1" si="3"/>
        <v>P</v>
      </c>
      <c r="Z11" s="112" t="str">
        <f t="shared" ca="1" si="3"/>
        <v>P</v>
      </c>
      <c r="AA11" s="112" t="str">
        <f t="shared" ca="1" si="3"/>
        <v>R</v>
      </c>
      <c r="AB11" s="112" t="str">
        <f t="shared" ca="1" si="3"/>
        <v>P</v>
      </c>
      <c r="AC11" s="112" t="str">
        <f t="shared" ca="1" si="3"/>
        <v>R</v>
      </c>
      <c r="AD11" s="112" t="str">
        <f t="shared" ca="1" si="3"/>
        <v>P</v>
      </c>
      <c r="AE11" s="112" t="str">
        <f t="shared" ca="1" si="3"/>
        <v>P</v>
      </c>
      <c r="AF11" s="112" t="str">
        <f t="shared" ca="1" si="3"/>
        <v>P</v>
      </c>
      <c r="AG11" s="112" t="str">
        <f t="shared" ca="1" si="3"/>
        <v>P</v>
      </c>
      <c r="AH11" s="112" t="str">
        <f t="shared" ca="1" si="3"/>
        <v>P</v>
      </c>
      <c r="AI11" s="110">
        <f t="shared" si="4"/>
        <v>31</v>
      </c>
      <c r="AJ11" s="220">
        <f t="shared" ca="1" si="5"/>
        <v>26</v>
      </c>
      <c r="AK11" s="111">
        <f t="shared" ca="1" si="6"/>
        <v>5</v>
      </c>
      <c r="AL11" t="s">
        <v>500</v>
      </c>
      <c r="AX11" t="str">
        <f>IF(M$6="","",TEXT(M$6,"dd"))</f>
        <v>10</v>
      </c>
      <c r="AY11">
        <f ca="1">IF($AX11="","",COUNTIF(M:M,"P"))</f>
        <v>166</v>
      </c>
      <c r="AZ11">
        <f ca="1">IF($AX11="","",COUNTIF(M:M,"R"))</f>
        <v>39</v>
      </c>
    </row>
    <row r="12" spans="1:52" x14ac:dyDescent="0.25">
      <c r="A12" s="105">
        <v>1005</v>
      </c>
      <c r="B12" s="107" t="s">
        <v>94</v>
      </c>
      <c r="C12" s="103" t="s">
        <v>1103</v>
      </c>
      <c r="D12" s="112" t="str">
        <f t="shared" ca="1" si="7"/>
        <v>P</v>
      </c>
      <c r="E12" s="112" t="str">
        <f t="shared" ca="1" si="2"/>
        <v>P</v>
      </c>
      <c r="F12" s="112" t="str">
        <f t="shared" ca="1" si="2"/>
        <v>R</v>
      </c>
      <c r="G12" s="112" t="str">
        <f t="shared" ca="1" si="2"/>
        <v>P</v>
      </c>
      <c r="H12" s="112" t="str">
        <f t="shared" ca="1" si="2"/>
        <v>P</v>
      </c>
      <c r="I12" s="112" t="str">
        <f t="shared" ca="1" si="2"/>
        <v>R</v>
      </c>
      <c r="J12" s="112" t="str">
        <f t="shared" ca="1" si="2"/>
        <v>P</v>
      </c>
      <c r="K12" s="112" t="str">
        <f t="shared" ca="1" si="2"/>
        <v>P</v>
      </c>
      <c r="L12" s="112" t="str">
        <f t="shared" ca="1" si="2"/>
        <v>P</v>
      </c>
      <c r="M12" s="112" t="str">
        <f t="shared" ca="1" si="2"/>
        <v>P</v>
      </c>
      <c r="N12" s="112" t="str">
        <f t="shared" ca="1" si="2"/>
        <v>R</v>
      </c>
      <c r="O12" s="112" t="str">
        <f t="shared" ca="1" si="2"/>
        <v>P</v>
      </c>
      <c r="P12" s="112" t="str">
        <f t="shared" ca="1" si="2"/>
        <v>P</v>
      </c>
      <c r="Q12" s="112" t="str">
        <f t="shared" ca="1" si="2"/>
        <v>P</v>
      </c>
      <c r="R12" s="112" t="str">
        <f t="shared" ca="1" si="2"/>
        <v>P</v>
      </c>
      <c r="S12" s="112" t="str">
        <f t="shared" ca="1" si="2"/>
        <v>P</v>
      </c>
      <c r="T12" s="112" t="str">
        <f t="shared" ca="1" si="2"/>
        <v>P</v>
      </c>
      <c r="U12" s="112" t="str">
        <f t="shared" ca="1" si="3"/>
        <v>P</v>
      </c>
      <c r="V12" s="112" t="str">
        <f t="shared" ca="1" si="3"/>
        <v>P</v>
      </c>
      <c r="W12" s="112" t="str">
        <f t="shared" ca="1" si="3"/>
        <v>P</v>
      </c>
      <c r="X12" s="112" t="str">
        <f t="shared" ca="1" si="3"/>
        <v>P</v>
      </c>
      <c r="Y12" s="112" t="str">
        <f t="shared" ca="1" si="3"/>
        <v>P</v>
      </c>
      <c r="Z12" s="112" t="str">
        <f t="shared" ca="1" si="3"/>
        <v>P</v>
      </c>
      <c r="AA12" s="112" t="str">
        <f t="shared" ca="1" si="3"/>
        <v>R</v>
      </c>
      <c r="AB12" s="112" t="str">
        <f t="shared" ca="1" si="3"/>
        <v>P</v>
      </c>
      <c r="AC12" s="112" t="str">
        <f t="shared" ca="1" si="3"/>
        <v>P</v>
      </c>
      <c r="AD12" s="112" t="str">
        <f t="shared" ca="1" si="3"/>
        <v>R</v>
      </c>
      <c r="AE12" s="112" t="str">
        <f t="shared" ca="1" si="3"/>
        <v>P</v>
      </c>
      <c r="AF12" s="112" t="str">
        <f t="shared" ca="1" si="3"/>
        <v>P</v>
      </c>
      <c r="AG12" s="112" t="str">
        <f t="shared" ca="1" si="3"/>
        <v>P</v>
      </c>
      <c r="AH12" s="112" t="str">
        <f t="shared" ca="1" si="3"/>
        <v>P</v>
      </c>
      <c r="AI12" s="110">
        <f t="shared" si="4"/>
        <v>31</v>
      </c>
      <c r="AJ12" s="220">
        <f t="shared" ca="1" si="5"/>
        <v>24</v>
      </c>
      <c r="AK12" s="111">
        <f t="shared" ca="1" si="6"/>
        <v>7</v>
      </c>
      <c r="AL12" t="s">
        <v>501</v>
      </c>
      <c r="AX12" t="str">
        <f>IF(N$6="","",TEXT(N$6,"dd"))</f>
        <v>11</v>
      </c>
      <c r="AY12">
        <f ca="1">IF($AX12="","",COUNTIF(N:N,"P"))</f>
        <v>164</v>
      </c>
      <c r="AZ12">
        <f ca="1">IF($AX12="","",COUNTIF(N:N,"R"))</f>
        <v>41</v>
      </c>
    </row>
    <row r="13" spans="1:52" x14ac:dyDescent="0.25">
      <c r="A13" s="105">
        <v>1006</v>
      </c>
      <c r="B13" s="107" t="s">
        <v>100</v>
      </c>
      <c r="C13" s="103" t="s">
        <v>1104</v>
      </c>
      <c r="D13" s="112" t="str">
        <f t="shared" ca="1" si="7"/>
        <v>R</v>
      </c>
      <c r="E13" s="112" t="str">
        <f t="shared" ca="1" si="2"/>
        <v>R</v>
      </c>
      <c r="F13" s="112" t="str">
        <f t="shared" ca="1" si="2"/>
        <v>P</v>
      </c>
      <c r="G13" s="112" t="str">
        <f t="shared" ca="1" si="2"/>
        <v>P</v>
      </c>
      <c r="H13" s="112" t="str">
        <f t="shared" ca="1" si="2"/>
        <v>R</v>
      </c>
      <c r="I13" s="112" t="str">
        <f t="shared" ca="1" si="2"/>
        <v>P</v>
      </c>
      <c r="J13" s="112" t="str">
        <f t="shared" ca="1" si="2"/>
        <v>P</v>
      </c>
      <c r="K13" s="112" t="str">
        <f t="shared" ca="1" si="2"/>
        <v>P</v>
      </c>
      <c r="L13" s="112" t="str">
        <f t="shared" ca="1" si="2"/>
        <v>P</v>
      </c>
      <c r="M13" s="112" t="str">
        <f t="shared" ca="1" si="2"/>
        <v>P</v>
      </c>
      <c r="N13" s="112" t="str">
        <f t="shared" ca="1" si="2"/>
        <v>R</v>
      </c>
      <c r="O13" s="112" t="str">
        <f t="shared" ca="1" si="2"/>
        <v>P</v>
      </c>
      <c r="P13" s="112" t="str">
        <f t="shared" ca="1" si="2"/>
        <v>P</v>
      </c>
      <c r="Q13" s="112" t="str">
        <f t="shared" ca="1" si="2"/>
        <v>P</v>
      </c>
      <c r="R13" s="112" t="str">
        <f t="shared" ca="1" si="2"/>
        <v>P</v>
      </c>
      <c r="S13" s="112" t="str">
        <f t="shared" ca="1" si="2"/>
        <v>P</v>
      </c>
      <c r="T13" s="112" t="str">
        <f t="shared" ca="1" si="2"/>
        <v>R</v>
      </c>
      <c r="U13" s="112" t="str">
        <f t="shared" ca="1" si="3"/>
        <v>P</v>
      </c>
      <c r="V13" s="112" t="str">
        <f t="shared" ca="1" si="3"/>
        <v>P</v>
      </c>
      <c r="W13" s="112" t="str">
        <f t="shared" ca="1" si="3"/>
        <v>P</v>
      </c>
      <c r="X13" s="112" t="str">
        <f t="shared" ca="1" si="3"/>
        <v>P</v>
      </c>
      <c r="Y13" s="112" t="str">
        <f t="shared" ca="1" si="3"/>
        <v>P</v>
      </c>
      <c r="Z13" s="112" t="str">
        <f t="shared" ca="1" si="3"/>
        <v>R</v>
      </c>
      <c r="AA13" s="112" t="str">
        <f t="shared" ca="1" si="3"/>
        <v>P</v>
      </c>
      <c r="AB13" s="112" t="str">
        <f t="shared" ca="1" si="3"/>
        <v>P</v>
      </c>
      <c r="AC13" s="112" t="str">
        <f t="shared" ca="1" si="3"/>
        <v>P</v>
      </c>
      <c r="AD13" s="112" t="str">
        <f t="shared" ca="1" si="3"/>
        <v>P</v>
      </c>
      <c r="AE13" s="112" t="str">
        <f t="shared" ca="1" si="3"/>
        <v>P</v>
      </c>
      <c r="AF13" s="112" t="str">
        <f t="shared" ca="1" si="3"/>
        <v>P</v>
      </c>
      <c r="AG13" s="112" t="str">
        <f t="shared" ca="1" si="3"/>
        <v>P</v>
      </c>
      <c r="AH13" s="112" t="str">
        <f t="shared" ca="1" si="3"/>
        <v>R</v>
      </c>
      <c r="AI13" s="110">
        <f t="shared" si="4"/>
        <v>31</v>
      </c>
      <c r="AJ13" s="220">
        <f t="shared" ca="1" si="5"/>
        <v>26</v>
      </c>
      <c r="AK13" s="111">
        <f t="shared" ca="1" si="6"/>
        <v>5</v>
      </c>
      <c r="AL13" t="s">
        <v>502</v>
      </c>
      <c r="AX13" t="str">
        <f>IF(O$6="","",TEXT(O$6,"dd"))</f>
        <v>12</v>
      </c>
      <c r="AY13">
        <f ca="1">IF($AX13="","",COUNTIF(O:O,"P"))</f>
        <v>168</v>
      </c>
      <c r="AZ13">
        <f ca="1">IF($AX13="","",COUNTIF(O:O,"R"))</f>
        <v>37</v>
      </c>
    </row>
    <row r="14" spans="1:52" x14ac:dyDescent="0.25">
      <c r="A14" s="105">
        <v>1007</v>
      </c>
      <c r="B14" s="107" t="s">
        <v>107</v>
      </c>
      <c r="C14" s="103" t="s">
        <v>1105</v>
      </c>
      <c r="D14" s="112" t="str">
        <f t="shared" ca="1" si="7"/>
        <v>P</v>
      </c>
      <c r="E14" s="112" t="str">
        <f t="shared" ca="1" si="2"/>
        <v>R</v>
      </c>
      <c r="F14" s="112" t="str">
        <f t="shared" ca="1" si="2"/>
        <v>R</v>
      </c>
      <c r="G14" s="112" t="str">
        <f t="shared" ca="1" si="2"/>
        <v>P</v>
      </c>
      <c r="H14" s="112" t="str">
        <f t="shared" ca="1" si="2"/>
        <v>P</v>
      </c>
      <c r="I14" s="112" t="str">
        <f t="shared" ca="1" si="2"/>
        <v>P</v>
      </c>
      <c r="J14" s="112" t="str">
        <f t="shared" ca="1" si="2"/>
        <v>P</v>
      </c>
      <c r="K14" s="112" t="str">
        <f t="shared" ca="1" si="2"/>
        <v>P</v>
      </c>
      <c r="L14" s="112" t="str">
        <f t="shared" ca="1" si="2"/>
        <v>P</v>
      </c>
      <c r="M14" s="112" t="str">
        <f t="shared" ca="1" si="2"/>
        <v>P</v>
      </c>
      <c r="N14" s="112" t="str">
        <f t="shared" ca="1" si="2"/>
        <v>P</v>
      </c>
      <c r="O14" s="112" t="str">
        <f t="shared" ca="1" si="2"/>
        <v>P</v>
      </c>
      <c r="P14" s="112" t="str">
        <f t="shared" ca="1" si="2"/>
        <v>P</v>
      </c>
      <c r="Q14" s="112" t="str">
        <f t="shared" ca="1" si="2"/>
        <v>P</v>
      </c>
      <c r="R14" s="112" t="str">
        <f t="shared" ca="1" si="2"/>
        <v>R</v>
      </c>
      <c r="S14" s="112" t="str">
        <f t="shared" ca="1" si="2"/>
        <v>P</v>
      </c>
      <c r="T14" s="112" t="str">
        <f t="shared" ca="1" si="2"/>
        <v>P</v>
      </c>
      <c r="U14" s="112" t="str">
        <f t="shared" ca="1" si="3"/>
        <v>P</v>
      </c>
      <c r="V14" s="112" t="str">
        <f t="shared" ca="1" si="3"/>
        <v>P</v>
      </c>
      <c r="W14" s="112" t="str">
        <f t="shared" ca="1" si="3"/>
        <v>P</v>
      </c>
      <c r="X14" s="112" t="str">
        <f t="shared" ca="1" si="3"/>
        <v>R</v>
      </c>
      <c r="Y14" s="112" t="str">
        <f t="shared" ca="1" si="3"/>
        <v>P</v>
      </c>
      <c r="Z14" s="112" t="str">
        <f t="shared" ca="1" si="3"/>
        <v>P</v>
      </c>
      <c r="AA14" s="112" t="str">
        <f t="shared" ca="1" si="3"/>
        <v>P</v>
      </c>
      <c r="AB14" s="112" t="str">
        <f t="shared" ca="1" si="3"/>
        <v>R</v>
      </c>
      <c r="AC14" s="112" t="str">
        <f t="shared" ca="1" si="3"/>
        <v>P</v>
      </c>
      <c r="AD14" s="112" t="str">
        <f t="shared" ca="1" si="3"/>
        <v>P</v>
      </c>
      <c r="AE14" s="112" t="str">
        <f t="shared" ca="1" si="3"/>
        <v>P</v>
      </c>
      <c r="AF14" s="112" t="str">
        <f t="shared" ca="1" si="3"/>
        <v>P</v>
      </c>
      <c r="AG14" s="112" t="str">
        <f t="shared" ca="1" si="3"/>
        <v>P</v>
      </c>
      <c r="AH14" s="112" t="str">
        <f t="shared" ca="1" si="3"/>
        <v>P</v>
      </c>
      <c r="AI14" s="110">
        <f t="shared" si="4"/>
        <v>31</v>
      </c>
      <c r="AJ14" s="220">
        <f t="shared" ca="1" si="5"/>
        <v>25</v>
      </c>
      <c r="AK14" s="111">
        <f t="shared" ca="1" si="6"/>
        <v>6</v>
      </c>
      <c r="AL14" t="s">
        <v>578</v>
      </c>
      <c r="AX14" t="str">
        <f>IF(P$6="","",TEXT(P$6,"dd"))</f>
        <v>13</v>
      </c>
      <c r="AY14">
        <f ca="1">IF($AX14="","",COUNTIF(P:P,"P"))</f>
        <v>167</v>
      </c>
      <c r="AZ14">
        <f ca="1">IF($AX14="","",COUNTIF(P:P,"R"))</f>
        <v>38</v>
      </c>
    </row>
    <row r="15" spans="1:52" x14ac:dyDescent="0.25">
      <c r="A15" s="105">
        <v>1008</v>
      </c>
      <c r="B15" s="107" t="s">
        <v>100</v>
      </c>
      <c r="C15" s="103" t="s">
        <v>1106</v>
      </c>
      <c r="D15" s="112" t="str">
        <f t="shared" ca="1" si="7"/>
        <v>P</v>
      </c>
      <c r="E15" s="112" t="str">
        <f t="shared" ca="1" si="2"/>
        <v>P</v>
      </c>
      <c r="F15" s="112" t="str">
        <f t="shared" ca="1" si="2"/>
        <v>R</v>
      </c>
      <c r="G15" s="112" t="str">
        <f t="shared" ca="1" si="2"/>
        <v>P</v>
      </c>
      <c r="H15" s="112" t="str">
        <f t="shared" ca="1" si="2"/>
        <v>P</v>
      </c>
      <c r="I15" s="112" t="str">
        <f t="shared" ca="1" si="2"/>
        <v>P</v>
      </c>
      <c r="J15" s="112" t="str">
        <f t="shared" ca="1" si="2"/>
        <v>P</v>
      </c>
      <c r="K15" s="112" t="str">
        <f t="shared" ca="1" si="2"/>
        <v>R</v>
      </c>
      <c r="L15" s="112" t="str">
        <f t="shared" ca="1" si="2"/>
        <v>P</v>
      </c>
      <c r="M15" s="112" t="str">
        <f t="shared" ca="1" si="2"/>
        <v>P</v>
      </c>
      <c r="N15" s="112" t="str">
        <f t="shared" ca="1" si="2"/>
        <v>P</v>
      </c>
      <c r="O15" s="112" t="str">
        <f t="shared" ca="1" si="2"/>
        <v>R</v>
      </c>
      <c r="P15" s="112" t="str">
        <f t="shared" ca="1" si="2"/>
        <v>P</v>
      </c>
      <c r="Q15" s="112" t="str">
        <f t="shared" ca="1" si="2"/>
        <v>P</v>
      </c>
      <c r="R15" s="112" t="str">
        <f t="shared" ca="1" si="2"/>
        <v>R</v>
      </c>
      <c r="S15" s="112" t="str">
        <f t="shared" ca="1" si="2"/>
        <v>P</v>
      </c>
      <c r="T15" s="112" t="str">
        <f t="shared" ca="1" si="2"/>
        <v>P</v>
      </c>
      <c r="U15" s="112" t="str">
        <f t="shared" ca="1" si="3"/>
        <v>P</v>
      </c>
      <c r="V15" s="112" t="str">
        <f t="shared" ca="1" si="3"/>
        <v>P</v>
      </c>
      <c r="W15" s="112" t="str">
        <f t="shared" ca="1" si="3"/>
        <v>P</v>
      </c>
      <c r="X15" s="112" t="str">
        <f t="shared" ca="1" si="3"/>
        <v>R</v>
      </c>
      <c r="Y15" s="112" t="str">
        <f t="shared" ca="1" si="3"/>
        <v>P</v>
      </c>
      <c r="Z15" s="112" t="str">
        <f t="shared" ca="1" si="3"/>
        <v>P</v>
      </c>
      <c r="AA15" s="112" t="str">
        <f t="shared" ca="1" si="3"/>
        <v>P</v>
      </c>
      <c r="AB15" s="112" t="str">
        <f t="shared" ca="1" si="3"/>
        <v>P</v>
      </c>
      <c r="AC15" s="112" t="str">
        <f t="shared" ca="1" si="3"/>
        <v>P</v>
      </c>
      <c r="AD15" s="112" t="str">
        <f t="shared" ca="1" si="3"/>
        <v>P</v>
      </c>
      <c r="AE15" s="112" t="str">
        <f t="shared" ca="1" si="3"/>
        <v>P</v>
      </c>
      <c r="AF15" s="112" t="str">
        <f t="shared" ca="1" si="3"/>
        <v>P</v>
      </c>
      <c r="AG15" s="112" t="str">
        <f t="shared" ca="1" si="3"/>
        <v>R</v>
      </c>
      <c r="AH15" s="112" t="str">
        <f t="shared" ca="1" si="3"/>
        <v>P</v>
      </c>
      <c r="AI15" s="110">
        <f t="shared" si="4"/>
        <v>31</v>
      </c>
      <c r="AJ15" s="220">
        <f t="shared" ca="1" si="5"/>
        <v>27</v>
      </c>
      <c r="AK15" s="111">
        <f t="shared" ca="1" si="6"/>
        <v>4</v>
      </c>
      <c r="AL15" t="s">
        <v>579</v>
      </c>
      <c r="AX15" t="str">
        <f>IF(Q$6="","",TEXT(Q$6,"dd"))</f>
        <v>14</v>
      </c>
      <c r="AY15">
        <f ca="1">IF($AX15="","",COUNTIF(Q:Q,"P"))</f>
        <v>175</v>
      </c>
      <c r="AZ15">
        <f ca="1">IF($AX15="","",COUNTIF(Q:Q,"R"))</f>
        <v>30</v>
      </c>
    </row>
    <row r="16" spans="1:52" x14ac:dyDescent="0.25">
      <c r="A16" s="105">
        <v>1009</v>
      </c>
      <c r="B16" s="107" t="s">
        <v>120</v>
      </c>
      <c r="C16" s="103" t="s">
        <v>1107</v>
      </c>
      <c r="D16" s="112" t="str">
        <f t="shared" ca="1" si="7"/>
        <v>R</v>
      </c>
      <c r="E16" s="112" t="str">
        <f t="shared" ca="1" si="2"/>
        <v>P</v>
      </c>
      <c r="F16" s="112" t="str">
        <f t="shared" ca="1" si="2"/>
        <v>P</v>
      </c>
      <c r="G16" s="112" t="str">
        <f t="shared" ca="1" si="2"/>
        <v>P</v>
      </c>
      <c r="H16" s="112" t="str">
        <f t="shared" ca="1" si="2"/>
        <v>P</v>
      </c>
      <c r="I16" s="112" t="str">
        <f t="shared" ca="1" si="2"/>
        <v>P</v>
      </c>
      <c r="J16" s="112" t="str">
        <f t="shared" ca="1" si="2"/>
        <v>R</v>
      </c>
      <c r="K16" s="112" t="str">
        <f t="shared" ca="1" si="2"/>
        <v>P</v>
      </c>
      <c r="L16" s="112" t="str">
        <f t="shared" ca="1" si="2"/>
        <v>P</v>
      </c>
      <c r="M16" s="112" t="str">
        <f t="shared" ca="1" si="2"/>
        <v>P</v>
      </c>
      <c r="N16" s="112" t="str">
        <f t="shared" ca="1" si="2"/>
        <v>P</v>
      </c>
      <c r="O16" s="112" t="str">
        <f t="shared" ca="1" si="2"/>
        <v>P</v>
      </c>
      <c r="P16" s="112" t="str">
        <f t="shared" ca="1" si="2"/>
        <v>P</v>
      </c>
      <c r="Q16" s="112" t="str">
        <f t="shared" ca="1" si="2"/>
        <v>P</v>
      </c>
      <c r="R16" s="112" t="str">
        <f t="shared" ca="1" si="2"/>
        <v>P</v>
      </c>
      <c r="S16" s="112" t="str">
        <f t="shared" ca="1" si="2"/>
        <v>P</v>
      </c>
      <c r="T16" s="112" t="str">
        <f t="shared" ca="1" si="2"/>
        <v>P</v>
      </c>
      <c r="U16" s="112" t="str">
        <f t="shared" ca="1" si="3"/>
        <v>P</v>
      </c>
      <c r="V16" s="112" t="str">
        <f t="shared" ca="1" si="3"/>
        <v>P</v>
      </c>
      <c r="W16" s="112" t="str">
        <f t="shared" ca="1" si="3"/>
        <v>P</v>
      </c>
      <c r="X16" s="112" t="str">
        <f t="shared" ca="1" si="3"/>
        <v>R</v>
      </c>
      <c r="Y16" s="112" t="str">
        <f t="shared" ca="1" si="3"/>
        <v>P</v>
      </c>
      <c r="Z16" s="112" t="str">
        <f t="shared" ca="1" si="3"/>
        <v>P</v>
      </c>
      <c r="AA16" s="112" t="str">
        <f t="shared" ca="1" si="3"/>
        <v>P</v>
      </c>
      <c r="AB16" s="112" t="str">
        <f t="shared" ca="1" si="3"/>
        <v>P</v>
      </c>
      <c r="AC16" s="112" t="str">
        <f t="shared" ca="1" si="3"/>
        <v>P</v>
      </c>
      <c r="AD16" s="112" t="str">
        <f t="shared" ca="1" si="3"/>
        <v>P</v>
      </c>
      <c r="AE16" s="112" t="str">
        <f t="shared" ca="1" si="3"/>
        <v>P</v>
      </c>
      <c r="AF16" s="112" t="str">
        <f t="shared" ca="1" si="3"/>
        <v>P</v>
      </c>
      <c r="AG16" s="112" t="str">
        <f t="shared" ca="1" si="3"/>
        <v>R</v>
      </c>
      <c r="AH16" s="112" t="str">
        <f t="shared" ca="1" si="3"/>
        <v>P</v>
      </c>
      <c r="AI16" s="110">
        <f t="shared" si="4"/>
        <v>31</v>
      </c>
      <c r="AJ16" s="220">
        <f t="shared" ca="1" si="5"/>
        <v>23</v>
      </c>
      <c r="AK16" s="111">
        <f t="shared" ca="1" si="6"/>
        <v>8</v>
      </c>
      <c r="AL16" t="s">
        <v>505</v>
      </c>
      <c r="AX16" t="str">
        <f>IF(R$6="","",TEXT(R$6,"dd"))</f>
        <v>15</v>
      </c>
      <c r="AY16">
        <f ca="1">IF($AX16="","",COUNTIF(R:R,"P"))</f>
        <v>157</v>
      </c>
      <c r="AZ16">
        <f ca="1">IF($AX16="","",COUNTIF(R:R,"R"))</f>
        <v>48</v>
      </c>
    </row>
    <row r="17" spans="1:52" x14ac:dyDescent="0.25">
      <c r="A17" s="105">
        <v>1010</v>
      </c>
      <c r="B17" s="107" t="s">
        <v>75</v>
      </c>
      <c r="C17" s="103" t="s">
        <v>1108</v>
      </c>
      <c r="D17" s="112" t="str">
        <f t="shared" ca="1" si="7"/>
        <v>P</v>
      </c>
      <c r="E17" s="112" t="str">
        <f t="shared" ca="1" si="2"/>
        <v>P</v>
      </c>
      <c r="F17" s="112" t="str">
        <f t="shared" ca="1" si="2"/>
        <v>P</v>
      </c>
      <c r="G17" s="112" t="str">
        <f t="shared" ca="1" si="2"/>
        <v>P</v>
      </c>
      <c r="H17" s="112" t="str">
        <f t="shared" ca="1" si="2"/>
        <v>P</v>
      </c>
      <c r="I17" s="112" t="str">
        <f t="shared" ca="1" si="2"/>
        <v>P</v>
      </c>
      <c r="J17" s="112" t="str">
        <f t="shared" ca="1" si="2"/>
        <v>R</v>
      </c>
      <c r="K17" s="112" t="str">
        <f t="shared" ca="1" si="2"/>
        <v>P</v>
      </c>
      <c r="L17" s="112" t="str">
        <f t="shared" ca="1" si="2"/>
        <v>P</v>
      </c>
      <c r="M17" s="112" t="str">
        <f t="shared" ca="1" si="2"/>
        <v>R</v>
      </c>
      <c r="N17" s="112" t="str">
        <f t="shared" ca="1" si="2"/>
        <v>R</v>
      </c>
      <c r="O17" s="112" t="str">
        <f t="shared" ca="1" si="2"/>
        <v>P</v>
      </c>
      <c r="P17" s="112" t="str">
        <f t="shared" ca="1" si="2"/>
        <v>P</v>
      </c>
      <c r="Q17" s="112" t="str">
        <f t="shared" ca="1" si="2"/>
        <v>P</v>
      </c>
      <c r="R17" s="112" t="str">
        <f t="shared" ca="1" si="2"/>
        <v>P</v>
      </c>
      <c r="S17" s="112" t="str">
        <f t="shared" ca="1" si="2"/>
        <v>P</v>
      </c>
      <c r="T17" s="112" t="str">
        <f t="shared" ca="1" si="2"/>
        <v>R</v>
      </c>
      <c r="U17" s="112" t="str">
        <f t="shared" ca="1" si="3"/>
        <v>R</v>
      </c>
      <c r="V17" s="112" t="str">
        <f t="shared" ca="1" si="3"/>
        <v>P</v>
      </c>
      <c r="W17" s="112" t="str">
        <f t="shared" ca="1" si="3"/>
        <v>R</v>
      </c>
      <c r="X17" s="112" t="str">
        <f t="shared" ca="1" si="3"/>
        <v>R</v>
      </c>
      <c r="Y17" s="112" t="str">
        <f t="shared" ca="1" si="3"/>
        <v>R</v>
      </c>
      <c r="Z17" s="112" t="str">
        <f t="shared" ca="1" si="3"/>
        <v>P</v>
      </c>
      <c r="AA17" s="112" t="str">
        <f t="shared" ca="1" si="3"/>
        <v>P</v>
      </c>
      <c r="AB17" s="112" t="str">
        <f t="shared" ca="1" si="3"/>
        <v>P</v>
      </c>
      <c r="AC17" s="112" t="str">
        <f t="shared" ca="1" si="3"/>
        <v>P</v>
      </c>
      <c r="AD17" s="112" t="str">
        <f t="shared" ca="1" si="3"/>
        <v>P</v>
      </c>
      <c r="AE17" s="112" t="str">
        <f t="shared" ca="1" si="3"/>
        <v>P</v>
      </c>
      <c r="AF17" s="112" t="str">
        <f t="shared" ca="1" si="3"/>
        <v>P</v>
      </c>
      <c r="AG17" s="112" t="str">
        <f t="shared" ca="1" si="3"/>
        <v>P</v>
      </c>
      <c r="AH17" s="112" t="str">
        <f t="shared" ca="1" si="3"/>
        <v>P</v>
      </c>
      <c r="AI17" s="110">
        <f t="shared" si="4"/>
        <v>31</v>
      </c>
      <c r="AJ17" s="220">
        <f t="shared" ca="1" si="5"/>
        <v>26</v>
      </c>
      <c r="AK17" s="111">
        <f t="shared" ca="1" si="6"/>
        <v>5</v>
      </c>
      <c r="AL17" t="s">
        <v>506</v>
      </c>
      <c r="AX17" t="str">
        <f>IF(S$6="","",TEXT(S$6,"dd"))</f>
        <v>16</v>
      </c>
      <c r="AY17">
        <f ca="1">IF($AX17="","",COUNTIF(S:S,"P"))</f>
        <v>169</v>
      </c>
      <c r="AZ17">
        <f ca="1">IF($AX17="","",COUNTIF(S:S,"R"))</f>
        <v>36</v>
      </c>
    </row>
    <row r="18" spans="1:52" x14ac:dyDescent="0.25">
      <c r="A18" s="105">
        <v>1011</v>
      </c>
      <c r="B18" s="107" t="s">
        <v>131</v>
      </c>
      <c r="C18" s="103" t="s">
        <v>1109</v>
      </c>
      <c r="D18" s="112" t="str">
        <f t="shared" ca="1" si="7"/>
        <v>P</v>
      </c>
      <c r="E18" s="112" t="str">
        <f t="shared" ca="1" si="2"/>
        <v>P</v>
      </c>
      <c r="F18" s="112" t="str">
        <f t="shared" ca="1" si="2"/>
        <v>P</v>
      </c>
      <c r="G18" s="112" t="str">
        <f t="shared" ca="1" si="2"/>
        <v>P</v>
      </c>
      <c r="H18" s="112" t="str">
        <f t="shared" ca="1" si="2"/>
        <v>P</v>
      </c>
      <c r="I18" s="112" t="str">
        <f t="shared" ca="1" si="2"/>
        <v>P</v>
      </c>
      <c r="J18" s="112" t="str">
        <f t="shared" ca="1" si="2"/>
        <v>P</v>
      </c>
      <c r="K18" s="112" t="str">
        <f t="shared" ca="1" si="2"/>
        <v>P</v>
      </c>
      <c r="L18" s="112" t="str">
        <f t="shared" ca="1" si="2"/>
        <v>P</v>
      </c>
      <c r="M18" s="112" t="str">
        <f t="shared" ca="1" si="2"/>
        <v>R</v>
      </c>
      <c r="N18" s="112" t="str">
        <f t="shared" ca="1" si="2"/>
        <v>R</v>
      </c>
      <c r="O18" s="112" t="str">
        <f t="shared" ca="1" si="2"/>
        <v>R</v>
      </c>
      <c r="P18" s="112" t="str">
        <f t="shared" ca="1" si="2"/>
        <v>P</v>
      </c>
      <c r="Q18" s="112" t="str">
        <f t="shared" ca="1" si="2"/>
        <v>P</v>
      </c>
      <c r="R18" s="112" t="str">
        <f t="shared" ca="1" si="2"/>
        <v>R</v>
      </c>
      <c r="S18" s="112" t="str">
        <f t="shared" ca="1" si="2"/>
        <v>P</v>
      </c>
      <c r="T18" s="112" t="str">
        <f t="shared" ca="1" si="2"/>
        <v>R</v>
      </c>
      <c r="U18" s="112" t="str">
        <f t="shared" ca="1" si="3"/>
        <v>P</v>
      </c>
      <c r="V18" s="112" t="str">
        <f t="shared" ca="1" si="3"/>
        <v>P</v>
      </c>
      <c r="W18" s="112" t="str">
        <f t="shared" ca="1" si="3"/>
        <v>P</v>
      </c>
      <c r="X18" s="112" t="str">
        <f t="shared" ca="1" si="3"/>
        <v>P</v>
      </c>
      <c r="Y18" s="112" t="str">
        <f t="shared" ca="1" si="3"/>
        <v>P</v>
      </c>
      <c r="Z18" s="112" t="str">
        <f t="shared" ca="1" si="3"/>
        <v>P</v>
      </c>
      <c r="AA18" s="112" t="str">
        <f t="shared" ca="1" si="3"/>
        <v>P</v>
      </c>
      <c r="AB18" s="112" t="str">
        <f t="shared" ca="1" si="3"/>
        <v>P</v>
      </c>
      <c r="AC18" s="112" t="str">
        <f t="shared" ca="1" si="3"/>
        <v>P</v>
      </c>
      <c r="AD18" s="112" t="str">
        <f t="shared" ca="1" si="3"/>
        <v>P</v>
      </c>
      <c r="AE18" s="112" t="str">
        <f t="shared" ca="1" si="3"/>
        <v>P</v>
      </c>
      <c r="AF18" s="112" t="str">
        <f t="shared" ca="1" si="3"/>
        <v>P</v>
      </c>
      <c r="AG18" s="112" t="str">
        <f t="shared" ca="1" si="3"/>
        <v>P</v>
      </c>
      <c r="AH18" s="112" t="str">
        <f t="shared" ca="1" si="3"/>
        <v>P</v>
      </c>
      <c r="AI18" s="110">
        <f t="shared" si="4"/>
        <v>31</v>
      </c>
      <c r="AJ18" s="220">
        <f t="shared" ca="1" si="5"/>
        <v>28</v>
      </c>
      <c r="AK18" s="111">
        <f t="shared" ca="1" si="6"/>
        <v>3</v>
      </c>
      <c r="AL18" t="s">
        <v>507</v>
      </c>
      <c r="AX18" t="str">
        <f>IF(T$6="","",TEXT(T$6,"dd"))</f>
        <v>17</v>
      </c>
      <c r="AY18">
        <f ca="1">IF($AX18="","",COUNTIF(T:T,"P"))</f>
        <v>158</v>
      </c>
      <c r="AZ18">
        <f ca="1">IF($AX18="","",COUNTIF(T:T,"R"))</f>
        <v>47</v>
      </c>
    </row>
    <row r="19" spans="1:52" x14ac:dyDescent="0.25">
      <c r="A19" s="105">
        <v>1012</v>
      </c>
      <c r="B19" s="107" t="s">
        <v>138</v>
      </c>
      <c r="C19" s="103" t="s">
        <v>1110</v>
      </c>
      <c r="D19" s="112" t="str">
        <f t="shared" ca="1" si="7"/>
        <v>P</v>
      </c>
      <c r="E19" s="112" t="str">
        <f t="shared" ca="1" si="2"/>
        <v>P</v>
      </c>
      <c r="F19" s="112" t="str">
        <f t="shared" ca="1" si="2"/>
        <v>P</v>
      </c>
      <c r="G19" s="112" t="str">
        <f t="shared" ca="1" si="2"/>
        <v>P</v>
      </c>
      <c r="H19" s="112" t="str">
        <f t="shared" ca="1" si="2"/>
        <v>P</v>
      </c>
      <c r="I19" s="112" t="str">
        <f t="shared" ca="1" si="2"/>
        <v>P</v>
      </c>
      <c r="J19" s="112" t="str">
        <f t="shared" ca="1" si="2"/>
        <v>P</v>
      </c>
      <c r="K19" s="112" t="str">
        <f t="shared" ca="1" si="2"/>
        <v>P</v>
      </c>
      <c r="L19" s="112" t="str">
        <f t="shared" ca="1" si="2"/>
        <v>P</v>
      </c>
      <c r="M19" s="112" t="str">
        <f t="shared" ca="1" si="2"/>
        <v>R</v>
      </c>
      <c r="N19" s="112" t="str">
        <f t="shared" ca="1" si="2"/>
        <v>P</v>
      </c>
      <c r="O19" s="112" t="str">
        <f t="shared" ca="1" si="2"/>
        <v>P</v>
      </c>
      <c r="P19" s="112" t="str">
        <f t="shared" ca="1" si="2"/>
        <v>P</v>
      </c>
      <c r="Q19" s="112" t="str">
        <f t="shared" ca="1" si="2"/>
        <v>P</v>
      </c>
      <c r="R19" s="112" t="str">
        <f t="shared" ca="1" si="2"/>
        <v>R</v>
      </c>
      <c r="S19" s="112" t="str">
        <f t="shared" ca="1" si="2"/>
        <v>P</v>
      </c>
      <c r="T19" s="112" t="str">
        <f t="shared" ca="1" si="2"/>
        <v>P</v>
      </c>
      <c r="U19" s="112" t="str">
        <f t="shared" ca="1" si="3"/>
        <v>P</v>
      </c>
      <c r="V19" s="112" t="str">
        <f t="shared" ca="1" si="3"/>
        <v>P</v>
      </c>
      <c r="W19" s="112" t="str">
        <f t="shared" ca="1" si="3"/>
        <v>P</v>
      </c>
      <c r="X19" s="112" t="str">
        <f t="shared" ca="1" si="3"/>
        <v>P</v>
      </c>
      <c r="Y19" s="112" t="str">
        <f t="shared" ca="1" si="3"/>
        <v>P</v>
      </c>
      <c r="Z19" s="112" t="str">
        <f t="shared" ca="1" si="3"/>
        <v>P</v>
      </c>
      <c r="AA19" s="112" t="str">
        <f t="shared" ca="1" si="3"/>
        <v>P</v>
      </c>
      <c r="AB19" s="112" t="str">
        <f t="shared" ca="1" si="3"/>
        <v>R</v>
      </c>
      <c r="AC19" s="112" t="str">
        <f t="shared" ca="1" si="3"/>
        <v>P</v>
      </c>
      <c r="AD19" s="112" t="str">
        <f t="shared" ca="1" si="3"/>
        <v>P</v>
      </c>
      <c r="AE19" s="112" t="str">
        <f t="shared" ca="1" si="3"/>
        <v>P</v>
      </c>
      <c r="AF19" s="112" t="str">
        <f t="shared" ca="1" si="3"/>
        <v>P</v>
      </c>
      <c r="AG19" s="112" t="str">
        <f t="shared" ca="1" si="3"/>
        <v>P</v>
      </c>
      <c r="AH19" s="112" t="str">
        <f t="shared" ca="1" si="3"/>
        <v>P</v>
      </c>
      <c r="AI19" s="110">
        <f t="shared" si="4"/>
        <v>31</v>
      </c>
      <c r="AJ19" s="220">
        <f t="shared" ca="1" si="5"/>
        <v>26</v>
      </c>
      <c r="AK19" s="111">
        <f t="shared" ca="1" si="6"/>
        <v>5</v>
      </c>
      <c r="AL19" t="s">
        <v>580</v>
      </c>
      <c r="AX19" t="str">
        <f>IF(U$6="","",TEXT(U$6,"dd"))</f>
        <v>18</v>
      </c>
      <c r="AY19">
        <f ca="1">IF($AX19="","",COUNTIF(U:U,"P"))</f>
        <v>158</v>
      </c>
      <c r="AZ19">
        <f ca="1">IF($AX19="","",COUNTIF(U:U,"R"))</f>
        <v>47</v>
      </c>
    </row>
    <row r="20" spans="1:52" x14ac:dyDescent="0.25">
      <c r="A20" s="105">
        <v>1013</v>
      </c>
      <c r="B20" s="107" t="s">
        <v>144</v>
      </c>
      <c r="C20" s="103" t="s">
        <v>1111</v>
      </c>
      <c r="D20" s="112" t="str">
        <f t="shared" ca="1" si="7"/>
        <v>R</v>
      </c>
      <c r="E20" s="112" t="str">
        <f t="shared" ca="1" si="2"/>
        <v>P</v>
      </c>
      <c r="F20" s="112" t="str">
        <f t="shared" ca="1" si="2"/>
        <v>R</v>
      </c>
      <c r="G20" s="112" t="str">
        <f t="shared" ca="1" si="2"/>
        <v>P</v>
      </c>
      <c r="H20" s="112" t="str">
        <f t="shared" ca="1" si="2"/>
        <v>R</v>
      </c>
      <c r="I20" s="112" t="str">
        <f t="shared" ca="1" si="2"/>
        <v>P</v>
      </c>
      <c r="J20" s="112" t="str">
        <f t="shared" ca="1" si="2"/>
        <v>P</v>
      </c>
      <c r="K20" s="112" t="str">
        <f t="shared" ca="1" si="2"/>
        <v>P</v>
      </c>
      <c r="L20" s="112" t="str">
        <f t="shared" ca="1" si="2"/>
        <v>P</v>
      </c>
      <c r="M20" s="112" t="str">
        <f t="shared" ca="1" si="2"/>
        <v>P</v>
      </c>
      <c r="N20" s="112" t="str">
        <f t="shared" ca="1" si="2"/>
        <v>R</v>
      </c>
      <c r="O20" s="112" t="str">
        <f t="shared" ca="1" si="2"/>
        <v>P</v>
      </c>
      <c r="P20" s="112" t="str">
        <f t="shared" ca="1" si="2"/>
        <v>R</v>
      </c>
      <c r="Q20" s="112" t="str">
        <f t="shared" ca="1" si="2"/>
        <v>P</v>
      </c>
      <c r="R20" s="112" t="str">
        <f t="shared" ca="1" si="2"/>
        <v>P</v>
      </c>
      <c r="S20" s="112" t="str">
        <f t="shared" ca="1" si="2"/>
        <v>P</v>
      </c>
      <c r="T20" s="112" t="str">
        <f t="shared" ca="1" si="2"/>
        <v>P</v>
      </c>
      <c r="U20" s="112" t="str">
        <f t="shared" ca="1" si="3"/>
        <v>P</v>
      </c>
      <c r="V20" s="112" t="str">
        <f t="shared" ca="1" si="3"/>
        <v>P</v>
      </c>
      <c r="W20" s="112" t="str">
        <f t="shared" ca="1" si="3"/>
        <v>P</v>
      </c>
      <c r="X20" s="112" t="str">
        <f t="shared" ca="1" si="3"/>
        <v>P</v>
      </c>
      <c r="Y20" s="112" t="str">
        <f t="shared" ca="1" si="3"/>
        <v>P</v>
      </c>
      <c r="Z20" s="112" t="str">
        <f t="shared" ca="1" si="3"/>
        <v>P</v>
      </c>
      <c r="AA20" s="112" t="str">
        <f t="shared" ca="1" si="3"/>
        <v>P</v>
      </c>
      <c r="AB20" s="112" t="str">
        <f t="shared" ca="1" si="3"/>
        <v>P</v>
      </c>
      <c r="AC20" s="112" t="str">
        <f t="shared" ca="1" si="3"/>
        <v>P</v>
      </c>
      <c r="AD20" s="112" t="str">
        <f t="shared" ca="1" si="3"/>
        <v>P</v>
      </c>
      <c r="AE20" s="112" t="str">
        <f t="shared" ca="1" si="3"/>
        <v>P</v>
      </c>
      <c r="AF20" s="112" t="str">
        <f t="shared" ca="1" si="3"/>
        <v>P</v>
      </c>
      <c r="AG20" s="112" t="str">
        <f t="shared" ca="1" si="3"/>
        <v>P</v>
      </c>
      <c r="AH20" s="112" t="str">
        <f t="shared" ca="1" si="3"/>
        <v>P</v>
      </c>
      <c r="AI20" s="110">
        <f t="shared" si="4"/>
        <v>31</v>
      </c>
      <c r="AJ20" s="220">
        <f t="shared" ca="1" si="5"/>
        <v>26</v>
      </c>
      <c r="AK20" s="111">
        <f t="shared" ca="1" si="6"/>
        <v>5</v>
      </c>
      <c r="AL20" t="s">
        <v>581</v>
      </c>
      <c r="AX20" t="str">
        <f>IF(V$6="","",TEXT(V$6,"dd"))</f>
        <v>19</v>
      </c>
      <c r="AY20">
        <f ca="1">IF($AX20="","",COUNTIF(V:V,"P"))</f>
        <v>166</v>
      </c>
      <c r="AZ20">
        <f ca="1">IF($AX20="","",COUNTIF(V:V,"R"))</f>
        <v>39</v>
      </c>
    </row>
    <row r="21" spans="1:52" x14ac:dyDescent="0.25">
      <c r="A21" s="105">
        <v>1014</v>
      </c>
      <c r="B21" s="107" t="s">
        <v>79</v>
      </c>
      <c r="C21" s="103" t="s">
        <v>1108</v>
      </c>
      <c r="D21" s="112" t="str">
        <f t="shared" ca="1" si="7"/>
        <v>P</v>
      </c>
      <c r="E21" s="112" t="str">
        <f t="shared" ca="1" si="2"/>
        <v>P</v>
      </c>
      <c r="F21" s="112" t="str">
        <f t="shared" ca="1" si="2"/>
        <v>P</v>
      </c>
      <c r="G21" s="112" t="str">
        <f t="shared" ca="1" si="2"/>
        <v>P</v>
      </c>
      <c r="H21" s="112" t="str">
        <f t="shared" ca="1" si="2"/>
        <v>P</v>
      </c>
      <c r="I21" s="112" t="str">
        <f t="shared" ca="1" si="2"/>
        <v>P</v>
      </c>
      <c r="J21" s="112" t="str">
        <f t="shared" ca="1" si="2"/>
        <v>P</v>
      </c>
      <c r="K21" s="112" t="str">
        <f t="shared" ca="1" si="2"/>
        <v>P</v>
      </c>
      <c r="L21" s="112" t="str">
        <f t="shared" ca="1" si="2"/>
        <v>P</v>
      </c>
      <c r="M21" s="112" t="str">
        <f t="shared" ca="1" si="2"/>
        <v>P</v>
      </c>
      <c r="N21" s="112" t="str">
        <f t="shared" ca="1" si="2"/>
        <v>P</v>
      </c>
      <c r="O21" s="112" t="str">
        <f t="shared" ca="1" si="2"/>
        <v>P</v>
      </c>
      <c r="P21" s="112" t="str">
        <f t="shared" ca="1" si="2"/>
        <v>P</v>
      </c>
      <c r="Q21" s="112" t="str">
        <f t="shared" ca="1" si="2"/>
        <v>P</v>
      </c>
      <c r="R21" s="112" t="str">
        <f t="shared" ca="1" si="2"/>
        <v>R</v>
      </c>
      <c r="S21" s="112" t="str">
        <f t="shared" ca="1" si="2"/>
        <v>P</v>
      </c>
      <c r="T21" s="112" t="str">
        <f t="shared" ca="1" si="2"/>
        <v>P</v>
      </c>
      <c r="U21" s="112" t="str">
        <f t="shared" ca="1" si="3"/>
        <v>P</v>
      </c>
      <c r="V21" s="112" t="str">
        <f t="shared" ca="1" si="3"/>
        <v>P</v>
      </c>
      <c r="W21" s="112" t="str">
        <f t="shared" ca="1" si="3"/>
        <v>R</v>
      </c>
      <c r="X21" s="112" t="str">
        <f t="shared" ca="1" si="3"/>
        <v>P</v>
      </c>
      <c r="Y21" s="112" t="str">
        <f t="shared" ca="1" si="3"/>
        <v>R</v>
      </c>
      <c r="Z21" s="112" t="str">
        <f t="shared" ca="1" si="3"/>
        <v>P</v>
      </c>
      <c r="AA21" s="112" t="str">
        <f t="shared" ca="1" si="3"/>
        <v>P</v>
      </c>
      <c r="AB21" s="112" t="str">
        <f t="shared" ca="1" si="3"/>
        <v>P</v>
      </c>
      <c r="AC21" s="112" t="str">
        <f t="shared" ca="1" si="3"/>
        <v>P</v>
      </c>
      <c r="AD21" s="112" t="str">
        <f t="shared" ca="1" si="3"/>
        <v>P</v>
      </c>
      <c r="AE21" s="112" t="str">
        <f t="shared" ca="1" si="3"/>
        <v>P</v>
      </c>
      <c r="AF21" s="112" t="str">
        <f t="shared" ca="1" si="3"/>
        <v>R</v>
      </c>
      <c r="AG21" s="112" t="str">
        <f t="shared" ca="1" si="3"/>
        <v>P</v>
      </c>
      <c r="AH21" s="112" t="str">
        <f t="shared" ca="1" si="3"/>
        <v>R</v>
      </c>
      <c r="AI21" s="110">
        <f t="shared" si="4"/>
        <v>31</v>
      </c>
      <c r="AJ21" s="220">
        <f t="shared" ca="1" si="5"/>
        <v>27</v>
      </c>
      <c r="AK21" s="111">
        <f t="shared" ca="1" si="6"/>
        <v>4</v>
      </c>
      <c r="AX21" t="str">
        <f>IF(W$6="","",TEXT(W$6,"dd"))</f>
        <v>20</v>
      </c>
      <c r="AY21">
        <f ca="1">IF($AX21="","",COUNTIF(W:W,"P"))</f>
        <v>169</v>
      </c>
      <c r="AZ21">
        <f ca="1">IF($AX21="","",COUNTIF(W:W,"R"))</f>
        <v>36</v>
      </c>
    </row>
    <row r="22" spans="1:52" x14ac:dyDescent="0.25">
      <c r="A22" s="105">
        <v>1015</v>
      </c>
      <c r="B22" s="107" t="s">
        <v>155</v>
      </c>
      <c r="C22" s="103" t="s">
        <v>1112</v>
      </c>
      <c r="D22" s="112" t="str">
        <f t="shared" ca="1" si="7"/>
        <v>P</v>
      </c>
      <c r="E22" s="112" t="str">
        <f t="shared" ca="1" si="2"/>
        <v>P</v>
      </c>
      <c r="F22" s="112" t="str">
        <f t="shared" ca="1" si="2"/>
        <v>P</v>
      </c>
      <c r="G22" s="112" t="str">
        <f t="shared" ca="1" si="2"/>
        <v>P</v>
      </c>
      <c r="H22" s="112" t="str">
        <f t="shared" ca="1" si="2"/>
        <v>P</v>
      </c>
      <c r="I22" s="112" t="str">
        <f t="shared" ca="1" si="2"/>
        <v>P</v>
      </c>
      <c r="J22" s="112" t="str">
        <f t="shared" ca="1" si="2"/>
        <v>P</v>
      </c>
      <c r="K22" s="112" t="str">
        <f t="shared" ca="1" si="2"/>
        <v>R</v>
      </c>
      <c r="L22" s="112" t="str">
        <f t="shared" ca="1" si="2"/>
        <v>P</v>
      </c>
      <c r="M22" s="112" t="str">
        <f t="shared" ca="1" si="2"/>
        <v>P</v>
      </c>
      <c r="N22" s="112" t="str">
        <f t="shared" ca="1" si="2"/>
        <v>P</v>
      </c>
      <c r="O22" s="112" t="str">
        <f t="shared" ca="1" si="2"/>
        <v>P</v>
      </c>
      <c r="P22" s="112" t="str">
        <f t="shared" ca="1" si="2"/>
        <v>P</v>
      </c>
      <c r="Q22" s="112" t="str">
        <f t="shared" ca="1" si="2"/>
        <v>P</v>
      </c>
      <c r="R22" s="112" t="str">
        <f t="shared" ca="1" si="2"/>
        <v>P</v>
      </c>
      <c r="S22" s="112" t="str">
        <f t="shared" ca="1" si="2"/>
        <v>P</v>
      </c>
      <c r="T22" s="112" t="str">
        <f t="shared" ref="T22:AH37" ca="1" si="8">IF(T$6="","",IF(RAND()&lt;0.8,"P","R"))</f>
        <v>P</v>
      </c>
      <c r="U22" s="112" t="str">
        <f t="shared" ca="1" si="3"/>
        <v>P</v>
      </c>
      <c r="V22" s="112" t="str">
        <f t="shared" ca="1" si="3"/>
        <v>P</v>
      </c>
      <c r="W22" s="112" t="str">
        <f t="shared" ca="1" si="3"/>
        <v>P</v>
      </c>
      <c r="X22" s="112" t="str">
        <f t="shared" ca="1" si="3"/>
        <v>P</v>
      </c>
      <c r="Y22" s="112" t="str">
        <f t="shared" ca="1" si="3"/>
        <v>P</v>
      </c>
      <c r="Z22" s="112" t="str">
        <f t="shared" ca="1" si="3"/>
        <v>R</v>
      </c>
      <c r="AA22" s="112" t="str">
        <f t="shared" ca="1" si="3"/>
        <v>P</v>
      </c>
      <c r="AB22" s="112" t="str">
        <f t="shared" ca="1" si="3"/>
        <v>P</v>
      </c>
      <c r="AC22" s="112" t="str">
        <f t="shared" ca="1" si="3"/>
        <v>P</v>
      </c>
      <c r="AD22" s="112" t="str">
        <f t="shared" ca="1" si="3"/>
        <v>P</v>
      </c>
      <c r="AE22" s="112" t="str">
        <f t="shared" ca="1" si="3"/>
        <v>R</v>
      </c>
      <c r="AF22" s="112" t="str">
        <f t="shared" ca="1" si="3"/>
        <v>R</v>
      </c>
      <c r="AG22" s="112" t="str">
        <f t="shared" ca="1" si="3"/>
        <v>P</v>
      </c>
      <c r="AH22" s="112" t="str">
        <f t="shared" ca="1" si="3"/>
        <v>P</v>
      </c>
      <c r="AI22" s="110">
        <f t="shared" si="4"/>
        <v>31</v>
      </c>
      <c r="AJ22" s="220">
        <f t="shared" ca="1" si="5"/>
        <v>25</v>
      </c>
      <c r="AK22" s="111">
        <f t="shared" ca="1" si="6"/>
        <v>6</v>
      </c>
      <c r="AX22" t="str">
        <f>IF(X$6="","",TEXT(X$6,"dd"))</f>
        <v>21</v>
      </c>
      <c r="AY22">
        <f ca="1">IF($AX22="","",COUNTIF(X:X,"P"))</f>
        <v>160</v>
      </c>
      <c r="AZ22">
        <f ca="1">IF($AX22="","",COUNTIF(X:X,"R"))</f>
        <v>45</v>
      </c>
    </row>
    <row r="23" spans="1:52" x14ac:dyDescent="0.25">
      <c r="A23" s="105">
        <v>1016</v>
      </c>
      <c r="B23" s="107" t="s">
        <v>162</v>
      </c>
      <c r="C23" s="103" t="s">
        <v>1102</v>
      </c>
      <c r="D23" s="112" t="str">
        <f t="shared" ca="1" si="7"/>
        <v>P</v>
      </c>
      <c r="E23" s="112" t="str">
        <f t="shared" ca="1" si="7"/>
        <v>P</v>
      </c>
      <c r="F23" s="112" t="str">
        <f t="shared" ca="1" si="7"/>
        <v>P</v>
      </c>
      <c r="G23" s="112" t="str">
        <f t="shared" ca="1" si="7"/>
        <v>P</v>
      </c>
      <c r="H23" s="112" t="str">
        <f t="shared" ca="1" si="7"/>
        <v>P</v>
      </c>
      <c r="I23" s="112" t="str">
        <f t="shared" ca="1" si="7"/>
        <v>P</v>
      </c>
      <c r="J23" s="112" t="str">
        <f t="shared" ca="1" si="7"/>
        <v>P</v>
      </c>
      <c r="K23" s="112" t="str">
        <f t="shared" ca="1" si="7"/>
        <v>P</v>
      </c>
      <c r="L23" s="112" t="str">
        <f t="shared" ca="1" si="7"/>
        <v>R</v>
      </c>
      <c r="M23" s="112" t="str">
        <f t="shared" ca="1" si="7"/>
        <v>P</v>
      </c>
      <c r="N23" s="112" t="str">
        <f t="shared" ca="1" si="7"/>
        <v>P</v>
      </c>
      <c r="O23" s="112" t="str">
        <f t="shared" ca="1" si="7"/>
        <v>P</v>
      </c>
      <c r="P23" s="112" t="str">
        <f t="shared" ca="1" si="7"/>
        <v>P</v>
      </c>
      <c r="Q23" s="112" t="str">
        <f t="shared" ca="1" si="7"/>
        <v>P</v>
      </c>
      <c r="R23" s="112" t="str">
        <f t="shared" ca="1" si="7"/>
        <v>R</v>
      </c>
      <c r="S23" s="112" t="str">
        <f t="shared" ca="1" si="7"/>
        <v>R</v>
      </c>
      <c r="T23" s="112" t="str">
        <f t="shared" ca="1" si="8"/>
        <v>R</v>
      </c>
      <c r="U23" s="112" t="str">
        <f t="shared" ca="1" si="8"/>
        <v>R</v>
      </c>
      <c r="V23" s="112" t="str">
        <f t="shared" ca="1" si="8"/>
        <v>P</v>
      </c>
      <c r="W23" s="112" t="str">
        <f t="shared" ca="1" si="8"/>
        <v>P</v>
      </c>
      <c r="X23" s="112" t="str">
        <f t="shared" ca="1" si="8"/>
        <v>P</v>
      </c>
      <c r="Y23" s="112" t="str">
        <f t="shared" ca="1" si="8"/>
        <v>P</v>
      </c>
      <c r="Z23" s="112" t="str">
        <f t="shared" ca="1" si="8"/>
        <v>P</v>
      </c>
      <c r="AA23" s="112" t="str">
        <f t="shared" ca="1" si="8"/>
        <v>P</v>
      </c>
      <c r="AB23" s="112" t="str">
        <f t="shared" ca="1" si="8"/>
        <v>P</v>
      </c>
      <c r="AC23" s="112" t="str">
        <f t="shared" ca="1" si="8"/>
        <v>P</v>
      </c>
      <c r="AD23" s="112" t="str">
        <f t="shared" ca="1" si="8"/>
        <v>P</v>
      </c>
      <c r="AE23" s="112" t="str">
        <f t="shared" ca="1" si="8"/>
        <v>P</v>
      </c>
      <c r="AF23" s="112" t="str">
        <f t="shared" ca="1" si="8"/>
        <v>R</v>
      </c>
      <c r="AG23" s="112" t="str">
        <f t="shared" ca="1" si="8"/>
        <v>P</v>
      </c>
      <c r="AH23" s="112" t="str">
        <f t="shared" ca="1" si="8"/>
        <v>P</v>
      </c>
      <c r="AI23" s="110">
        <f t="shared" si="4"/>
        <v>31</v>
      </c>
      <c r="AJ23" s="220">
        <f t="shared" ca="1" si="5"/>
        <v>27</v>
      </c>
      <c r="AK23" s="111">
        <f t="shared" ca="1" si="6"/>
        <v>4</v>
      </c>
      <c r="AX23" t="str">
        <f>IF(Y$6="","",TEXT(Y$6,"dd"))</f>
        <v>22</v>
      </c>
      <c r="AY23">
        <f ca="1">IF($AX23="","",COUNTIF(Y:Y,"P"))</f>
        <v>167</v>
      </c>
      <c r="AZ23">
        <f ca="1">IF($AX23="","",COUNTIF(Y:Y,"R"))</f>
        <v>38</v>
      </c>
    </row>
    <row r="24" spans="1:52" x14ac:dyDescent="0.25">
      <c r="A24" s="105">
        <v>1017</v>
      </c>
      <c r="B24" s="107" t="s">
        <v>168</v>
      </c>
      <c r="C24" s="103" t="s">
        <v>1107</v>
      </c>
      <c r="D24" s="112" t="str">
        <f t="shared" ref="D24:S39" ca="1" si="9">IF(D$6="","",IF(RAND()&lt;0.8,"P","R"))</f>
        <v>P</v>
      </c>
      <c r="E24" s="112" t="str">
        <f t="shared" ca="1" si="9"/>
        <v>P</v>
      </c>
      <c r="F24" s="112" t="str">
        <f t="shared" ca="1" si="9"/>
        <v>R</v>
      </c>
      <c r="G24" s="112" t="str">
        <f t="shared" ca="1" si="9"/>
        <v>P</v>
      </c>
      <c r="H24" s="112" t="str">
        <f t="shared" ca="1" si="9"/>
        <v>P</v>
      </c>
      <c r="I24" s="112" t="str">
        <f t="shared" ca="1" si="9"/>
        <v>P</v>
      </c>
      <c r="J24" s="112" t="str">
        <f t="shared" ca="1" si="9"/>
        <v>P</v>
      </c>
      <c r="K24" s="112" t="str">
        <f t="shared" ca="1" si="9"/>
        <v>P</v>
      </c>
      <c r="L24" s="112" t="str">
        <f t="shared" ca="1" si="9"/>
        <v>P</v>
      </c>
      <c r="M24" s="112" t="str">
        <f t="shared" ca="1" si="9"/>
        <v>P</v>
      </c>
      <c r="N24" s="112" t="str">
        <f t="shared" ca="1" si="9"/>
        <v>P</v>
      </c>
      <c r="O24" s="112" t="str">
        <f t="shared" ca="1" si="9"/>
        <v>P</v>
      </c>
      <c r="P24" s="112" t="str">
        <f t="shared" ca="1" si="9"/>
        <v>P</v>
      </c>
      <c r="Q24" s="112" t="str">
        <f t="shared" ca="1" si="9"/>
        <v>P</v>
      </c>
      <c r="R24" s="112" t="str">
        <f t="shared" ca="1" si="9"/>
        <v>P</v>
      </c>
      <c r="S24" s="112" t="str">
        <f t="shared" ca="1" si="9"/>
        <v>R</v>
      </c>
      <c r="T24" s="112" t="str">
        <f t="shared" ca="1" si="8"/>
        <v>P</v>
      </c>
      <c r="U24" s="112" t="str">
        <f t="shared" ca="1" si="8"/>
        <v>P</v>
      </c>
      <c r="V24" s="112" t="str">
        <f t="shared" ca="1" si="8"/>
        <v>P</v>
      </c>
      <c r="W24" s="112" t="str">
        <f t="shared" ca="1" si="8"/>
        <v>P</v>
      </c>
      <c r="X24" s="112" t="str">
        <f t="shared" ca="1" si="8"/>
        <v>P</v>
      </c>
      <c r="Y24" s="112" t="str">
        <f t="shared" ca="1" si="8"/>
        <v>P</v>
      </c>
      <c r="Z24" s="112" t="str">
        <f t="shared" ca="1" si="8"/>
        <v>P</v>
      </c>
      <c r="AA24" s="112" t="str">
        <f t="shared" ca="1" si="8"/>
        <v>P</v>
      </c>
      <c r="AB24" s="112" t="str">
        <f t="shared" ca="1" si="8"/>
        <v>P</v>
      </c>
      <c r="AC24" s="112" t="str">
        <f t="shared" ca="1" si="8"/>
        <v>R</v>
      </c>
      <c r="AD24" s="112" t="str">
        <f t="shared" ca="1" si="8"/>
        <v>P</v>
      </c>
      <c r="AE24" s="112" t="str">
        <f t="shared" ca="1" si="8"/>
        <v>P</v>
      </c>
      <c r="AF24" s="112" t="str">
        <f t="shared" ca="1" si="8"/>
        <v>R</v>
      </c>
      <c r="AG24" s="112" t="str">
        <f t="shared" ca="1" si="8"/>
        <v>P</v>
      </c>
      <c r="AH24" s="112" t="str">
        <f t="shared" ca="1" si="8"/>
        <v>P</v>
      </c>
      <c r="AI24" s="110">
        <f t="shared" si="4"/>
        <v>31</v>
      </c>
      <c r="AJ24" s="220">
        <f t="shared" ca="1" si="5"/>
        <v>22</v>
      </c>
      <c r="AK24" s="111">
        <f t="shared" ca="1" si="6"/>
        <v>9</v>
      </c>
      <c r="AX24" t="str">
        <f>IF(Z$6="","",TEXT(Z$6,"dd"))</f>
        <v>23</v>
      </c>
      <c r="AY24">
        <f ca="1">IF($AX24="","",COUNTIF(Z:Z,"P"))</f>
        <v>165</v>
      </c>
      <c r="AZ24">
        <f ca="1">IF($AX24="","",COUNTIF(Z:Z,"R"))</f>
        <v>40</v>
      </c>
    </row>
    <row r="25" spans="1:52" x14ac:dyDescent="0.25">
      <c r="A25" s="105">
        <v>1018</v>
      </c>
      <c r="B25" s="107" t="s">
        <v>174</v>
      </c>
      <c r="C25" s="103" t="s">
        <v>1104</v>
      </c>
      <c r="D25" s="112" t="str">
        <f t="shared" ca="1" si="9"/>
        <v>R</v>
      </c>
      <c r="E25" s="112" t="str">
        <f t="shared" ca="1" si="9"/>
        <v>R</v>
      </c>
      <c r="F25" s="112" t="str">
        <f t="shared" ca="1" si="9"/>
        <v>R</v>
      </c>
      <c r="G25" s="112" t="str">
        <f t="shared" ca="1" si="9"/>
        <v>P</v>
      </c>
      <c r="H25" s="112" t="str">
        <f t="shared" ca="1" si="9"/>
        <v>R</v>
      </c>
      <c r="I25" s="112" t="str">
        <f t="shared" ca="1" si="9"/>
        <v>R</v>
      </c>
      <c r="J25" s="112" t="str">
        <f t="shared" ca="1" si="9"/>
        <v>P</v>
      </c>
      <c r="K25" s="112" t="str">
        <f t="shared" ca="1" si="9"/>
        <v>P</v>
      </c>
      <c r="L25" s="112" t="str">
        <f t="shared" ca="1" si="9"/>
        <v>P</v>
      </c>
      <c r="M25" s="112" t="str">
        <f t="shared" ca="1" si="9"/>
        <v>P</v>
      </c>
      <c r="N25" s="112" t="str">
        <f t="shared" ca="1" si="9"/>
        <v>P</v>
      </c>
      <c r="O25" s="112" t="str">
        <f t="shared" ca="1" si="9"/>
        <v>P</v>
      </c>
      <c r="P25" s="112" t="str">
        <f t="shared" ca="1" si="9"/>
        <v>R</v>
      </c>
      <c r="Q25" s="112" t="str">
        <f t="shared" ca="1" si="9"/>
        <v>P</v>
      </c>
      <c r="R25" s="112" t="str">
        <f t="shared" ca="1" si="9"/>
        <v>P</v>
      </c>
      <c r="S25" s="112" t="str">
        <f t="shared" ca="1" si="9"/>
        <v>P</v>
      </c>
      <c r="T25" s="112" t="str">
        <f t="shared" ca="1" si="8"/>
        <v>P</v>
      </c>
      <c r="U25" s="112" t="str">
        <f t="shared" ca="1" si="8"/>
        <v>P</v>
      </c>
      <c r="V25" s="112" t="str">
        <f t="shared" ca="1" si="8"/>
        <v>R</v>
      </c>
      <c r="W25" s="112" t="str">
        <f t="shared" ca="1" si="8"/>
        <v>P</v>
      </c>
      <c r="X25" s="112" t="str">
        <f t="shared" ca="1" si="8"/>
        <v>P</v>
      </c>
      <c r="Y25" s="112" t="str">
        <f t="shared" ca="1" si="8"/>
        <v>P</v>
      </c>
      <c r="Z25" s="112" t="str">
        <f t="shared" ca="1" si="8"/>
        <v>R</v>
      </c>
      <c r="AA25" s="112" t="str">
        <f t="shared" ca="1" si="8"/>
        <v>P</v>
      </c>
      <c r="AB25" s="112" t="str">
        <f t="shared" ca="1" si="8"/>
        <v>P</v>
      </c>
      <c r="AC25" s="112" t="str">
        <f t="shared" ca="1" si="8"/>
        <v>P</v>
      </c>
      <c r="AD25" s="112" t="str">
        <f t="shared" ca="1" si="8"/>
        <v>P</v>
      </c>
      <c r="AE25" s="112" t="str">
        <f t="shared" ca="1" si="8"/>
        <v>R</v>
      </c>
      <c r="AF25" s="112" t="str">
        <f t="shared" ca="1" si="8"/>
        <v>P</v>
      </c>
      <c r="AG25" s="112" t="str">
        <f t="shared" ca="1" si="8"/>
        <v>P</v>
      </c>
      <c r="AH25" s="112" t="str">
        <f t="shared" ca="1" si="8"/>
        <v>P</v>
      </c>
      <c r="AI25" s="110">
        <f t="shared" si="4"/>
        <v>31</v>
      </c>
      <c r="AJ25" s="220">
        <f t="shared" ca="1" si="5"/>
        <v>24</v>
      </c>
      <c r="AK25" s="111">
        <f t="shared" ca="1" si="6"/>
        <v>7</v>
      </c>
      <c r="AX25" t="str">
        <f>IF(AA$6="","",TEXT(AA$6,"dd"))</f>
        <v>24</v>
      </c>
      <c r="AY25">
        <f ca="1">IF($AX25="","",COUNTIF(AA:AA,"P"))</f>
        <v>165</v>
      </c>
      <c r="AZ25">
        <f ca="1">IF($AX25="","",COUNTIF(AA:AA,"R"))</f>
        <v>40</v>
      </c>
    </row>
    <row r="26" spans="1:52" x14ac:dyDescent="0.25">
      <c r="A26" s="105">
        <v>1019</v>
      </c>
      <c r="B26" s="107" t="s">
        <v>180</v>
      </c>
      <c r="C26" s="103" t="s">
        <v>1113</v>
      </c>
      <c r="D26" s="112" t="str">
        <f t="shared" ca="1" si="9"/>
        <v>P</v>
      </c>
      <c r="E26" s="112" t="str">
        <f t="shared" ca="1" si="9"/>
        <v>P</v>
      </c>
      <c r="F26" s="112" t="str">
        <f t="shared" ca="1" si="9"/>
        <v>P</v>
      </c>
      <c r="G26" s="112" t="str">
        <f t="shared" ca="1" si="9"/>
        <v>P</v>
      </c>
      <c r="H26" s="112" t="str">
        <f t="shared" ca="1" si="9"/>
        <v>R</v>
      </c>
      <c r="I26" s="112" t="str">
        <f t="shared" ca="1" si="9"/>
        <v>P</v>
      </c>
      <c r="J26" s="112" t="str">
        <f t="shared" ca="1" si="9"/>
        <v>P</v>
      </c>
      <c r="K26" s="112" t="str">
        <f t="shared" ca="1" si="9"/>
        <v>R</v>
      </c>
      <c r="L26" s="112" t="str">
        <f t="shared" ca="1" si="9"/>
        <v>R</v>
      </c>
      <c r="M26" s="112" t="str">
        <f t="shared" ca="1" si="9"/>
        <v>P</v>
      </c>
      <c r="N26" s="112" t="str">
        <f t="shared" ca="1" si="9"/>
        <v>P</v>
      </c>
      <c r="O26" s="112" t="str">
        <f t="shared" ca="1" si="9"/>
        <v>R</v>
      </c>
      <c r="P26" s="112" t="str">
        <f t="shared" ca="1" si="9"/>
        <v>P</v>
      </c>
      <c r="Q26" s="112" t="str">
        <f t="shared" ca="1" si="9"/>
        <v>P</v>
      </c>
      <c r="R26" s="112" t="str">
        <f t="shared" ca="1" si="9"/>
        <v>P</v>
      </c>
      <c r="S26" s="112" t="str">
        <f t="shared" ca="1" si="9"/>
        <v>P</v>
      </c>
      <c r="T26" s="112" t="str">
        <f t="shared" ca="1" si="8"/>
        <v>P</v>
      </c>
      <c r="U26" s="112" t="str">
        <f t="shared" ca="1" si="8"/>
        <v>P</v>
      </c>
      <c r="V26" s="112" t="str">
        <f t="shared" ca="1" si="8"/>
        <v>R</v>
      </c>
      <c r="W26" s="112" t="str">
        <f t="shared" ca="1" si="8"/>
        <v>P</v>
      </c>
      <c r="X26" s="112" t="str">
        <f t="shared" ca="1" si="8"/>
        <v>R</v>
      </c>
      <c r="Y26" s="112" t="str">
        <f t="shared" ca="1" si="8"/>
        <v>P</v>
      </c>
      <c r="Z26" s="112" t="str">
        <f t="shared" ca="1" si="8"/>
        <v>P</v>
      </c>
      <c r="AA26" s="112" t="str">
        <f t="shared" ca="1" si="8"/>
        <v>P</v>
      </c>
      <c r="AB26" s="112" t="str">
        <f t="shared" ca="1" si="8"/>
        <v>P</v>
      </c>
      <c r="AC26" s="112" t="str">
        <f t="shared" ca="1" si="8"/>
        <v>R</v>
      </c>
      <c r="AD26" s="112" t="str">
        <f t="shared" ca="1" si="8"/>
        <v>P</v>
      </c>
      <c r="AE26" s="112" t="str">
        <f t="shared" ca="1" si="8"/>
        <v>P</v>
      </c>
      <c r="AF26" s="112" t="str">
        <f t="shared" ca="1" si="8"/>
        <v>P</v>
      </c>
      <c r="AG26" s="112" t="str">
        <f t="shared" ca="1" si="8"/>
        <v>P</v>
      </c>
      <c r="AH26" s="112" t="str">
        <f t="shared" ca="1" si="8"/>
        <v>P</v>
      </c>
      <c r="AI26" s="110">
        <f t="shared" si="4"/>
        <v>31</v>
      </c>
      <c r="AJ26" s="220">
        <f t="shared" ca="1" si="5"/>
        <v>26</v>
      </c>
      <c r="AK26" s="111">
        <f t="shared" ca="1" si="6"/>
        <v>5</v>
      </c>
      <c r="AX26" t="str">
        <f>IF(AB$6="","",TEXT(AB$6,"dd"))</f>
        <v>25</v>
      </c>
      <c r="AY26">
        <f ca="1">IF($AX26="","",COUNTIF(AB:AB,"P"))</f>
        <v>166</v>
      </c>
      <c r="AZ26">
        <f ca="1">IF($AX26="","",COUNTIF(AB:AB,"R"))</f>
        <v>39</v>
      </c>
    </row>
    <row r="27" spans="1:52" x14ac:dyDescent="0.25">
      <c r="A27" s="105">
        <v>1020</v>
      </c>
      <c r="B27" s="107" t="s">
        <v>186</v>
      </c>
      <c r="C27" s="103" t="s">
        <v>1107</v>
      </c>
      <c r="D27" s="112" t="str">
        <f t="shared" ca="1" si="9"/>
        <v>P</v>
      </c>
      <c r="E27" s="112" t="str">
        <f t="shared" ca="1" si="9"/>
        <v>P</v>
      </c>
      <c r="F27" s="112" t="str">
        <f t="shared" ca="1" si="9"/>
        <v>P</v>
      </c>
      <c r="G27" s="112" t="str">
        <f t="shared" ca="1" si="9"/>
        <v>R</v>
      </c>
      <c r="H27" s="112" t="str">
        <f t="shared" ca="1" si="9"/>
        <v>P</v>
      </c>
      <c r="I27" s="112" t="str">
        <f t="shared" ca="1" si="9"/>
        <v>P</v>
      </c>
      <c r="J27" s="112" t="str">
        <f t="shared" ca="1" si="9"/>
        <v>P</v>
      </c>
      <c r="K27" s="112" t="str">
        <f t="shared" ca="1" si="9"/>
        <v>P</v>
      </c>
      <c r="L27" s="112" t="str">
        <f t="shared" ca="1" si="9"/>
        <v>P</v>
      </c>
      <c r="M27" s="112" t="str">
        <f t="shared" ca="1" si="9"/>
        <v>P</v>
      </c>
      <c r="N27" s="112" t="str">
        <f t="shared" ca="1" si="9"/>
        <v>P</v>
      </c>
      <c r="O27" s="112" t="str">
        <f t="shared" ca="1" si="9"/>
        <v>P</v>
      </c>
      <c r="P27" s="112" t="str">
        <f t="shared" ca="1" si="9"/>
        <v>P</v>
      </c>
      <c r="Q27" s="112" t="str">
        <f t="shared" ca="1" si="9"/>
        <v>P</v>
      </c>
      <c r="R27" s="112" t="str">
        <f t="shared" ca="1" si="9"/>
        <v>R</v>
      </c>
      <c r="S27" s="112" t="str">
        <f t="shared" ca="1" si="9"/>
        <v>P</v>
      </c>
      <c r="T27" s="112" t="str">
        <f t="shared" ca="1" si="8"/>
        <v>P</v>
      </c>
      <c r="U27" s="112" t="str">
        <f t="shared" ca="1" si="8"/>
        <v>P</v>
      </c>
      <c r="V27" s="112" t="str">
        <f t="shared" ca="1" si="8"/>
        <v>P</v>
      </c>
      <c r="W27" s="112" t="str">
        <f t="shared" ca="1" si="8"/>
        <v>P</v>
      </c>
      <c r="X27" s="112" t="str">
        <f t="shared" ca="1" si="8"/>
        <v>R</v>
      </c>
      <c r="Y27" s="112" t="str">
        <f t="shared" ca="1" si="8"/>
        <v>P</v>
      </c>
      <c r="Z27" s="112" t="str">
        <f t="shared" ca="1" si="8"/>
        <v>P</v>
      </c>
      <c r="AA27" s="112" t="str">
        <f t="shared" ca="1" si="8"/>
        <v>P</v>
      </c>
      <c r="AB27" s="112" t="str">
        <f t="shared" ca="1" si="8"/>
        <v>P</v>
      </c>
      <c r="AC27" s="112" t="str">
        <f t="shared" ca="1" si="8"/>
        <v>P</v>
      </c>
      <c r="AD27" s="112" t="str">
        <f t="shared" ca="1" si="8"/>
        <v>P</v>
      </c>
      <c r="AE27" s="112" t="str">
        <f t="shared" ca="1" si="8"/>
        <v>P</v>
      </c>
      <c r="AF27" s="112" t="str">
        <f t="shared" ca="1" si="8"/>
        <v>P</v>
      </c>
      <c r="AG27" s="112" t="str">
        <f t="shared" ca="1" si="8"/>
        <v>R</v>
      </c>
      <c r="AH27" s="112" t="str">
        <f t="shared" ca="1" si="8"/>
        <v>R</v>
      </c>
      <c r="AI27" s="110">
        <f t="shared" si="4"/>
        <v>31</v>
      </c>
      <c r="AJ27" s="220">
        <f t="shared" ca="1" si="5"/>
        <v>26</v>
      </c>
      <c r="AK27" s="111">
        <f t="shared" ca="1" si="6"/>
        <v>5</v>
      </c>
      <c r="AX27" t="str">
        <f>IF(AC$6="","",TEXT(AC$6,"dd"))</f>
        <v>26</v>
      </c>
      <c r="AY27">
        <f ca="1">IF($AX27="","",COUNTIF(AC:AC,"P"))</f>
        <v>168</v>
      </c>
      <c r="AZ27">
        <f ca="1">IF($AX27="","",COUNTIF(AC:AC,"R"))</f>
        <v>37</v>
      </c>
    </row>
    <row r="28" spans="1:52" x14ac:dyDescent="0.25">
      <c r="A28" s="105">
        <v>1021</v>
      </c>
      <c r="B28" s="107" t="s">
        <v>193</v>
      </c>
      <c r="C28" s="103" t="s">
        <v>1110</v>
      </c>
      <c r="D28" s="112" t="str">
        <f t="shared" ca="1" si="9"/>
        <v>P</v>
      </c>
      <c r="E28" s="112" t="str">
        <f t="shared" ca="1" si="9"/>
        <v>P</v>
      </c>
      <c r="F28" s="112" t="str">
        <f t="shared" ca="1" si="9"/>
        <v>R</v>
      </c>
      <c r="G28" s="112" t="str">
        <f t="shared" ca="1" si="9"/>
        <v>P</v>
      </c>
      <c r="H28" s="112" t="str">
        <f t="shared" ca="1" si="9"/>
        <v>P</v>
      </c>
      <c r="I28" s="112" t="str">
        <f t="shared" ca="1" si="9"/>
        <v>R</v>
      </c>
      <c r="J28" s="112" t="str">
        <f t="shared" ca="1" si="9"/>
        <v>R</v>
      </c>
      <c r="K28" s="112" t="str">
        <f t="shared" ca="1" si="9"/>
        <v>P</v>
      </c>
      <c r="L28" s="112" t="str">
        <f t="shared" ca="1" si="9"/>
        <v>R</v>
      </c>
      <c r="M28" s="112" t="str">
        <f t="shared" ca="1" si="9"/>
        <v>P</v>
      </c>
      <c r="N28" s="112" t="str">
        <f t="shared" ca="1" si="9"/>
        <v>P</v>
      </c>
      <c r="O28" s="112" t="str">
        <f t="shared" ca="1" si="9"/>
        <v>P</v>
      </c>
      <c r="P28" s="112" t="str">
        <f t="shared" ca="1" si="9"/>
        <v>P</v>
      </c>
      <c r="Q28" s="112" t="str">
        <f t="shared" ca="1" si="9"/>
        <v>P</v>
      </c>
      <c r="R28" s="112" t="str">
        <f t="shared" ca="1" si="9"/>
        <v>P</v>
      </c>
      <c r="S28" s="112" t="str">
        <f t="shared" ca="1" si="9"/>
        <v>R</v>
      </c>
      <c r="T28" s="112" t="str">
        <f t="shared" ca="1" si="8"/>
        <v>P</v>
      </c>
      <c r="U28" s="112" t="str">
        <f t="shared" ca="1" si="8"/>
        <v>P</v>
      </c>
      <c r="V28" s="112" t="str">
        <f t="shared" ca="1" si="8"/>
        <v>P</v>
      </c>
      <c r="W28" s="112" t="str">
        <f t="shared" ca="1" si="8"/>
        <v>P</v>
      </c>
      <c r="X28" s="112" t="str">
        <f t="shared" ca="1" si="8"/>
        <v>P</v>
      </c>
      <c r="Y28" s="112" t="str">
        <f t="shared" ca="1" si="8"/>
        <v>P</v>
      </c>
      <c r="Z28" s="112" t="str">
        <f t="shared" ca="1" si="8"/>
        <v>P</v>
      </c>
      <c r="AA28" s="112" t="str">
        <f t="shared" ca="1" si="8"/>
        <v>P</v>
      </c>
      <c r="AB28" s="112" t="str">
        <f t="shared" ca="1" si="8"/>
        <v>P</v>
      </c>
      <c r="AC28" s="112" t="str">
        <f t="shared" ca="1" si="8"/>
        <v>P</v>
      </c>
      <c r="AD28" s="112" t="str">
        <f t="shared" ca="1" si="8"/>
        <v>P</v>
      </c>
      <c r="AE28" s="112" t="str">
        <f t="shared" ca="1" si="8"/>
        <v>P</v>
      </c>
      <c r="AF28" s="112" t="str">
        <f t="shared" ca="1" si="8"/>
        <v>P</v>
      </c>
      <c r="AG28" s="112" t="str">
        <f t="shared" ca="1" si="8"/>
        <v>P</v>
      </c>
      <c r="AH28" s="112" t="str">
        <f t="shared" ca="1" si="8"/>
        <v>P</v>
      </c>
      <c r="AI28" s="110">
        <f t="shared" si="4"/>
        <v>31</v>
      </c>
      <c r="AJ28" s="220">
        <f t="shared" ca="1" si="5"/>
        <v>24</v>
      </c>
      <c r="AK28" s="111">
        <f t="shared" ca="1" si="6"/>
        <v>7</v>
      </c>
      <c r="AX28" t="str">
        <f>IF(AD$6="","",TEXT(AD$6,"dd"))</f>
        <v>27</v>
      </c>
      <c r="AY28">
        <f ca="1">IF($AX28="","",COUNTIF(AD:AD,"P"))</f>
        <v>165</v>
      </c>
      <c r="AZ28">
        <f ca="1">IF($AX28="","",COUNTIF(AD:AD,"R"))</f>
        <v>40</v>
      </c>
    </row>
    <row r="29" spans="1:52" x14ac:dyDescent="0.25">
      <c r="A29" s="105">
        <v>1022</v>
      </c>
      <c r="B29" s="107" t="s">
        <v>39</v>
      </c>
      <c r="C29" s="103" t="s">
        <v>1113</v>
      </c>
      <c r="D29" s="112" t="str">
        <f t="shared" ca="1" si="9"/>
        <v>R</v>
      </c>
      <c r="E29" s="112" t="str">
        <f t="shared" ca="1" si="9"/>
        <v>P</v>
      </c>
      <c r="F29" s="112" t="str">
        <f t="shared" ca="1" si="9"/>
        <v>P</v>
      </c>
      <c r="G29" s="112" t="str">
        <f t="shared" ca="1" si="9"/>
        <v>P</v>
      </c>
      <c r="H29" s="112" t="str">
        <f t="shared" ca="1" si="9"/>
        <v>P</v>
      </c>
      <c r="I29" s="112" t="str">
        <f t="shared" ca="1" si="9"/>
        <v>P</v>
      </c>
      <c r="J29" s="112" t="str">
        <f t="shared" ca="1" si="9"/>
        <v>R</v>
      </c>
      <c r="K29" s="112" t="str">
        <f t="shared" ca="1" si="9"/>
        <v>P</v>
      </c>
      <c r="L29" s="112" t="str">
        <f t="shared" ca="1" si="9"/>
        <v>P</v>
      </c>
      <c r="M29" s="112" t="str">
        <f t="shared" ca="1" si="9"/>
        <v>R</v>
      </c>
      <c r="N29" s="112" t="str">
        <f t="shared" ca="1" si="9"/>
        <v>P</v>
      </c>
      <c r="O29" s="112" t="str">
        <f t="shared" ca="1" si="9"/>
        <v>R</v>
      </c>
      <c r="P29" s="112" t="str">
        <f t="shared" ca="1" si="9"/>
        <v>P</v>
      </c>
      <c r="Q29" s="112" t="str">
        <f t="shared" ca="1" si="9"/>
        <v>P</v>
      </c>
      <c r="R29" s="112" t="str">
        <f t="shared" ca="1" si="9"/>
        <v>R</v>
      </c>
      <c r="S29" s="112" t="str">
        <f t="shared" ca="1" si="9"/>
        <v>P</v>
      </c>
      <c r="T29" s="112" t="str">
        <f t="shared" ca="1" si="8"/>
        <v>P</v>
      </c>
      <c r="U29" s="112" t="str">
        <f t="shared" ca="1" si="8"/>
        <v>P</v>
      </c>
      <c r="V29" s="112" t="str">
        <f t="shared" ca="1" si="8"/>
        <v>P</v>
      </c>
      <c r="W29" s="112" t="str">
        <f t="shared" ca="1" si="8"/>
        <v>P</v>
      </c>
      <c r="X29" s="112" t="str">
        <f t="shared" ca="1" si="8"/>
        <v>P</v>
      </c>
      <c r="Y29" s="112" t="str">
        <f t="shared" ca="1" si="8"/>
        <v>P</v>
      </c>
      <c r="Z29" s="112" t="str">
        <f t="shared" ca="1" si="8"/>
        <v>P</v>
      </c>
      <c r="AA29" s="112" t="str">
        <f t="shared" ca="1" si="8"/>
        <v>P</v>
      </c>
      <c r="AB29" s="112" t="str">
        <f t="shared" ca="1" si="8"/>
        <v>P</v>
      </c>
      <c r="AC29" s="112" t="str">
        <f t="shared" ca="1" si="8"/>
        <v>P</v>
      </c>
      <c r="AD29" s="112" t="str">
        <f t="shared" ca="1" si="8"/>
        <v>R</v>
      </c>
      <c r="AE29" s="112" t="str">
        <f t="shared" ca="1" si="8"/>
        <v>P</v>
      </c>
      <c r="AF29" s="112" t="str">
        <f t="shared" ca="1" si="8"/>
        <v>P</v>
      </c>
      <c r="AG29" s="112" t="str">
        <f t="shared" ca="1" si="8"/>
        <v>P</v>
      </c>
      <c r="AH29" s="112" t="str">
        <f t="shared" ca="1" si="8"/>
        <v>R</v>
      </c>
      <c r="AI29" s="110">
        <f t="shared" si="4"/>
        <v>31</v>
      </c>
      <c r="AJ29" s="220">
        <f t="shared" ca="1" si="5"/>
        <v>26</v>
      </c>
      <c r="AK29" s="111">
        <f t="shared" ca="1" si="6"/>
        <v>5</v>
      </c>
      <c r="AX29" t="str">
        <f>IF(AE$6="","",TEXT(AE$6,"dd"))</f>
        <v>28</v>
      </c>
      <c r="AY29">
        <f ca="1">IF($AX29="","",COUNTIF(AE:AE,"P"))</f>
        <v>173</v>
      </c>
      <c r="AZ29">
        <f ca="1">IF($AX29="","",COUNTIF(AE:AE,"R"))</f>
        <v>32</v>
      </c>
    </row>
    <row r="30" spans="1:52" x14ac:dyDescent="0.25">
      <c r="A30" s="105">
        <v>1023</v>
      </c>
      <c r="B30" s="107" t="s">
        <v>204</v>
      </c>
      <c r="C30" s="103" t="s">
        <v>1113</v>
      </c>
      <c r="D30" s="112" t="str">
        <f t="shared" ca="1" si="9"/>
        <v>P</v>
      </c>
      <c r="E30" s="112" t="str">
        <f t="shared" ca="1" si="9"/>
        <v>R</v>
      </c>
      <c r="F30" s="112" t="str">
        <f t="shared" ca="1" si="9"/>
        <v>P</v>
      </c>
      <c r="G30" s="112" t="str">
        <f t="shared" ca="1" si="9"/>
        <v>P</v>
      </c>
      <c r="H30" s="112" t="str">
        <f t="shared" ca="1" si="9"/>
        <v>P</v>
      </c>
      <c r="I30" s="112" t="str">
        <f t="shared" ca="1" si="9"/>
        <v>R</v>
      </c>
      <c r="J30" s="112" t="str">
        <f t="shared" ca="1" si="9"/>
        <v>P</v>
      </c>
      <c r="K30" s="112" t="str">
        <f t="shared" ca="1" si="9"/>
        <v>P</v>
      </c>
      <c r="L30" s="112" t="str">
        <f t="shared" ca="1" si="9"/>
        <v>P</v>
      </c>
      <c r="M30" s="112" t="str">
        <f t="shared" ca="1" si="9"/>
        <v>P</v>
      </c>
      <c r="N30" s="112" t="str">
        <f t="shared" ca="1" si="9"/>
        <v>P</v>
      </c>
      <c r="O30" s="112" t="str">
        <f t="shared" ca="1" si="9"/>
        <v>P</v>
      </c>
      <c r="P30" s="112" t="str">
        <f t="shared" ca="1" si="9"/>
        <v>P</v>
      </c>
      <c r="Q30" s="112" t="str">
        <f t="shared" ca="1" si="9"/>
        <v>P</v>
      </c>
      <c r="R30" s="112" t="str">
        <f t="shared" ca="1" si="9"/>
        <v>P</v>
      </c>
      <c r="S30" s="112" t="str">
        <f t="shared" ca="1" si="9"/>
        <v>R</v>
      </c>
      <c r="T30" s="112" t="str">
        <f t="shared" ca="1" si="8"/>
        <v>R</v>
      </c>
      <c r="U30" s="112" t="str">
        <f t="shared" ca="1" si="8"/>
        <v>P</v>
      </c>
      <c r="V30" s="112" t="str">
        <f t="shared" ca="1" si="8"/>
        <v>P</v>
      </c>
      <c r="W30" s="112" t="str">
        <f t="shared" ca="1" si="8"/>
        <v>R</v>
      </c>
      <c r="X30" s="112" t="str">
        <f t="shared" ca="1" si="8"/>
        <v>P</v>
      </c>
      <c r="Y30" s="112" t="str">
        <f t="shared" ca="1" si="8"/>
        <v>P</v>
      </c>
      <c r="Z30" s="112" t="str">
        <f t="shared" ca="1" si="8"/>
        <v>P</v>
      </c>
      <c r="AA30" s="112" t="str">
        <f t="shared" ca="1" si="8"/>
        <v>P</v>
      </c>
      <c r="AB30" s="112" t="str">
        <f t="shared" ca="1" si="8"/>
        <v>P</v>
      </c>
      <c r="AC30" s="112" t="str">
        <f t="shared" ca="1" si="8"/>
        <v>P</v>
      </c>
      <c r="AD30" s="112" t="str">
        <f t="shared" ca="1" si="8"/>
        <v>P</v>
      </c>
      <c r="AE30" s="112" t="str">
        <f t="shared" ca="1" si="8"/>
        <v>P</v>
      </c>
      <c r="AF30" s="112" t="str">
        <f t="shared" ca="1" si="8"/>
        <v>P</v>
      </c>
      <c r="AG30" s="112" t="str">
        <f t="shared" ca="1" si="8"/>
        <v>P</v>
      </c>
      <c r="AH30" s="112" t="str">
        <f t="shared" ca="1" si="8"/>
        <v>P</v>
      </c>
      <c r="AI30" s="110">
        <f t="shared" si="4"/>
        <v>31</v>
      </c>
      <c r="AJ30" s="220">
        <f t="shared" ca="1" si="5"/>
        <v>26</v>
      </c>
      <c r="AK30" s="111">
        <f t="shared" ca="1" si="6"/>
        <v>5</v>
      </c>
      <c r="AX30" t="str">
        <f>IF(AF$6="","",TEXT(AF$6,"dd"))</f>
        <v>29</v>
      </c>
      <c r="AY30">
        <f ca="1">IF($AX30="","",COUNTIF(AF:AF,"P"))</f>
        <v>165</v>
      </c>
      <c r="AZ30">
        <f ca="1">IF($AX30="","",COUNTIF(AF:AF,"R"))</f>
        <v>40</v>
      </c>
    </row>
    <row r="31" spans="1:52" x14ac:dyDescent="0.25">
      <c r="A31" s="105">
        <v>1024</v>
      </c>
      <c r="B31" s="107" t="s">
        <v>210</v>
      </c>
      <c r="C31" s="103" t="s">
        <v>1102</v>
      </c>
      <c r="D31" s="112" t="str">
        <f t="shared" ca="1" si="9"/>
        <v>P</v>
      </c>
      <c r="E31" s="112" t="str">
        <f t="shared" ca="1" si="9"/>
        <v>P</v>
      </c>
      <c r="F31" s="112" t="str">
        <f t="shared" ca="1" si="9"/>
        <v>P</v>
      </c>
      <c r="G31" s="112" t="str">
        <f t="shared" ca="1" si="9"/>
        <v>P</v>
      </c>
      <c r="H31" s="112" t="str">
        <f t="shared" ca="1" si="9"/>
        <v>P</v>
      </c>
      <c r="I31" s="112" t="str">
        <f t="shared" ca="1" si="9"/>
        <v>P</v>
      </c>
      <c r="J31" s="112" t="str">
        <f t="shared" ca="1" si="9"/>
        <v>P</v>
      </c>
      <c r="K31" s="112" t="str">
        <f t="shared" ca="1" si="9"/>
        <v>P</v>
      </c>
      <c r="L31" s="112" t="str">
        <f t="shared" ca="1" si="9"/>
        <v>P</v>
      </c>
      <c r="M31" s="112" t="str">
        <f t="shared" ca="1" si="9"/>
        <v>P</v>
      </c>
      <c r="N31" s="112" t="str">
        <f t="shared" ca="1" si="9"/>
        <v>P</v>
      </c>
      <c r="O31" s="112" t="str">
        <f t="shared" ca="1" si="9"/>
        <v>R</v>
      </c>
      <c r="P31" s="112" t="str">
        <f t="shared" ca="1" si="9"/>
        <v>P</v>
      </c>
      <c r="Q31" s="112" t="str">
        <f t="shared" ca="1" si="9"/>
        <v>P</v>
      </c>
      <c r="R31" s="112" t="str">
        <f t="shared" ca="1" si="9"/>
        <v>P</v>
      </c>
      <c r="S31" s="112" t="str">
        <f t="shared" ca="1" si="9"/>
        <v>P</v>
      </c>
      <c r="T31" s="112" t="str">
        <f t="shared" ca="1" si="8"/>
        <v>R</v>
      </c>
      <c r="U31" s="112" t="str">
        <f t="shared" ca="1" si="8"/>
        <v>R</v>
      </c>
      <c r="V31" s="112" t="str">
        <f t="shared" ca="1" si="8"/>
        <v>P</v>
      </c>
      <c r="W31" s="112" t="str">
        <f t="shared" ca="1" si="8"/>
        <v>P</v>
      </c>
      <c r="X31" s="112" t="str">
        <f t="shared" ca="1" si="8"/>
        <v>P</v>
      </c>
      <c r="Y31" s="112" t="str">
        <f t="shared" ca="1" si="8"/>
        <v>P</v>
      </c>
      <c r="Z31" s="112" t="str">
        <f t="shared" ca="1" si="8"/>
        <v>P</v>
      </c>
      <c r="AA31" s="112" t="str">
        <f t="shared" ca="1" si="8"/>
        <v>R</v>
      </c>
      <c r="AB31" s="112" t="str">
        <f t="shared" ca="1" si="8"/>
        <v>P</v>
      </c>
      <c r="AC31" s="112" t="str">
        <f t="shared" ca="1" si="8"/>
        <v>P</v>
      </c>
      <c r="AD31" s="112" t="str">
        <f t="shared" ca="1" si="8"/>
        <v>P</v>
      </c>
      <c r="AE31" s="112" t="str">
        <f t="shared" ca="1" si="8"/>
        <v>R</v>
      </c>
      <c r="AF31" s="112" t="str">
        <f t="shared" ca="1" si="8"/>
        <v>P</v>
      </c>
      <c r="AG31" s="112" t="str">
        <f t="shared" ca="1" si="8"/>
        <v>P</v>
      </c>
      <c r="AH31" s="112" t="str">
        <f t="shared" ca="1" si="8"/>
        <v>P</v>
      </c>
      <c r="AI31" s="110">
        <f t="shared" si="4"/>
        <v>31</v>
      </c>
      <c r="AJ31" s="220">
        <f t="shared" ca="1" si="5"/>
        <v>28</v>
      </c>
      <c r="AK31" s="111">
        <f t="shared" ca="1" si="6"/>
        <v>3</v>
      </c>
      <c r="AX31" t="str">
        <f>IF(AG$6="","",TEXT(AG$6,"dd"))</f>
        <v>30</v>
      </c>
      <c r="AY31">
        <f ca="1">IF($AX31="","",COUNTIF(AG:AG,"P"))</f>
        <v>165</v>
      </c>
      <c r="AZ31">
        <f ca="1">IF($AX31="","",COUNTIF(AG:AG,"R"))</f>
        <v>40</v>
      </c>
    </row>
    <row r="32" spans="1:52" x14ac:dyDescent="0.25">
      <c r="A32" s="105">
        <v>1025</v>
      </c>
      <c r="B32" s="107" t="s">
        <v>75</v>
      </c>
      <c r="C32" s="103" t="s">
        <v>1103</v>
      </c>
      <c r="D32" s="112" t="str">
        <f t="shared" ca="1" si="9"/>
        <v>P</v>
      </c>
      <c r="E32" s="112" t="str">
        <f t="shared" ca="1" si="9"/>
        <v>P</v>
      </c>
      <c r="F32" s="112" t="str">
        <f t="shared" ca="1" si="9"/>
        <v>P</v>
      </c>
      <c r="G32" s="112" t="str">
        <f t="shared" ca="1" si="9"/>
        <v>R</v>
      </c>
      <c r="H32" s="112" t="str">
        <f t="shared" ca="1" si="9"/>
        <v>P</v>
      </c>
      <c r="I32" s="112" t="str">
        <f t="shared" ca="1" si="9"/>
        <v>P</v>
      </c>
      <c r="J32" s="112" t="str">
        <f t="shared" ca="1" si="9"/>
        <v>P</v>
      </c>
      <c r="K32" s="112" t="str">
        <f t="shared" ca="1" si="9"/>
        <v>P</v>
      </c>
      <c r="L32" s="112" t="str">
        <f t="shared" ca="1" si="9"/>
        <v>P</v>
      </c>
      <c r="M32" s="112" t="str">
        <f t="shared" ca="1" si="9"/>
        <v>P</v>
      </c>
      <c r="N32" s="112" t="str">
        <f t="shared" ca="1" si="9"/>
        <v>P</v>
      </c>
      <c r="O32" s="112" t="str">
        <f t="shared" ca="1" si="9"/>
        <v>P</v>
      </c>
      <c r="P32" s="112" t="str">
        <f t="shared" ca="1" si="9"/>
        <v>P</v>
      </c>
      <c r="Q32" s="112" t="str">
        <f t="shared" ca="1" si="9"/>
        <v>P</v>
      </c>
      <c r="R32" s="112" t="str">
        <f t="shared" ca="1" si="9"/>
        <v>P</v>
      </c>
      <c r="S32" s="112" t="str">
        <f t="shared" ca="1" si="9"/>
        <v>P</v>
      </c>
      <c r="T32" s="112" t="str">
        <f t="shared" ca="1" si="8"/>
        <v>P</v>
      </c>
      <c r="U32" s="112" t="str">
        <f t="shared" ca="1" si="8"/>
        <v>P</v>
      </c>
      <c r="V32" s="112" t="str">
        <f t="shared" ca="1" si="8"/>
        <v>P</v>
      </c>
      <c r="W32" s="112" t="str">
        <f t="shared" ca="1" si="8"/>
        <v>P</v>
      </c>
      <c r="X32" s="112" t="str">
        <f t="shared" ca="1" si="8"/>
        <v>P</v>
      </c>
      <c r="Y32" s="112" t="str">
        <f t="shared" ca="1" si="8"/>
        <v>P</v>
      </c>
      <c r="Z32" s="112" t="str">
        <f t="shared" ca="1" si="8"/>
        <v>P</v>
      </c>
      <c r="AA32" s="112" t="str">
        <f t="shared" ca="1" si="8"/>
        <v>R</v>
      </c>
      <c r="AB32" s="112" t="str">
        <f t="shared" ca="1" si="8"/>
        <v>P</v>
      </c>
      <c r="AC32" s="112" t="str">
        <f t="shared" ca="1" si="8"/>
        <v>P</v>
      </c>
      <c r="AD32" s="112" t="str">
        <f t="shared" ca="1" si="8"/>
        <v>R</v>
      </c>
      <c r="AE32" s="112" t="str">
        <f t="shared" ca="1" si="8"/>
        <v>P</v>
      </c>
      <c r="AF32" s="112" t="str">
        <f t="shared" ca="1" si="8"/>
        <v>P</v>
      </c>
      <c r="AG32" s="112" t="str">
        <f t="shared" ca="1" si="8"/>
        <v>P</v>
      </c>
      <c r="AH32" s="112" t="str">
        <f t="shared" ca="1" si="8"/>
        <v>P</v>
      </c>
      <c r="AI32" s="110">
        <f t="shared" si="4"/>
        <v>31</v>
      </c>
      <c r="AJ32" s="220">
        <f t="shared" ca="1" si="5"/>
        <v>21</v>
      </c>
      <c r="AK32" s="111">
        <f t="shared" ca="1" si="6"/>
        <v>10</v>
      </c>
      <c r="AX32" t="str">
        <f>IF(AH$6="","",TEXT(AH$6,"dd"))</f>
        <v>31</v>
      </c>
      <c r="AY32">
        <f ca="1">IF($AX32="","",COUNTIF(AH:AH,"P"))</f>
        <v>164</v>
      </c>
      <c r="AZ32">
        <f ca="1">IF($AX32="","",COUNTIF(AH:AH,"R"))</f>
        <v>41</v>
      </c>
    </row>
    <row r="33" spans="1:37" x14ac:dyDescent="0.25">
      <c r="A33" s="105">
        <v>1026</v>
      </c>
      <c r="B33" s="107" t="s">
        <v>221</v>
      </c>
      <c r="C33" s="103" t="s">
        <v>1106</v>
      </c>
      <c r="D33" s="112" t="str">
        <f t="shared" ca="1" si="9"/>
        <v>P</v>
      </c>
      <c r="E33" s="112" t="str">
        <f t="shared" ca="1" si="9"/>
        <v>P</v>
      </c>
      <c r="F33" s="112" t="str">
        <f t="shared" ca="1" si="9"/>
        <v>R</v>
      </c>
      <c r="G33" s="112" t="str">
        <f t="shared" ca="1" si="9"/>
        <v>P</v>
      </c>
      <c r="H33" s="112" t="str">
        <f t="shared" ca="1" si="9"/>
        <v>P</v>
      </c>
      <c r="I33" s="112" t="str">
        <f t="shared" ca="1" si="9"/>
        <v>P</v>
      </c>
      <c r="J33" s="112" t="str">
        <f t="shared" ca="1" si="9"/>
        <v>R</v>
      </c>
      <c r="K33" s="112" t="str">
        <f t="shared" ca="1" si="9"/>
        <v>R</v>
      </c>
      <c r="L33" s="112" t="str">
        <f t="shared" ca="1" si="9"/>
        <v>P</v>
      </c>
      <c r="M33" s="112" t="str">
        <f t="shared" ca="1" si="9"/>
        <v>R</v>
      </c>
      <c r="N33" s="112" t="str">
        <f t="shared" ca="1" si="9"/>
        <v>R</v>
      </c>
      <c r="O33" s="112" t="str">
        <f t="shared" ca="1" si="9"/>
        <v>P</v>
      </c>
      <c r="P33" s="112" t="str">
        <f t="shared" ca="1" si="9"/>
        <v>P</v>
      </c>
      <c r="Q33" s="112" t="str">
        <f t="shared" ca="1" si="9"/>
        <v>R</v>
      </c>
      <c r="R33" s="112" t="str">
        <f t="shared" ca="1" si="9"/>
        <v>R</v>
      </c>
      <c r="S33" s="112" t="str">
        <f t="shared" ca="1" si="9"/>
        <v>R</v>
      </c>
      <c r="T33" s="112" t="str">
        <f t="shared" ca="1" si="8"/>
        <v>P</v>
      </c>
      <c r="U33" s="112" t="str">
        <f t="shared" ca="1" si="8"/>
        <v>R</v>
      </c>
      <c r="V33" s="112" t="str">
        <f t="shared" ca="1" si="8"/>
        <v>P</v>
      </c>
      <c r="W33" s="112" t="str">
        <f t="shared" ca="1" si="8"/>
        <v>P</v>
      </c>
      <c r="X33" s="112" t="str">
        <f t="shared" ca="1" si="8"/>
        <v>P</v>
      </c>
      <c r="Y33" s="112" t="str">
        <f t="shared" ca="1" si="8"/>
        <v>R</v>
      </c>
      <c r="Z33" s="112" t="str">
        <f t="shared" ca="1" si="8"/>
        <v>P</v>
      </c>
      <c r="AA33" s="112" t="str">
        <f t="shared" ca="1" si="8"/>
        <v>P</v>
      </c>
      <c r="AB33" s="112" t="str">
        <f t="shared" ca="1" si="8"/>
        <v>P</v>
      </c>
      <c r="AC33" s="112" t="str">
        <f t="shared" ca="1" si="8"/>
        <v>P</v>
      </c>
      <c r="AD33" s="112" t="str">
        <f t="shared" ca="1" si="8"/>
        <v>P</v>
      </c>
      <c r="AE33" s="112" t="str">
        <f t="shared" ca="1" si="8"/>
        <v>P</v>
      </c>
      <c r="AF33" s="112" t="str">
        <f t="shared" ca="1" si="8"/>
        <v>P</v>
      </c>
      <c r="AG33" s="112" t="str">
        <f t="shared" ca="1" si="8"/>
        <v>P</v>
      </c>
      <c r="AH33" s="112" t="str">
        <f t="shared" ca="1" si="8"/>
        <v>P</v>
      </c>
      <c r="AI33" s="110">
        <f t="shared" si="4"/>
        <v>31</v>
      </c>
      <c r="AJ33" s="220">
        <f t="shared" ca="1" si="5"/>
        <v>28</v>
      </c>
      <c r="AK33" s="111">
        <f t="shared" ca="1" si="6"/>
        <v>3</v>
      </c>
    </row>
    <row r="34" spans="1:37" x14ac:dyDescent="0.25">
      <c r="A34" s="105">
        <v>1027</v>
      </c>
      <c r="B34" s="107" t="s">
        <v>227</v>
      </c>
      <c r="C34" s="103" t="s">
        <v>1106</v>
      </c>
      <c r="D34" s="112" t="str">
        <f t="shared" ca="1" si="9"/>
        <v>P</v>
      </c>
      <c r="E34" s="112" t="str">
        <f t="shared" ca="1" si="9"/>
        <v>P</v>
      </c>
      <c r="F34" s="112" t="str">
        <f t="shared" ca="1" si="9"/>
        <v>P</v>
      </c>
      <c r="G34" s="112" t="str">
        <f t="shared" ca="1" si="9"/>
        <v>P</v>
      </c>
      <c r="H34" s="112" t="str">
        <f t="shared" ca="1" si="9"/>
        <v>P</v>
      </c>
      <c r="I34" s="112" t="str">
        <f t="shared" ca="1" si="9"/>
        <v>P</v>
      </c>
      <c r="J34" s="112" t="str">
        <f t="shared" ca="1" si="9"/>
        <v>R</v>
      </c>
      <c r="K34" s="112" t="str">
        <f t="shared" ca="1" si="9"/>
        <v>P</v>
      </c>
      <c r="L34" s="112" t="str">
        <f t="shared" ca="1" si="9"/>
        <v>P</v>
      </c>
      <c r="M34" s="112" t="str">
        <f t="shared" ca="1" si="9"/>
        <v>P</v>
      </c>
      <c r="N34" s="112" t="str">
        <f t="shared" ca="1" si="9"/>
        <v>P</v>
      </c>
      <c r="O34" s="112" t="str">
        <f t="shared" ca="1" si="9"/>
        <v>P</v>
      </c>
      <c r="P34" s="112" t="str">
        <f t="shared" ca="1" si="9"/>
        <v>P</v>
      </c>
      <c r="Q34" s="112" t="str">
        <f t="shared" ca="1" si="9"/>
        <v>P</v>
      </c>
      <c r="R34" s="112" t="str">
        <f t="shared" ca="1" si="9"/>
        <v>P</v>
      </c>
      <c r="S34" s="112" t="str">
        <f t="shared" ca="1" si="9"/>
        <v>P</v>
      </c>
      <c r="T34" s="112" t="str">
        <f t="shared" ca="1" si="8"/>
        <v>P</v>
      </c>
      <c r="U34" s="112" t="str">
        <f t="shared" ca="1" si="8"/>
        <v>P</v>
      </c>
      <c r="V34" s="112" t="str">
        <f t="shared" ca="1" si="8"/>
        <v>P</v>
      </c>
      <c r="W34" s="112" t="str">
        <f t="shared" ca="1" si="8"/>
        <v>R</v>
      </c>
      <c r="X34" s="112" t="str">
        <f t="shared" ca="1" si="8"/>
        <v>P</v>
      </c>
      <c r="Y34" s="112" t="str">
        <f t="shared" ca="1" si="8"/>
        <v>P</v>
      </c>
      <c r="Z34" s="112" t="str">
        <f t="shared" ca="1" si="8"/>
        <v>P</v>
      </c>
      <c r="AA34" s="112" t="str">
        <f t="shared" ca="1" si="8"/>
        <v>P</v>
      </c>
      <c r="AB34" s="112" t="str">
        <f t="shared" ca="1" si="8"/>
        <v>P</v>
      </c>
      <c r="AC34" s="112" t="str">
        <f t="shared" ca="1" si="8"/>
        <v>R</v>
      </c>
      <c r="AD34" s="112" t="str">
        <f t="shared" ca="1" si="8"/>
        <v>P</v>
      </c>
      <c r="AE34" s="112" t="str">
        <f t="shared" ca="1" si="8"/>
        <v>P</v>
      </c>
      <c r="AF34" s="112" t="str">
        <f t="shared" ca="1" si="8"/>
        <v>P</v>
      </c>
      <c r="AG34" s="112" t="str">
        <f t="shared" ca="1" si="8"/>
        <v>P</v>
      </c>
      <c r="AH34" s="112" t="str">
        <f t="shared" ca="1" si="8"/>
        <v>P</v>
      </c>
      <c r="AI34" s="110">
        <f t="shared" si="4"/>
        <v>31</v>
      </c>
      <c r="AJ34" s="220">
        <f t="shared" ca="1" si="5"/>
        <v>25</v>
      </c>
      <c r="AK34" s="111">
        <f t="shared" ca="1" si="6"/>
        <v>6</v>
      </c>
    </row>
    <row r="35" spans="1:37" x14ac:dyDescent="0.25">
      <c r="A35" s="105">
        <v>1028</v>
      </c>
      <c r="B35" s="107" t="s">
        <v>233</v>
      </c>
      <c r="C35" s="103" t="s">
        <v>1106</v>
      </c>
      <c r="D35" s="112" t="str">
        <f t="shared" ca="1" si="9"/>
        <v>R</v>
      </c>
      <c r="E35" s="112" t="str">
        <f t="shared" ca="1" si="9"/>
        <v>R</v>
      </c>
      <c r="F35" s="112" t="str">
        <f t="shared" ca="1" si="9"/>
        <v>P</v>
      </c>
      <c r="G35" s="112" t="str">
        <f t="shared" ca="1" si="9"/>
        <v>P</v>
      </c>
      <c r="H35" s="112" t="str">
        <f t="shared" ca="1" si="9"/>
        <v>P</v>
      </c>
      <c r="I35" s="112" t="str">
        <f t="shared" ca="1" si="9"/>
        <v>P</v>
      </c>
      <c r="J35" s="112" t="str">
        <f t="shared" ca="1" si="9"/>
        <v>P</v>
      </c>
      <c r="K35" s="112" t="str">
        <f t="shared" ca="1" si="9"/>
        <v>P</v>
      </c>
      <c r="L35" s="112" t="str">
        <f t="shared" ca="1" si="9"/>
        <v>R</v>
      </c>
      <c r="M35" s="112" t="str">
        <f t="shared" ca="1" si="9"/>
        <v>P</v>
      </c>
      <c r="N35" s="112" t="str">
        <f t="shared" ca="1" si="9"/>
        <v>P</v>
      </c>
      <c r="O35" s="112" t="str">
        <f t="shared" ca="1" si="9"/>
        <v>P</v>
      </c>
      <c r="P35" s="112" t="str">
        <f t="shared" ca="1" si="9"/>
        <v>P</v>
      </c>
      <c r="Q35" s="112" t="str">
        <f t="shared" ca="1" si="9"/>
        <v>P</v>
      </c>
      <c r="R35" s="112" t="str">
        <f t="shared" ca="1" si="9"/>
        <v>P</v>
      </c>
      <c r="S35" s="112" t="str">
        <f t="shared" ca="1" si="9"/>
        <v>P</v>
      </c>
      <c r="T35" s="112" t="str">
        <f t="shared" ca="1" si="8"/>
        <v>P</v>
      </c>
      <c r="U35" s="112" t="str">
        <f t="shared" ca="1" si="8"/>
        <v>R</v>
      </c>
      <c r="V35" s="112" t="str">
        <f t="shared" ca="1" si="8"/>
        <v>P</v>
      </c>
      <c r="W35" s="112" t="str">
        <f t="shared" ca="1" si="8"/>
        <v>P</v>
      </c>
      <c r="X35" s="112" t="str">
        <f t="shared" ca="1" si="8"/>
        <v>P</v>
      </c>
      <c r="Y35" s="112" t="str">
        <f t="shared" ca="1" si="8"/>
        <v>P</v>
      </c>
      <c r="Z35" s="112" t="str">
        <f t="shared" ca="1" si="8"/>
        <v>P</v>
      </c>
      <c r="AA35" s="112" t="str">
        <f t="shared" ca="1" si="8"/>
        <v>P</v>
      </c>
      <c r="AB35" s="112" t="str">
        <f t="shared" ca="1" si="8"/>
        <v>R</v>
      </c>
      <c r="AC35" s="112" t="str">
        <f t="shared" ca="1" si="8"/>
        <v>R</v>
      </c>
      <c r="AD35" s="112" t="str">
        <f t="shared" ca="1" si="8"/>
        <v>P</v>
      </c>
      <c r="AE35" s="112" t="str">
        <f t="shared" ca="1" si="8"/>
        <v>P</v>
      </c>
      <c r="AF35" s="112" t="str">
        <f t="shared" ca="1" si="8"/>
        <v>P</v>
      </c>
      <c r="AG35" s="112" t="str">
        <f t="shared" ca="1" si="8"/>
        <v>P</v>
      </c>
      <c r="AH35" s="112" t="str">
        <f t="shared" ca="1" si="8"/>
        <v>P</v>
      </c>
      <c r="AI35" s="110">
        <f t="shared" si="4"/>
        <v>31</v>
      </c>
      <c r="AJ35" s="220">
        <f t="shared" ca="1" si="5"/>
        <v>28</v>
      </c>
      <c r="AK35" s="111">
        <f t="shared" ca="1" si="6"/>
        <v>3</v>
      </c>
    </row>
    <row r="36" spans="1:37" x14ac:dyDescent="0.25">
      <c r="A36" s="105">
        <v>1029</v>
      </c>
      <c r="B36" s="107" t="s">
        <v>239</v>
      </c>
      <c r="C36" s="103" t="s">
        <v>1108</v>
      </c>
      <c r="D36" s="112" t="str">
        <f t="shared" ca="1" si="9"/>
        <v>P</v>
      </c>
      <c r="E36" s="112" t="str">
        <f t="shared" ca="1" si="9"/>
        <v>P</v>
      </c>
      <c r="F36" s="112" t="str">
        <f t="shared" ca="1" si="9"/>
        <v>P</v>
      </c>
      <c r="G36" s="112" t="str">
        <f t="shared" ca="1" si="9"/>
        <v>P</v>
      </c>
      <c r="H36" s="112" t="str">
        <f t="shared" ca="1" si="9"/>
        <v>R</v>
      </c>
      <c r="I36" s="112" t="str">
        <f t="shared" ca="1" si="9"/>
        <v>P</v>
      </c>
      <c r="J36" s="112" t="str">
        <f t="shared" ca="1" si="9"/>
        <v>P</v>
      </c>
      <c r="K36" s="112" t="str">
        <f t="shared" ca="1" si="9"/>
        <v>P</v>
      </c>
      <c r="L36" s="112" t="str">
        <f t="shared" ca="1" si="9"/>
        <v>P</v>
      </c>
      <c r="M36" s="112" t="str">
        <f t="shared" ca="1" si="9"/>
        <v>R</v>
      </c>
      <c r="N36" s="112" t="str">
        <f t="shared" ca="1" si="9"/>
        <v>P</v>
      </c>
      <c r="O36" s="112" t="str">
        <f t="shared" ca="1" si="9"/>
        <v>P</v>
      </c>
      <c r="P36" s="112" t="str">
        <f t="shared" ca="1" si="9"/>
        <v>P</v>
      </c>
      <c r="Q36" s="112" t="str">
        <f t="shared" ca="1" si="9"/>
        <v>P</v>
      </c>
      <c r="R36" s="112" t="str">
        <f t="shared" ca="1" si="9"/>
        <v>P</v>
      </c>
      <c r="S36" s="112" t="str">
        <f t="shared" ca="1" si="9"/>
        <v>R</v>
      </c>
      <c r="T36" s="112" t="str">
        <f t="shared" ca="1" si="8"/>
        <v>P</v>
      </c>
      <c r="U36" s="112" t="str">
        <f t="shared" ca="1" si="8"/>
        <v>P</v>
      </c>
      <c r="V36" s="112" t="str">
        <f t="shared" ca="1" si="8"/>
        <v>P</v>
      </c>
      <c r="W36" s="112" t="str">
        <f t="shared" ca="1" si="8"/>
        <v>P</v>
      </c>
      <c r="X36" s="112" t="str">
        <f t="shared" ca="1" si="8"/>
        <v>P</v>
      </c>
      <c r="Y36" s="112" t="str">
        <f t="shared" ca="1" si="8"/>
        <v>P</v>
      </c>
      <c r="Z36" s="112" t="str">
        <f t="shared" ca="1" si="8"/>
        <v>P</v>
      </c>
      <c r="AA36" s="112" t="str">
        <f t="shared" ca="1" si="8"/>
        <v>P</v>
      </c>
      <c r="AB36" s="112" t="str">
        <f t="shared" ca="1" si="8"/>
        <v>P</v>
      </c>
      <c r="AC36" s="112" t="str">
        <f t="shared" ca="1" si="8"/>
        <v>P</v>
      </c>
      <c r="AD36" s="112" t="str">
        <f t="shared" ca="1" si="8"/>
        <v>P</v>
      </c>
      <c r="AE36" s="112" t="str">
        <f t="shared" ca="1" si="8"/>
        <v>P</v>
      </c>
      <c r="AF36" s="112" t="str">
        <f t="shared" ca="1" si="8"/>
        <v>P</v>
      </c>
      <c r="AG36" s="112" t="str">
        <f t="shared" ca="1" si="8"/>
        <v>P</v>
      </c>
      <c r="AH36" s="112" t="str">
        <f t="shared" ca="1" si="8"/>
        <v>P</v>
      </c>
      <c r="AI36" s="110">
        <f t="shared" si="4"/>
        <v>31</v>
      </c>
      <c r="AJ36" s="220">
        <f t="shared" ca="1" si="5"/>
        <v>25</v>
      </c>
      <c r="AK36" s="111">
        <f t="shared" ca="1" si="6"/>
        <v>6</v>
      </c>
    </row>
    <row r="37" spans="1:37" x14ac:dyDescent="0.25">
      <c r="A37" s="105">
        <v>1030</v>
      </c>
      <c r="B37" s="107" t="s">
        <v>245</v>
      </c>
      <c r="C37" s="103" t="s">
        <v>1107</v>
      </c>
      <c r="D37" s="112" t="str">
        <f t="shared" ca="1" si="9"/>
        <v>R</v>
      </c>
      <c r="E37" s="112" t="str">
        <f t="shared" ca="1" si="9"/>
        <v>P</v>
      </c>
      <c r="F37" s="112" t="str">
        <f t="shared" ca="1" si="9"/>
        <v>P</v>
      </c>
      <c r="G37" s="112" t="str">
        <f t="shared" ca="1" si="9"/>
        <v>R</v>
      </c>
      <c r="H37" s="112" t="str">
        <f t="shared" ca="1" si="9"/>
        <v>P</v>
      </c>
      <c r="I37" s="112" t="str">
        <f t="shared" ca="1" si="9"/>
        <v>P</v>
      </c>
      <c r="J37" s="112" t="str">
        <f t="shared" ca="1" si="9"/>
        <v>P</v>
      </c>
      <c r="K37" s="112" t="str">
        <f t="shared" ca="1" si="9"/>
        <v>P</v>
      </c>
      <c r="L37" s="112" t="str">
        <f t="shared" ca="1" si="9"/>
        <v>P</v>
      </c>
      <c r="M37" s="112" t="str">
        <f t="shared" ca="1" si="9"/>
        <v>P</v>
      </c>
      <c r="N37" s="112" t="str">
        <f t="shared" ca="1" si="9"/>
        <v>P</v>
      </c>
      <c r="O37" s="112" t="str">
        <f t="shared" ca="1" si="9"/>
        <v>P</v>
      </c>
      <c r="P37" s="112" t="str">
        <f t="shared" ca="1" si="9"/>
        <v>P</v>
      </c>
      <c r="Q37" s="112" t="str">
        <f t="shared" ca="1" si="9"/>
        <v>P</v>
      </c>
      <c r="R37" s="112" t="str">
        <f t="shared" ca="1" si="9"/>
        <v>P</v>
      </c>
      <c r="S37" s="112" t="str">
        <f t="shared" ca="1" si="9"/>
        <v>P</v>
      </c>
      <c r="T37" s="112" t="str">
        <f t="shared" ca="1" si="8"/>
        <v>R</v>
      </c>
      <c r="U37" s="112" t="str">
        <f t="shared" ca="1" si="8"/>
        <v>R</v>
      </c>
      <c r="V37" s="112" t="str">
        <f t="shared" ca="1" si="8"/>
        <v>P</v>
      </c>
      <c r="W37" s="112" t="str">
        <f t="shared" ca="1" si="8"/>
        <v>P</v>
      </c>
      <c r="X37" s="112" t="str">
        <f t="shared" ca="1" si="8"/>
        <v>P</v>
      </c>
      <c r="Y37" s="112" t="str">
        <f t="shared" ca="1" si="8"/>
        <v>P</v>
      </c>
      <c r="Z37" s="112" t="str">
        <f t="shared" ca="1" si="8"/>
        <v>P</v>
      </c>
      <c r="AA37" s="112" t="str">
        <f t="shared" ca="1" si="8"/>
        <v>P</v>
      </c>
      <c r="AB37" s="112" t="str">
        <f t="shared" ca="1" si="8"/>
        <v>R</v>
      </c>
      <c r="AC37" s="112" t="str">
        <f t="shared" ca="1" si="8"/>
        <v>P</v>
      </c>
      <c r="AD37" s="112" t="str">
        <f t="shared" ca="1" si="8"/>
        <v>P</v>
      </c>
      <c r="AE37" s="112" t="str">
        <f t="shared" ca="1" si="8"/>
        <v>P</v>
      </c>
      <c r="AF37" s="112" t="str">
        <f t="shared" ca="1" si="8"/>
        <v>R</v>
      </c>
      <c r="AG37" s="112" t="str">
        <f t="shared" ca="1" si="8"/>
        <v>P</v>
      </c>
      <c r="AH37" s="112" t="str">
        <f t="shared" ca="1" si="8"/>
        <v>P</v>
      </c>
      <c r="AI37" s="110">
        <f t="shared" si="4"/>
        <v>31</v>
      </c>
      <c r="AJ37" s="220">
        <f t="shared" ca="1" si="5"/>
        <v>25</v>
      </c>
      <c r="AK37" s="111">
        <f t="shared" ca="1" si="6"/>
        <v>6</v>
      </c>
    </row>
    <row r="38" spans="1:37" x14ac:dyDescent="0.25">
      <c r="A38" s="105">
        <v>1031</v>
      </c>
      <c r="B38" s="107" t="s">
        <v>252</v>
      </c>
      <c r="C38" s="103" t="s">
        <v>1113</v>
      </c>
      <c r="D38" s="112" t="str">
        <f t="shared" ca="1" si="9"/>
        <v>P</v>
      </c>
      <c r="E38" s="112" t="str">
        <f t="shared" ca="1" si="9"/>
        <v>P</v>
      </c>
      <c r="F38" s="112" t="str">
        <f t="shared" ca="1" si="9"/>
        <v>P</v>
      </c>
      <c r="G38" s="112" t="str">
        <f t="shared" ca="1" si="9"/>
        <v>P</v>
      </c>
      <c r="H38" s="112" t="str">
        <f t="shared" ca="1" si="9"/>
        <v>P</v>
      </c>
      <c r="I38" s="112" t="str">
        <f t="shared" ca="1" si="9"/>
        <v>P</v>
      </c>
      <c r="J38" s="112" t="str">
        <f t="shared" ca="1" si="9"/>
        <v>R</v>
      </c>
      <c r="K38" s="112" t="str">
        <f t="shared" ca="1" si="9"/>
        <v>P</v>
      </c>
      <c r="L38" s="112" t="str">
        <f t="shared" ca="1" si="9"/>
        <v>P</v>
      </c>
      <c r="M38" s="112" t="str">
        <f t="shared" ca="1" si="9"/>
        <v>P</v>
      </c>
      <c r="N38" s="112" t="str">
        <f t="shared" ca="1" si="9"/>
        <v>P</v>
      </c>
      <c r="O38" s="112" t="str">
        <f t="shared" ca="1" si="9"/>
        <v>R</v>
      </c>
      <c r="P38" s="112" t="str">
        <f t="shared" ca="1" si="9"/>
        <v>P</v>
      </c>
      <c r="Q38" s="112" t="str">
        <f t="shared" ca="1" si="9"/>
        <v>P</v>
      </c>
      <c r="R38" s="112" t="str">
        <f t="shared" ca="1" si="9"/>
        <v>P</v>
      </c>
      <c r="S38" s="112" t="str">
        <f t="shared" ca="1" si="9"/>
        <v>P</v>
      </c>
      <c r="T38" s="112" t="str">
        <f t="shared" ref="T38:AH53" ca="1" si="10">IF(T$6="","",IF(RAND()&lt;0.8,"P","R"))</f>
        <v>P</v>
      </c>
      <c r="U38" s="112" t="str">
        <f t="shared" ca="1" si="10"/>
        <v>P</v>
      </c>
      <c r="V38" s="112" t="str">
        <f t="shared" ca="1" si="10"/>
        <v>P</v>
      </c>
      <c r="W38" s="112" t="str">
        <f t="shared" ca="1" si="10"/>
        <v>P</v>
      </c>
      <c r="X38" s="112" t="str">
        <f t="shared" ca="1" si="10"/>
        <v>R</v>
      </c>
      <c r="Y38" s="112" t="str">
        <f t="shared" ca="1" si="10"/>
        <v>R</v>
      </c>
      <c r="Z38" s="112" t="str">
        <f t="shared" ca="1" si="10"/>
        <v>P</v>
      </c>
      <c r="AA38" s="112" t="str">
        <f t="shared" ca="1" si="10"/>
        <v>R</v>
      </c>
      <c r="AB38" s="112" t="str">
        <f t="shared" ca="1" si="10"/>
        <v>P</v>
      </c>
      <c r="AC38" s="112" t="str">
        <f t="shared" ca="1" si="10"/>
        <v>R</v>
      </c>
      <c r="AD38" s="112" t="str">
        <f t="shared" ca="1" si="10"/>
        <v>P</v>
      </c>
      <c r="AE38" s="112" t="str">
        <f t="shared" ca="1" si="10"/>
        <v>P</v>
      </c>
      <c r="AF38" s="112" t="str">
        <f t="shared" ca="1" si="10"/>
        <v>P</v>
      </c>
      <c r="AG38" s="112" t="str">
        <f t="shared" ca="1" si="10"/>
        <v>P</v>
      </c>
      <c r="AH38" s="112" t="str">
        <f t="shared" ca="1" si="10"/>
        <v>P</v>
      </c>
      <c r="AI38" s="110">
        <f t="shared" si="4"/>
        <v>31</v>
      </c>
      <c r="AJ38" s="220">
        <f t="shared" ca="1" si="5"/>
        <v>22</v>
      </c>
      <c r="AK38" s="111">
        <f t="shared" ca="1" si="6"/>
        <v>9</v>
      </c>
    </row>
    <row r="39" spans="1:37" x14ac:dyDescent="0.25">
      <c r="A39" s="105">
        <v>1032</v>
      </c>
      <c r="B39" s="107" t="s">
        <v>258</v>
      </c>
      <c r="C39" s="103" t="s">
        <v>1109</v>
      </c>
      <c r="D39" s="112" t="str">
        <f t="shared" ca="1" si="9"/>
        <v>P</v>
      </c>
      <c r="E39" s="112" t="str">
        <f t="shared" ca="1" si="9"/>
        <v>R</v>
      </c>
      <c r="F39" s="112" t="str">
        <f t="shared" ca="1" si="9"/>
        <v>R</v>
      </c>
      <c r="G39" s="112" t="str">
        <f t="shared" ca="1" si="9"/>
        <v>P</v>
      </c>
      <c r="H39" s="112" t="str">
        <f t="shared" ca="1" si="9"/>
        <v>P</v>
      </c>
      <c r="I39" s="112" t="str">
        <f t="shared" ca="1" si="9"/>
        <v>P</v>
      </c>
      <c r="J39" s="112" t="str">
        <f t="shared" ca="1" si="9"/>
        <v>P</v>
      </c>
      <c r="K39" s="112" t="str">
        <f t="shared" ca="1" si="9"/>
        <v>P</v>
      </c>
      <c r="L39" s="112" t="str">
        <f t="shared" ca="1" si="9"/>
        <v>R</v>
      </c>
      <c r="M39" s="112" t="str">
        <f t="shared" ca="1" si="9"/>
        <v>P</v>
      </c>
      <c r="N39" s="112" t="str">
        <f t="shared" ca="1" si="9"/>
        <v>P</v>
      </c>
      <c r="O39" s="112" t="str">
        <f t="shared" ca="1" si="9"/>
        <v>P</v>
      </c>
      <c r="P39" s="112" t="str">
        <f t="shared" ca="1" si="9"/>
        <v>R</v>
      </c>
      <c r="Q39" s="112" t="str">
        <f t="shared" ca="1" si="9"/>
        <v>P</v>
      </c>
      <c r="R39" s="112" t="str">
        <f t="shared" ca="1" si="9"/>
        <v>P</v>
      </c>
      <c r="S39" s="112" t="str">
        <f t="shared" ref="S39:AH54" ca="1" si="11">IF(S$6="","",IF(RAND()&lt;0.8,"P","R"))</f>
        <v>P</v>
      </c>
      <c r="T39" s="112" t="str">
        <f t="shared" ca="1" si="10"/>
        <v>P</v>
      </c>
      <c r="U39" s="112" t="str">
        <f t="shared" ca="1" si="10"/>
        <v>P</v>
      </c>
      <c r="V39" s="112" t="str">
        <f t="shared" ca="1" si="10"/>
        <v>P</v>
      </c>
      <c r="W39" s="112" t="str">
        <f t="shared" ca="1" si="10"/>
        <v>R</v>
      </c>
      <c r="X39" s="112" t="str">
        <f t="shared" ca="1" si="10"/>
        <v>P</v>
      </c>
      <c r="Y39" s="112" t="str">
        <f t="shared" ca="1" si="10"/>
        <v>R</v>
      </c>
      <c r="Z39" s="112" t="str">
        <f t="shared" ca="1" si="10"/>
        <v>P</v>
      </c>
      <c r="AA39" s="112" t="str">
        <f t="shared" ca="1" si="10"/>
        <v>P</v>
      </c>
      <c r="AB39" s="112" t="str">
        <f t="shared" ca="1" si="10"/>
        <v>P</v>
      </c>
      <c r="AC39" s="112" t="str">
        <f t="shared" ca="1" si="10"/>
        <v>R</v>
      </c>
      <c r="AD39" s="112" t="str">
        <f t="shared" ca="1" si="10"/>
        <v>R</v>
      </c>
      <c r="AE39" s="112" t="str">
        <f t="shared" ca="1" si="10"/>
        <v>P</v>
      </c>
      <c r="AF39" s="112" t="str">
        <f t="shared" ca="1" si="10"/>
        <v>P</v>
      </c>
      <c r="AG39" s="112" t="str">
        <f t="shared" ca="1" si="10"/>
        <v>P</v>
      </c>
      <c r="AH39" s="112" t="str">
        <f t="shared" ca="1" si="10"/>
        <v>R</v>
      </c>
      <c r="AI39" s="110">
        <f t="shared" si="4"/>
        <v>31</v>
      </c>
      <c r="AJ39" s="220">
        <f t="shared" ca="1" si="5"/>
        <v>26</v>
      </c>
      <c r="AK39" s="111">
        <f t="shared" ca="1" si="6"/>
        <v>5</v>
      </c>
    </row>
    <row r="40" spans="1:37" x14ac:dyDescent="0.25">
      <c r="A40" s="105">
        <v>1033</v>
      </c>
      <c r="B40" s="107" t="s">
        <v>265</v>
      </c>
      <c r="C40" s="103" t="s">
        <v>1110</v>
      </c>
      <c r="D40" s="112" t="str">
        <f t="shared" ref="D40:S55" ca="1" si="12">IF(D$6="","",IF(RAND()&lt;0.8,"P","R"))</f>
        <v>P</v>
      </c>
      <c r="E40" s="112" t="str">
        <f t="shared" ca="1" si="12"/>
        <v>P</v>
      </c>
      <c r="F40" s="112" t="str">
        <f t="shared" ca="1" si="12"/>
        <v>P</v>
      </c>
      <c r="G40" s="112" t="str">
        <f t="shared" ca="1" si="12"/>
        <v>R</v>
      </c>
      <c r="H40" s="112" t="str">
        <f t="shared" ca="1" si="12"/>
        <v>P</v>
      </c>
      <c r="I40" s="112" t="str">
        <f t="shared" ca="1" si="12"/>
        <v>R</v>
      </c>
      <c r="J40" s="112" t="str">
        <f t="shared" ca="1" si="12"/>
        <v>P</v>
      </c>
      <c r="K40" s="112" t="str">
        <f t="shared" ca="1" si="12"/>
        <v>P</v>
      </c>
      <c r="L40" s="112" t="str">
        <f t="shared" ca="1" si="12"/>
        <v>R</v>
      </c>
      <c r="M40" s="112" t="str">
        <f t="shared" ca="1" si="12"/>
        <v>P</v>
      </c>
      <c r="N40" s="112" t="str">
        <f t="shared" ca="1" si="12"/>
        <v>P</v>
      </c>
      <c r="O40" s="112" t="str">
        <f t="shared" ca="1" si="12"/>
        <v>P</v>
      </c>
      <c r="P40" s="112" t="str">
        <f t="shared" ca="1" si="12"/>
        <v>P</v>
      </c>
      <c r="Q40" s="112" t="str">
        <f t="shared" ca="1" si="12"/>
        <v>P</v>
      </c>
      <c r="R40" s="112" t="str">
        <f t="shared" ca="1" si="12"/>
        <v>R</v>
      </c>
      <c r="S40" s="112" t="str">
        <f t="shared" ca="1" si="11"/>
        <v>P</v>
      </c>
      <c r="T40" s="112" t="str">
        <f t="shared" ca="1" si="10"/>
        <v>P</v>
      </c>
      <c r="U40" s="112" t="str">
        <f t="shared" ca="1" si="10"/>
        <v>P</v>
      </c>
      <c r="V40" s="112" t="str">
        <f t="shared" ca="1" si="10"/>
        <v>P</v>
      </c>
      <c r="W40" s="112" t="str">
        <f t="shared" ca="1" si="10"/>
        <v>P</v>
      </c>
      <c r="X40" s="112" t="str">
        <f t="shared" ca="1" si="10"/>
        <v>P</v>
      </c>
      <c r="Y40" s="112" t="str">
        <f t="shared" ca="1" si="10"/>
        <v>P</v>
      </c>
      <c r="Z40" s="112" t="str">
        <f t="shared" ca="1" si="10"/>
        <v>P</v>
      </c>
      <c r="AA40" s="112" t="str">
        <f t="shared" ca="1" si="10"/>
        <v>P</v>
      </c>
      <c r="AB40" s="112" t="str">
        <f t="shared" ca="1" si="10"/>
        <v>R</v>
      </c>
      <c r="AC40" s="112" t="str">
        <f t="shared" ca="1" si="10"/>
        <v>P</v>
      </c>
      <c r="AD40" s="112" t="str">
        <f t="shared" ca="1" si="10"/>
        <v>P</v>
      </c>
      <c r="AE40" s="112" t="str">
        <f t="shared" ca="1" si="10"/>
        <v>P</v>
      </c>
      <c r="AF40" s="112" t="str">
        <f t="shared" ca="1" si="10"/>
        <v>P</v>
      </c>
      <c r="AG40" s="112" t="str">
        <f t="shared" ca="1" si="10"/>
        <v>P</v>
      </c>
      <c r="AH40" s="112" t="str">
        <f t="shared" ca="1" si="10"/>
        <v>P</v>
      </c>
      <c r="AI40" s="110">
        <f t="shared" si="4"/>
        <v>31</v>
      </c>
      <c r="AJ40" s="220">
        <f t="shared" ca="1" si="5"/>
        <v>25</v>
      </c>
      <c r="AK40" s="111">
        <f t="shared" ca="1" si="6"/>
        <v>6</v>
      </c>
    </row>
    <row r="41" spans="1:37" x14ac:dyDescent="0.25">
      <c r="A41" s="105">
        <v>1034</v>
      </c>
      <c r="B41" s="107" t="s">
        <v>271</v>
      </c>
      <c r="C41" s="103" t="s">
        <v>1114</v>
      </c>
      <c r="D41" s="112" t="str">
        <f t="shared" ca="1" si="12"/>
        <v>R</v>
      </c>
      <c r="E41" s="112" t="str">
        <f t="shared" ca="1" si="12"/>
        <v>R</v>
      </c>
      <c r="F41" s="112" t="str">
        <f t="shared" ca="1" si="12"/>
        <v>P</v>
      </c>
      <c r="G41" s="112" t="str">
        <f t="shared" ca="1" si="12"/>
        <v>P</v>
      </c>
      <c r="H41" s="112" t="str">
        <f t="shared" ca="1" si="12"/>
        <v>P</v>
      </c>
      <c r="I41" s="112" t="str">
        <f t="shared" ca="1" si="12"/>
        <v>P</v>
      </c>
      <c r="J41" s="112" t="str">
        <f t="shared" ca="1" si="12"/>
        <v>P</v>
      </c>
      <c r="K41" s="112" t="str">
        <f t="shared" ca="1" si="12"/>
        <v>P</v>
      </c>
      <c r="L41" s="112" t="str">
        <f t="shared" ca="1" si="12"/>
        <v>P</v>
      </c>
      <c r="M41" s="112" t="str">
        <f t="shared" ca="1" si="12"/>
        <v>P</v>
      </c>
      <c r="N41" s="112" t="str">
        <f t="shared" ca="1" si="12"/>
        <v>P</v>
      </c>
      <c r="O41" s="112" t="str">
        <f t="shared" ca="1" si="12"/>
        <v>P</v>
      </c>
      <c r="P41" s="112" t="str">
        <f t="shared" ca="1" si="12"/>
        <v>P</v>
      </c>
      <c r="Q41" s="112" t="str">
        <f t="shared" ca="1" si="12"/>
        <v>P</v>
      </c>
      <c r="R41" s="112" t="str">
        <f t="shared" ca="1" si="12"/>
        <v>P</v>
      </c>
      <c r="S41" s="112" t="str">
        <f t="shared" ca="1" si="11"/>
        <v>P</v>
      </c>
      <c r="T41" s="112" t="str">
        <f t="shared" ca="1" si="10"/>
        <v>P</v>
      </c>
      <c r="U41" s="112" t="str">
        <f t="shared" ca="1" si="10"/>
        <v>R</v>
      </c>
      <c r="V41" s="112" t="str">
        <f t="shared" ca="1" si="10"/>
        <v>P</v>
      </c>
      <c r="W41" s="112" t="str">
        <f t="shared" ca="1" si="10"/>
        <v>P</v>
      </c>
      <c r="X41" s="112" t="str">
        <f t="shared" ca="1" si="10"/>
        <v>P</v>
      </c>
      <c r="Y41" s="112" t="str">
        <f t="shared" ca="1" si="10"/>
        <v>P</v>
      </c>
      <c r="Z41" s="112" t="str">
        <f t="shared" ca="1" si="10"/>
        <v>P</v>
      </c>
      <c r="AA41" s="112" t="str">
        <f t="shared" ca="1" si="10"/>
        <v>P</v>
      </c>
      <c r="AB41" s="112" t="str">
        <f t="shared" ca="1" si="10"/>
        <v>P</v>
      </c>
      <c r="AC41" s="112" t="str">
        <f t="shared" ca="1" si="10"/>
        <v>R</v>
      </c>
      <c r="AD41" s="112" t="str">
        <f t="shared" ca="1" si="10"/>
        <v>P</v>
      </c>
      <c r="AE41" s="112" t="str">
        <f t="shared" ca="1" si="10"/>
        <v>P</v>
      </c>
      <c r="AF41" s="112" t="str">
        <f t="shared" ca="1" si="10"/>
        <v>R</v>
      </c>
      <c r="AG41" s="112" t="str">
        <f t="shared" ca="1" si="10"/>
        <v>R</v>
      </c>
      <c r="AH41" s="112" t="str">
        <f t="shared" ca="1" si="10"/>
        <v>P</v>
      </c>
      <c r="AI41" s="110">
        <f t="shared" si="4"/>
        <v>31</v>
      </c>
      <c r="AJ41" s="220">
        <f t="shared" ca="1" si="5"/>
        <v>24</v>
      </c>
      <c r="AK41" s="111">
        <f t="shared" ca="1" si="6"/>
        <v>7</v>
      </c>
    </row>
    <row r="42" spans="1:37" x14ac:dyDescent="0.25">
      <c r="A42" s="105">
        <v>1035</v>
      </c>
      <c r="B42" s="107" t="s">
        <v>277</v>
      </c>
      <c r="C42" s="103" t="s">
        <v>1115</v>
      </c>
      <c r="D42" s="112" t="str">
        <f t="shared" ca="1" si="12"/>
        <v>P</v>
      </c>
      <c r="E42" s="112" t="str">
        <f t="shared" ca="1" si="12"/>
        <v>P</v>
      </c>
      <c r="F42" s="112" t="str">
        <f t="shared" ca="1" si="12"/>
        <v>P</v>
      </c>
      <c r="G42" s="112" t="str">
        <f t="shared" ca="1" si="12"/>
        <v>P</v>
      </c>
      <c r="H42" s="112" t="str">
        <f t="shared" ca="1" si="12"/>
        <v>P</v>
      </c>
      <c r="I42" s="112" t="str">
        <f t="shared" ca="1" si="12"/>
        <v>P</v>
      </c>
      <c r="J42" s="112" t="str">
        <f t="shared" ca="1" si="12"/>
        <v>P</v>
      </c>
      <c r="K42" s="112" t="str">
        <f t="shared" ca="1" si="12"/>
        <v>R</v>
      </c>
      <c r="L42" s="112" t="str">
        <f t="shared" ca="1" si="12"/>
        <v>P</v>
      </c>
      <c r="M42" s="112" t="str">
        <f t="shared" ca="1" si="12"/>
        <v>P</v>
      </c>
      <c r="N42" s="112" t="str">
        <f t="shared" ca="1" si="12"/>
        <v>P</v>
      </c>
      <c r="O42" s="112" t="str">
        <f t="shared" ca="1" si="12"/>
        <v>R</v>
      </c>
      <c r="P42" s="112" t="str">
        <f t="shared" ca="1" si="12"/>
        <v>P</v>
      </c>
      <c r="Q42" s="112" t="str">
        <f t="shared" ca="1" si="12"/>
        <v>P</v>
      </c>
      <c r="R42" s="112" t="str">
        <f t="shared" ca="1" si="12"/>
        <v>P</v>
      </c>
      <c r="S42" s="112" t="str">
        <f t="shared" ca="1" si="11"/>
        <v>P</v>
      </c>
      <c r="T42" s="112" t="str">
        <f t="shared" ca="1" si="10"/>
        <v>P</v>
      </c>
      <c r="U42" s="112" t="str">
        <f t="shared" ca="1" si="10"/>
        <v>P</v>
      </c>
      <c r="V42" s="112" t="str">
        <f t="shared" ca="1" si="10"/>
        <v>R</v>
      </c>
      <c r="W42" s="112" t="str">
        <f t="shared" ca="1" si="10"/>
        <v>P</v>
      </c>
      <c r="X42" s="112" t="str">
        <f t="shared" ca="1" si="10"/>
        <v>P</v>
      </c>
      <c r="Y42" s="112" t="str">
        <f t="shared" ca="1" si="10"/>
        <v>P</v>
      </c>
      <c r="Z42" s="112" t="str">
        <f t="shared" ca="1" si="10"/>
        <v>P</v>
      </c>
      <c r="AA42" s="112" t="str">
        <f t="shared" ca="1" si="10"/>
        <v>R</v>
      </c>
      <c r="AB42" s="112" t="str">
        <f t="shared" ca="1" si="10"/>
        <v>P</v>
      </c>
      <c r="AC42" s="112" t="str">
        <f t="shared" ca="1" si="10"/>
        <v>P</v>
      </c>
      <c r="AD42" s="112" t="str">
        <f t="shared" ca="1" si="10"/>
        <v>P</v>
      </c>
      <c r="AE42" s="112" t="str">
        <f t="shared" ca="1" si="10"/>
        <v>R</v>
      </c>
      <c r="AF42" s="112" t="str">
        <f t="shared" ca="1" si="10"/>
        <v>R</v>
      </c>
      <c r="AG42" s="112" t="str">
        <f t="shared" ca="1" si="10"/>
        <v>R</v>
      </c>
      <c r="AH42" s="112" t="str">
        <f t="shared" ca="1" si="10"/>
        <v>P</v>
      </c>
      <c r="AI42" s="110">
        <f t="shared" si="4"/>
        <v>31</v>
      </c>
      <c r="AJ42" s="220">
        <f t="shared" ca="1" si="5"/>
        <v>22</v>
      </c>
      <c r="AK42" s="111">
        <f t="shared" ca="1" si="6"/>
        <v>9</v>
      </c>
    </row>
    <row r="43" spans="1:37" x14ac:dyDescent="0.25">
      <c r="A43" s="105">
        <v>1036</v>
      </c>
      <c r="B43" s="107" t="s">
        <v>284</v>
      </c>
      <c r="C43" s="103" t="s">
        <v>1113</v>
      </c>
      <c r="D43" s="112" t="str">
        <f t="shared" ca="1" si="12"/>
        <v>P</v>
      </c>
      <c r="E43" s="112" t="str">
        <f t="shared" ca="1" si="12"/>
        <v>R</v>
      </c>
      <c r="F43" s="112" t="str">
        <f t="shared" ca="1" si="12"/>
        <v>P</v>
      </c>
      <c r="G43" s="112" t="str">
        <f t="shared" ca="1" si="12"/>
        <v>P</v>
      </c>
      <c r="H43" s="112" t="str">
        <f t="shared" ca="1" si="12"/>
        <v>P</v>
      </c>
      <c r="I43" s="112" t="str">
        <f t="shared" ca="1" si="12"/>
        <v>R</v>
      </c>
      <c r="J43" s="112" t="str">
        <f t="shared" ca="1" si="12"/>
        <v>R</v>
      </c>
      <c r="K43" s="112" t="str">
        <f t="shared" ca="1" si="12"/>
        <v>R</v>
      </c>
      <c r="L43" s="112" t="str">
        <f t="shared" ca="1" si="12"/>
        <v>P</v>
      </c>
      <c r="M43" s="112" t="str">
        <f t="shared" ca="1" si="12"/>
        <v>P</v>
      </c>
      <c r="N43" s="112" t="str">
        <f t="shared" ca="1" si="12"/>
        <v>P</v>
      </c>
      <c r="O43" s="112" t="str">
        <f t="shared" ca="1" si="12"/>
        <v>R</v>
      </c>
      <c r="P43" s="112" t="str">
        <f t="shared" ca="1" si="12"/>
        <v>P</v>
      </c>
      <c r="Q43" s="112" t="str">
        <f t="shared" ca="1" si="12"/>
        <v>P</v>
      </c>
      <c r="R43" s="112" t="str">
        <f t="shared" ca="1" si="12"/>
        <v>R</v>
      </c>
      <c r="S43" s="112" t="str">
        <f t="shared" ca="1" si="11"/>
        <v>P</v>
      </c>
      <c r="T43" s="112" t="str">
        <f t="shared" ca="1" si="10"/>
        <v>P</v>
      </c>
      <c r="U43" s="112" t="str">
        <f t="shared" ca="1" si="10"/>
        <v>P</v>
      </c>
      <c r="V43" s="112" t="str">
        <f t="shared" ca="1" si="10"/>
        <v>P</v>
      </c>
      <c r="W43" s="112" t="str">
        <f t="shared" ca="1" si="10"/>
        <v>P</v>
      </c>
      <c r="X43" s="112" t="str">
        <f t="shared" ca="1" si="10"/>
        <v>P</v>
      </c>
      <c r="Y43" s="112" t="str">
        <f t="shared" ca="1" si="10"/>
        <v>R</v>
      </c>
      <c r="Z43" s="112" t="str">
        <f t="shared" ca="1" si="10"/>
        <v>R</v>
      </c>
      <c r="AA43" s="112" t="str">
        <f t="shared" ca="1" si="10"/>
        <v>P</v>
      </c>
      <c r="AB43" s="112" t="str">
        <f t="shared" ca="1" si="10"/>
        <v>R</v>
      </c>
      <c r="AC43" s="112" t="str">
        <f t="shared" ca="1" si="10"/>
        <v>P</v>
      </c>
      <c r="AD43" s="112" t="str">
        <f t="shared" ca="1" si="10"/>
        <v>P</v>
      </c>
      <c r="AE43" s="112" t="str">
        <f t="shared" ca="1" si="10"/>
        <v>P</v>
      </c>
      <c r="AF43" s="112" t="str">
        <f t="shared" ca="1" si="10"/>
        <v>P</v>
      </c>
      <c r="AG43" s="112" t="str">
        <f t="shared" ca="1" si="10"/>
        <v>P</v>
      </c>
      <c r="AH43" s="112" t="str">
        <f t="shared" ca="1" si="10"/>
        <v>P</v>
      </c>
      <c r="AI43" s="110">
        <f t="shared" si="4"/>
        <v>31</v>
      </c>
      <c r="AJ43" s="220">
        <f t="shared" ca="1" si="5"/>
        <v>22</v>
      </c>
      <c r="AK43" s="111">
        <f t="shared" ca="1" si="6"/>
        <v>9</v>
      </c>
    </row>
    <row r="44" spans="1:37" x14ac:dyDescent="0.25">
      <c r="A44" s="105">
        <v>1037</v>
      </c>
      <c r="B44" s="107" t="s">
        <v>290</v>
      </c>
      <c r="C44" s="103" t="s">
        <v>1108</v>
      </c>
      <c r="D44" s="112" t="str">
        <f t="shared" ca="1" si="12"/>
        <v>P</v>
      </c>
      <c r="E44" s="112" t="str">
        <f t="shared" ca="1" si="12"/>
        <v>P</v>
      </c>
      <c r="F44" s="112" t="str">
        <f t="shared" ca="1" si="12"/>
        <v>R</v>
      </c>
      <c r="G44" s="112" t="str">
        <f t="shared" ca="1" si="12"/>
        <v>P</v>
      </c>
      <c r="H44" s="112" t="str">
        <f t="shared" ca="1" si="12"/>
        <v>P</v>
      </c>
      <c r="I44" s="112" t="str">
        <f t="shared" ca="1" si="12"/>
        <v>P</v>
      </c>
      <c r="J44" s="112" t="str">
        <f t="shared" ca="1" si="12"/>
        <v>P</v>
      </c>
      <c r="K44" s="112" t="str">
        <f t="shared" ca="1" si="12"/>
        <v>P</v>
      </c>
      <c r="L44" s="112" t="str">
        <f t="shared" ca="1" si="12"/>
        <v>P</v>
      </c>
      <c r="M44" s="112" t="str">
        <f t="shared" ca="1" si="12"/>
        <v>P</v>
      </c>
      <c r="N44" s="112" t="str">
        <f t="shared" ca="1" si="12"/>
        <v>P</v>
      </c>
      <c r="O44" s="112" t="str">
        <f t="shared" ca="1" si="12"/>
        <v>R</v>
      </c>
      <c r="P44" s="112" t="str">
        <f t="shared" ca="1" si="12"/>
        <v>R</v>
      </c>
      <c r="Q44" s="112" t="str">
        <f t="shared" ca="1" si="12"/>
        <v>P</v>
      </c>
      <c r="R44" s="112" t="str">
        <f t="shared" ca="1" si="12"/>
        <v>R</v>
      </c>
      <c r="S44" s="112" t="str">
        <f t="shared" ca="1" si="11"/>
        <v>P</v>
      </c>
      <c r="T44" s="112" t="str">
        <f t="shared" ca="1" si="10"/>
        <v>R</v>
      </c>
      <c r="U44" s="112" t="str">
        <f t="shared" ca="1" si="10"/>
        <v>R</v>
      </c>
      <c r="V44" s="112" t="str">
        <f t="shared" ca="1" si="10"/>
        <v>P</v>
      </c>
      <c r="W44" s="112" t="str">
        <f t="shared" ca="1" si="10"/>
        <v>P</v>
      </c>
      <c r="X44" s="112" t="str">
        <f t="shared" ca="1" si="10"/>
        <v>R</v>
      </c>
      <c r="Y44" s="112" t="str">
        <f t="shared" ca="1" si="10"/>
        <v>P</v>
      </c>
      <c r="Z44" s="112" t="str">
        <f t="shared" ca="1" si="10"/>
        <v>P</v>
      </c>
      <c r="AA44" s="112" t="str">
        <f t="shared" ca="1" si="10"/>
        <v>P</v>
      </c>
      <c r="AB44" s="112" t="str">
        <f t="shared" ca="1" si="10"/>
        <v>P</v>
      </c>
      <c r="AC44" s="112" t="str">
        <f t="shared" ca="1" si="10"/>
        <v>R</v>
      </c>
      <c r="AD44" s="112" t="str">
        <f t="shared" ca="1" si="10"/>
        <v>P</v>
      </c>
      <c r="AE44" s="112" t="str">
        <f t="shared" ca="1" si="10"/>
        <v>P</v>
      </c>
      <c r="AF44" s="112" t="str">
        <f t="shared" ca="1" si="10"/>
        <v>P</v>
      </c>
      <c r="AG44" s="112" t="str">
        <f t="shared" ca="1" si="10"/>
        <v>R</v>
      </c>
      <c r="AH44" s="112" t="str">
        <f t="shared" ca="1" si="10"/>
        <v>P</v>
      </c>
      <c r="AI44" s="110">
        <f t="shared" si="4"/>
        <v>31</v>
      </c>
      <c r="AJ44" s="220">
        <f t="shared" ca="1" si="5"/>
        <v>24</v>
      </c>
      <c r="AK44" s="111">
        <f t="shared" ca="1" si="6"/>
        <v>7</v>
      </c>
    </row>
    <row r="45" spans="1:37" x14ac:dyDescent="0.25">
      <c r="A45" s="105">
        <v>1038</v>
      </c>
      <c r="B45" s="107" t="s">
        <v>296</v>
      </c>
      <c r="C45" s="103" t="s">
        <v>1103</v>
      </c>
      <c r="D45" s="112" t="str">
        <f t="shared" ca="1" si="12"/>
        <v>P</v>
      </c>
      <c r="E45" s="112" t="str">
        <f t="shared" ca="1" si="12"/>
        <v>P</v>
      </c>
      <c r="F45" s="112" t="str">
        <f t="shared" ca="1" si="12"/>
        <v>P</v>
      </c>
      <c r="G45" s="112" t="str">
        <f t="shared" ca="1" si="12"/>
        <v>R</v>
      </c>
      <c r="H45" s="112" t="str">
        <f t="shared" ca="1" si="12"/>
        <v>P</v>
      </c>
      <c r="I45" s="112" t="str">
        <f t="shared" ca="1" si="12"/>
        <v>P</v>
      </c>
      <c r="J45" s="112" t="str">
        <f t="shared" ca="1" si="12"/>
        <v>R</v>
      </c>
      <c r="K45" s="112" t="str">
        <f t="shared" ca="1" si="12"/>
        <v>P</v>
      </c>
      <c r="L45" s="112" t="str">
        <f t="shared" ca="1" si="12"/>
        <v>P</v>
      </c>
      <c r="M45" s="112" t="str">
        <f t="shared" ca="1" si="12"/>
        <v>R</v>
      </c>
      <c r="N45" s="112" t="str">
        <f t="shared" ca="1" si="12"/>
        <v>P</v>
      </c>
      <c r="O45" s="112" t="str">
        <f t="shared" ca="1" si="12"/>
        <v>P</v>
      </c>
      <c r="P45" s="112" t="str">
        <f t="shared" ca="1" si="12"/>
        <v>P</v>
      </c>
      <c r="Q45" s="112" t="str">
        <f t="shared" ca="1" si="12"/>
        <v>P</v>
      </c>
      <c r="R45" s="112" t="str">
        <f t="shared" ca="1" si="12"/>
        <v>P</v>
      </c>
      <c r="S45" s="112" t="str">
        <f t="shared" ca="1" si="11"/>
        <v>R</v>
      </c>
      <c r="T45" s="112" t="str">
        <f t="shared" ca="1" si="10"/>
        <v>P</v>
      </c>
      <c r="U45" s="112" t="str">
        <f t="shared" ca="1" si="10"/>
        <v>P</v>
      </c>
      <c r="V45" s="112" t="str">
        <f t="shared" ca="1" si="10"/>
        <v>R</v>
      </c>
      <c r="W45" s="112" t="str">
        <f t="shared" ca="1" si="10"/>
        <v>P</v>
      </c>
      <c r="X45" s="112" t="str">
        <f t="shared" ca="1" si="10"/>
        <v>R</v>
      </c>
      <c r="Y45" s="112" t="str">
        <f t="shared" ca="1" si="10"/>
        <v>P</v>
      </c>
      <c r="Z45" s="112" t="str">
        <f t="shared" ca="1" si="10"/>
        <v>P</v>
      </c>
      <c r="AA45" s="112" t="str">
        <f t="shared" ca="1" si="10"/>
        <v>P</v>
      </c>
      <c r="AB45" s="112" t="str">
        <f t="shared" ca="1" si="10"/>
        <v>P</v>
      </c>
      <c r="AC45" s="112" t="str">
        <f t="shared" ca="1" si="10"/>
        <v>P</v>
      </c>
      <c r="AD45" s="112" t="str">
        <f t="shared" ca="1" si="10"/>
        <v>R</v>
      </c>
      <c r="AE45" s="112" t="str">
        <f t="shared" ca="1" si="10"/>
        <v>P</v>
      </c>
      <c r="AF45" s="112" t="str">
        <f t="shared" ca="1" si="10"/>
        <v>P</v>
      </c>
      <c r="AG45" s="112" t="str">
        <f t="shared" ca="1" si="10"/>
        <v>P</v>
      </c>
      <c r="AH45" s="112" t="str">
        <f t="shared" ca="1" si="10"/>
        <v>P</v>
      </c>
      <c r="AI45" s="110">
        <f t="shared" si="4"/>
        <v>31</v>
      </c>
      <c r="AJ45" s="220">
        <f t="shared" ca="1" si="5"/>
        <v>20</v>
      </c>
      <c r="AK45" s="111">
        <f t="shared" ca="1" si="6"/>
        <v>11</v>
      </c>
    </row>
    <row r="46" spans="1:37" x14ac:dyDescent="0.25">
      <c r="A46" s="105">
        <v>1039</v>
      </c>
      <c r="B46" s="107" t="s">
        <v>302</v>
      </c>
      <c r="C46" s="103" t="s">
        <v>1103</v>
      </c>
      <c r="D46" s="112" t="str">
        <f t="shared" ca="1" si="12"/>
        <v>R</v>
      </c>
      <c r="E46" s="112" t="str">
        <f t="shared" ca="1" si="12"/>
        <v>R</v>
      </c>
      <c r="F46" s="112" t="str">
        <f t="shared" ca="1" si="12"/>
        <v>R</v>
      </c>
      <c r="G46" s="112" t="str">
        <f t="shared" ca="1" si="12"/>
        <v>R</v>
      </c>
      <c r="H46" s="112" t="str">
        <f t="shared" ca="1" si="12"/>
        <v>P</v>
      </c>
      <c r="I46" s="112" t="str">
        <f t="shared" ca="1" si="12"/>
        <v>P</v>
      </c>
      <c r="J46" s="112" t="str">
        <f t="shared" ca="1" si="12"/>
        <v>P</v>
      </c>
      <c r="K46" s="112" t="str">
        <f t="shared" ca="1" si="12"/>
        <v>P</v>
      </c>
      <c r="L46" s="112" t="str">
        <f t="shared" ca="1" si="12"/>
        <v>P</v>
      </c>
      <c r="M46" s="112" t="str">
        <f t="shared" ca="1" si="12"/>
        <v>P</v>
      </c>
      <c r="N46" s="112" t="str">
        <f t="shared" ca="1" si="12"/>
        <v>R</v>
      </c>
      <c r="O46" s="112" t="str">
        <f t="shared" ca="1" si="12"/>
        <v>P</v>
      </c>
      <c r="P46" s="112" t="str">
        <f t="shared" ca="1" si="12"/>
        <v>R</v>
      </c>
      <c r="Q46" s="112" t="str">
        <f t="shared" ca="1" si="12"/>
        <v>P</v>
      </c>
      <c r="R46" s="112" t="str">
        <f t="shared" ca="1" si="12"/>
        <v>P</v>
      </c>
      <c r="S46" s="112" t="str">
        <f t="shared" ca="1" si="11"/>
        <v>P</v>
      </c>
      <c r="T46" s="112" t="str">
        <f t="shared" ca="1" si="10"/>
        <v>R</v>
      </c>
      <c r="U46" s="112" t="str">
        <f t="shared" ca="1" si="10"/>
        <v>P</v>
      </c>
      <c r="V46" s="112" t="str">
        <f t="shared" ca="1" si="10"/>
        <v>P</v>
      </c>
      <c r="W46" s="112" t="str">
        <f t="shared" ca="1" si="10"/>
        <v>P</v>
      </c>
      <c r="X46" s="112" t="str">
        <f t="shared" ca="1" si="10"/>
        <v>P</v>
      </c>
      <c r="Y46" s="112" t="str">
        <f t="shared" ca="1" si="10"/>
        <v>P</v>
      </c>
      <c r="Z46" s="112" t="str">
        <f t="shared" ca="1" si="10"/>
        <v>P</v>
      </c>
      <c r="AA46" s="112" t="str">
        <f t="shared" ca="1" si="10"/>
        <v>P</v>
      </c>
      <c r="AB46" s="112" t="str">
        <f t="shared" ca="1" si="10"/>
        <v>P</v>
      </c>
      <c r="AC46" s="112" t="str">
        <f t="shared" ca="1" si="10"/>
        <v>P</v>
      </c>
      <c r="AD46" s="112" t="str">
        <f t="shared" ca="1" si="10"/>
        <v>P</v>
      </c>
      <c r="AE46" s="112" t="str">
        <f t="shared" ca="1" si="10"/>
        <v>R</v>
      </c>
      <c r="AF46" s="112" t="str">
        <f t="shared" ca="1" si="10"/>
        <v>R</v>
      </c>
      <c r="AG46" s="112" t="str">
        <f t="shared" ca="1" si="10"/>
        <v>R</v>
      </c>
      <c r="AH46" s="112" t="str">
        <f t="shared" ca="1" si="10"/>
        <v>R</v>
      </c>
      <c r="AI46" s="110">
        <f t="shared" si="4"/>
        <v>31</v>
      </c>
      <c r="AJ46" s="220">
        <f t="shared" ca="1" si="5"/>
        <v>24</v>
      </c>
      <c r="AK46" s="111">
        <f t="shared" ca="1" si="6"/>
        <v>7</v>
      </c>
    </row>
    <row r="47" spans="1:37" x14ac:dyDescent="0.25">
      <c r="A47" s="105">
        <v>1040</v>
      </c>
      <c r="B47" s="107" t="s">
        <v>73</v>
      </c>
      <c r="C47" s="103" t="s">
        <v>1108</v>
      </c>
      <c r="D47" s="112" t="str">
        <f t="shared" ca="1" si="12"/>
        <v>P</v>
      </c>
      <c r="E47" s="112" t="str">
        <f t="shared" ca="1" si="12"/>
        <v>P</v>
      </c>
      <c r="F47" s="112" t="str">
        <f t="shared" ca="1" si="12"/>
        <v>P</v>
      </c>
      <c r="G47" s="112" t="str">
        <f t="shared" ca="1" si="12"/>
        <v>P</v>
      </c>
      <c r="H47" s="112" t="str">
        <f t="shared" ca="1" si="12"/>
        <v>P</v>
      </c>
      <c r="I47" s="112" t="str">
        <f t="shared" ca="1" si="12"/>
        <v>P</v>
      </c>
      <c r="J47" s="112" t="str">
        <f t="shared" ca="1" si="12"/>
        <v>P</v>
      </c>
      <c r="K47" s="112" t="str">
        <f t="shared" ca="1" si="12"/>
        <v>P</v>
      </c>
      <c r="L47" s="112" t="str">
        <f t="shared" ca="1" si="12"/>
        <v>P</v>
      </c>
      <c r="M47" s="112" t="str">
        <f t="shared" ca="1" si="12"/>
        <v>P</v>
      </c>
      <c r="N47" s="112" t="str">
        <f t="shared" ca="1" si="12"/>
        <v>R</v>
      </c>
      <c r="O47" s="112" t="str">
        <f t="shared" ca="1" si="12"/>
        <v>R</v>
      </c>
      <c r="P47" s="112" t="str">
        <f t="shared" ca="1" si="12"/>
        <v>R</v>
      </c>
      <c r="Q47" s="112" t="str">
        <f t="shared" ca="1" si="12"/>
        <v>P</v>
      </c>
      <c r="R47" s="112" t="str">
        <f t="shared" ca="1" si="12"/>
        <v>P</v>
      </c>
      <c r="S47" s="112" t="str">
        <f t="shared" ca="1" si="11"/>
        <v>R</v>
      </c>
      <c r="T47" s="112" t="str">
        <f t="shared" ca="1" si="10"/>
        <v>P</v>
      </c>
      <c r="U47" s="112" t="str">
        <f t="shared" ca="1" si="10"/>
        <v>R</v>
      </c>
      <c r="V47" s="112" t="str">
        <f t="shared" ca="1" si="10"/>
        <v>R</v>
      </c>
      <c r="W47" s="112" t="str">
        <f t="shared" ca="1" si="10"/>
        <v>R</v>
      </c>
      <c r="X47" s="112" t="str">
        <f t="shared" ca="1" si="10"/>
        <v>P</v>
      </c>
      <c r="Y47" s="112" t="str">
        <f t="shared" ca="1" si="10"/>
        <v>P</v>
      </c>
      <c r="Z47" s="112" t="str">
        <f t="shared" ca="1" si="10"/>
        <v>P</v>
      </c>
      <c r="AA47" s="112" t="str">
        <f t="shared" ca="1" si="10"/>
        <v>P</v>
      </c>
      <c r="AB47" s="112" t="str">
        <f t="shared" ca="1" si="10"/>
        <v>P</v>
      </c>
      <c r="AC47" s="112" t="str">
        <f t="shared" ca="1" si="10"/>
        <v>P</v>
      </c>
      <c r="AD47" s="112" t="str">
        <f t="shared" ca="1" si="10"/>
        <v>P</v>
      </c>
      <c r="AE47" s="112" t="str">
        <f t="shared" ca="1" si="10"/>
        <v>P</v>
      </c>
      <c r="AF47" s="112" t="str">
        <f t="shared" ca="1" si="10"/>
        <v>P</v>
      </c>
      <c r="AG47" s="112" t="str">
        <f t="shared" ca="1" si="10"/>
        <v>P</v>
      </c>
      <c r="AH47" s="112" t="str">
        <f t="shared" ca="1" si="10"/>
        <v>P</v>
      </c>
      <c r="AI47" s="110">
        <f t="shared" si="4"/>
        <v>31</v>
      </c>
      <c r="AJ47" s="220">
        <f t="shared" ca="1" si="5"/>
        <v>22</v>
      </c>
      <c r="AK47" s="111">
        <f t="shared" ca="1" si="6"/>
        <v>9</v>
      </c>
    </row>
    <row r="48" spans="1:37" x14ac:dyDescent="0.25">
      <c r="A48" s="105">
        <v>1041</v>
      </c>
      <c r="B48" s="107" t="s">
        <v>313</v>
      </c>
      <c r="C48" s="103" t="s">
        <v>1113</v>
      </c>
      <c r="D48" s="112" t="str">
        <f t="shared" ca="1" si="12"/>
        <v>P</v>
      </c>
      <c r="E48" s="112" t="str">
        <f t="shared" ca="1" si="12"/>
        <v>P</v>
      </c>
      <c r="F48" s="112" t="str">
        <f t="shared" ca="1" si="12"/>
        <v>P</v>
      </c>
      <c r="G48" s="112" t="str">
        <f t="shared" ca="1" si="12"/>
        <v>R</v>
      </c>
      <c r="H48" s="112" t="str">
        <f t="shared" ca="1" si="12"/>
        <v>P</v>
      </c>
      <c r="I48" s="112" t="str">
        <f t="shared" ca="1" si="12"/>
        <v>P</v>
      </c>
      <c r="J48" s="112" t="str">
        <f t="shared" ca="1" si="12"/>
        <v>R</v>
      </c>
      <c r="K48" s="112" t="str">
        <f t="shared" ca="1" si="12"/>
        <v>P</v>
      </c>
      <c r="L48" s="112" t="str">
        <f t="shared" ca="1" si="12"/>
        <v>P</v>
      </c>
      <c r="M48" s="112" t="str">
        <f t="shared" ca="1" si="12"/>
        <v>P</v>
      </c>
      <c r="N48" s="112" t="str">
        <f t="shared" ca="1" si="12"/>
        <v>P</v>
      </c>
      <c r="O48" s="112" t="str">
        <f t="shared" ca="1" si="12"/>
        <v>P</v>
      </c>
      <c r="P48" s="112" t="str">
        <f t="shared" ca="1" si="12"/>
        <v>P</v>
      </c>
      <c r="Q48" s="112" t="str">
        <f t="shared" ca="1" si="12"/>
        <v>P</v>
      </c>
      <c r="R48" s="112" t="str">
        <f t="shared" ca="1" si="12"/>
        <v>P</v>
      </c>
      <c r="S48" s="112" t="str">
        <f t="shared" ca="1" si="11"/>
        <v>R</v>
      </c>
      <c r="T48" s="112" t="str">
        <f t="shared" ca="1" si="10"/>
        <v>P</v>
      </c>
      <c r="U48" s="112" t="str">
        <f t="shared" ca="1" si="10"/>
        <v>P</v>
      </c>
      <c r="V48" s="112" t="str">
        <f t="shared" ca="1" si="10"/>
        <v>P</v>
      </c>
      <c r="W48" s="112" t="str">
        <f t="shared" ca="1" si="10"/>
        <v>R</v>
      </c>
      <c r="X48" s="112" t="str">
        <f t="shared" ca="1" si="10"/>
        <v>P</v>
      </c>
      <c r="Y48" s="112" t="str">
        <f t="shared" ca="1" si="10"/>
        <v>P</v>
      </c>
      <c r="Z48" s="112" t="str">
        <f t="shared" ca="1" si="10"/>
        <v>P</v>
      </c>
      <c r="AA48" s="112" t="str">
        <f t="shared" ca="1" si="10"/>
        <v>R</v>
      </c>
      <c r="AB48" s="112" t="str">
        <f t="shared" ca="1" si="10"/>
        <v>R</v>
      </c>
      <c r="AC48" s="112" t="str">
        <f t="shared" ca="1" si="10"/>
        <v>R</v>
      </c>
      <c r="AD48" s="112" t="str">
        <f t="shared" ca="1" si="10"/>
        <v>R</v>
      </c>
      <c r="AE48" s="112" t="str">
        <f t="shared" ca="1" si="10"/>
        <v>P</v>
      </c>
      <c r="AF48" s="112" t="str">
        <f t="shared" ca="1" si="10"/>
        <v>P</v>
      </c>
      <c r="AG48" s="112" t="str">
        <f t="shared" ca="1" si="10"/>
        <v>P</v>
      </c>
      <c r="AH48" s="112" t="str">
        <f t="shared" ca="1" si="10"/>
        <v>R</v>
      </c>
      <c r="AI48" s="110">
        <f t="shared" si="4"/>
        <v>31</v>
      </c>
      <c r="AJ48" s="220">
        <f t="shared" ca="1" si="5"/>
        <v>29</v>
      </c>
      <c r="AK48" s="111">
        <f t="shared" ca="1" si="6"/>
        <v>2</v>
      </c>
    </row>
    <row r="49" spans="1:37" x14ac:dyDescent="0.25">
      <c r="A49" s="105">
        <v>1042</v>
      </c>
      <c r="B49" s="107" t="s">
        <v>319</v>
      </c>
      <c r="C49" s="103" t="s">
        <v>1110</v>
      </c>
      <c r="D49" s="112" t="str">
        <f t="shared" ca="1" si="12"/>
        <v>P</v>
      </c>
      <c r="E49" s="112" t="str">
        <f t="shared" ca="1" si="12"/>
        <v>P</v>
      </c>
      <c r="F49" s="112" t="str">
        <f t="shared" ca="1" si="12"/>
        <v>P</v>
      </c>
      <c r="G49" s="112" t="str">
        <f t="shared" ca="1" si="12"/>
        <v>P</v>
      </c>
      <c r="H49" s="112" t="str">
        <f t="shared" ca="1" si="12"/>
        <v>P</v>
      </c>
      <c r="I49" s="112" t="str">
        <f t="shared" ca="1" si="12"/>
        <v>P</v>
      </c>
      <c r="J49" s="112" t="str">
        <f t="shared" ca="1" si="12"/>
        <v>P</v>
      </c>
      <c r="K49" s="112" t="str">
        <f t="shared" ca="1" si="12"/>
        <v>P</v>
      </c>
      <c r="L49" s="112" t="str">
        <f t="shared" ca="1" si="12"/>
        <v>P</v>
      </c>
      <c r="M49" s="112" t="str">
        <f t="shared" ca="1" si="12"/>
        <v>P</v>
      </c>
      <c r="N49" s="112" t="str">
        <f t="shared" ca="1" si="12"/>
        <v>P</v>
      </c>
      <c r="O49" s="112" t="str">
        <f t="shared" ca="1" si="12"/>
        <v>P</v>
      </c>
      <c r="P49" s="112" t="str">
        <f t="shared" ca="1" si="12"/>
        <v>P</v>
      </c>
      <c r="Q49" s="112" t="str">
        <f t="shared" ca="1" si="12"/>
        <v>P</v>
      </c>
      <c r="R49" s="112" t="str">
        <f t="shared" ca="1" si="12"/>
        <v>P</v>
      </c>
      <c r="S49" s="112" t="str">
        <f t="shared" ca="1" si="11"/>
        <v>P</v>
      </c>
      <c r="T49" s="112" t="str">
        <f t="shared" ca="1" si="10"/>
        <v>P</v>
      </c>
      <c r="U49" s="112" t="str">
        <f t="shared" ca="1" si="10"/>
        <v>P</v>
      </c>
      <c r="V49" s="112" t="str">
        <f t="shared" ca="1" si="10"/>
        <v>P</v>
      </c>
      <c r="W49" s="112" t="str">
        <f t="shared" ca="1" si="10"/>
        <v>P</v>
      </c>
      <c r="X49" s="112" t="str">
        <f t="shared" ca="1" si="10"/>
        <v>R</v>
      </c>
      <c r="Y49" s="112" t="str">
        <f t="shared" ca="1" si="10"/>
        <v>P</v>
      </c>
      <c r="Z49" s="112" t="str">
        <f t="shared" ca="1" si="10"/>
        <v>P</v>
      </c>
      <c r="AA49" s="112" t="str">
        <f t="shared" ca="1" si="10"/>
        <v>P</v>
      </c>
      <c r="AB49" s="112" t="str">
        <f t="shared" ca="1" si="10"/>
        <v>P</v>
      </c>
      <c r="AC49" s="112" t="str">
        <f t="shared" ca="1" si="10"/>
        <v>P</v>
      </c>
      <c r="AD49" s="112" t="str">
        <f t="shared" ca="1" si="10"/>
        <v>P</v>
      </c>
      <c r="AE49" s="112" t="str">
        <f t="shared" ca="1" si="10"/>
        <v>P</v>
      </c>
      <c r="AF49" s="112" t="str">
        <f t="shared" ca="1" si="10"/>
        <v>P</v>
      </c>
      <c r="AG49" s="112" t="str">
        <f t="shared" ca="1" si="10"/>
        <v>P</v>
      </c>
      <c r="AH49" s="112" t="str">
        <f t="shared" ca="1" si="10"/>
        <v>R</v>
      </c>
      <c r="AI49" s="110">
        <f t="shared" si="4"/>
        <v>31</v>
      </c>
      <c r="AJ49" s="220">
        <f t="shared" ca="1" si="5"/>
        <v>26</v>
      </c>
      <c r="AK49" s="111">
        <f t="shared" ca="1" si="6"/>
        <v>5</v>
      </c>
    </row>
    <row r="50" spans="1:37" x14ac:dyDescent="0.25">
      <c r="A50" s="105">
        <v>1043</v>
      </c>
      <c r="B50" s="107" t="s">
        <v>325</v>
      </c>
      <c r="C50" s="103" t="s">
        <v>1109</v>
      </c>
      <c r="D50" s="112" t="str">
        <f t="shared" ca="1" si="12"/>
        <v>R</v>
      </c>
      <c r="E50" s="112" t="str">
        <f t="shared" ca="1" si="12"/>
        <v>R</v>
      </c>
      <c r="F50" s="112" t="str">
        <f t="shared" ca="1" si="12"/>
        <v>P</v>
      </c>
      <c r="G50" s="112" t="str">
        <f t="shared" ca="1" si="12"/>
        <v>P</v>
      </c>
      <c r="H50" s="112" t="str">
        <f t="shared" ca="1" si="12"/>
        <v>P</v>
      </c>
      <c r="I50" s="112" t="str">
        <f t="shared" ca="1" si="12"/>
        <v>P</v>
      </c>
      <c r="J50" s="112" t="str">
        <f t="shared" ca="1" si="12"/>
        <v>P</v>
      </c>
      <c r="K50" s="112" t="str">
        <f t="shared" ca="1" si="12"/>
        <v>P</v>
      </c>
      <c r="L50" s="112" t="str">
        <f t="shared" ca="1" si="12"/>
        <v>R</v>
      </c>
      <c r="M50" s="112" t="str">
        <f t="shared" ca="1" si="12"/>
        <v>P</v>
      </c>
      <c r="N50" s="112" t="str">
        <f t="shared" ca="1" si="12"/>
        <v>P</v>
      </c>
      <c r="O50" s="112" t="str">
        <f t="shared" ca="1" si="12"/>
        <v>P</v>
      </c>
      <c r="P50" s="112" t="str">
        <f t="shared" ca="1" si="12"/>
        <v>P</v>
      </c>
      <c r="Q50" s="112" t="str">
        <f t="shared" ca="1" si="12"/>
        <v>R</v>
      </c>
      <c r="R50" s="112" t="str">
        <f t="shared" ca="1" si="12"/>
        <v>P</v>
      </c>
      <c r="S50" s="112" t="str">
        <f t="shared" ca="1" si="11"/>
        <v>P</v>
      </c>
      <c r="T50" s="112" t="str">
        <f t="shared" ca="1" si="10"/>
        <v>P</v>
      </c>
      <c r="U50" s="112" t="str">
        <f t="shared" ca="1" si="10"/>
        <v>P</v>
      </c>
      <c r="V50" s="112" t="str">
        <f t="shared" ca="1" si="10"/>
        <v>P</v>
      </c>
      <c r="W50" s="112" t="str">
        <f t="shared" ca="1" si="10"/>
        <v>P</v>
      </c>
      <c r="X50" s="112" t="str">
        <f t="shared" ca="1" si="10"/>
        <v>P</v>
      </c>
      <c r="Y50" s="112" t="str">
        <f t="shared" ca="1" si="10"/>
        <v>P</v>
      </c>
      <c r="Z50" s="112" t="str">
        <f t="shared" ca="1" si="10"/>
        <v>P</v>
      </c>
      <c r="AA50" s="112" t="str">
        <f t="shared" ca="1" si="10"/>
        <v>P</v>
      </c>
      <c r="AB50" s="112" t="str">
        <f t="shared" ca="1" si="10"/>
        <v>P</v>
      </c>
      <c r="AC50" s="112" t="str">
        <f t="shared" ca="1" si="10"/>
        <v>P</v>
      </c>
      <c r="AD50" s="112" t="str">
        <f t="shared" ca="1" si="10"/>
        <v>P</v>
      </c>
      <c r="AE50" s="112" t="str">
        <f t="shared" ca="1" si="10"/>
        <v>P</v>
      </c>
      <c r="AF50" s="112" t="str">
        <f t="shared" ca="1" si="10"/>
        <v>P</v>
      </c>
      <c r="AG50" s="112" t="str">
        <f t="shared" ca="1" si="10"/>
        <v>P</v>
      </c>
      <c r="AH50" s="112" t="str">
        <f t="shared" ca="1" si="10"/>
        <v>R</v>
      </c>
      <c r="AI50" s="110">
        <f t="shared" si="4"/>
        <v>31</v>
      </c>
      <c r="AJ50" s="220">
        <f t="shared" ca="1" si="5"/>
        <v>25</v>
      </c>
      <c r="AK50" s="111">
        <f t="shared" ca="1" si="6"/>
        <v>6</v>
      </c>
    </row>
    <row r="51" spans="1:37" x14ac:dyDescent="0.25">
      <c r="A51" s="105">
        <v>1044</v>
      </c>
      <c r="B51" s="107" t="s">
        <v>144</v>
      </c>
      <c r="C51" s="103" t="s">
        <v>1108</v>
      </c>
      <c r="D51" s="112" t="str">
        <f t="shared" ca="1" si="12"/>
        <v>P</v>
      </c>
      <c r="E51" s="112" t="str">
        <f t="shared" ca="1" si="12"/>
        <v>R</v>
      </c>
      <c r="F51" s="112" t="str">
        <f t="shared" ca="1" si="12"/>
        <v>P</v>
      </c>
      <c r="G51" s="112" t="str">
        <f t="shared" ca="1" si="12"/>
        <v>P</v>
      </c>
      <c r="H51" s="112" t="str">
        <f t="shared" ca="1" si="12"/>
        <v>P</v>
      </c>
      <c r="I51" s="112" t="str">
        <f t="shared" ca="1" si="12"/>
        <v>P</v>
      </c>
      <c r="J51" s="112" t="str">
        <f t="shared" ca="1" si="12"/>
        <v>R</v>
      </c>
      <c r="K51" s="112" t="str">
        <f t="shared" ca="1" si="12"/>
        <v>P</v>
      </c>
      <c r="L51" s="112" t="str">
        <f t="shared" ca="1" si="12"/>
        <v>P</v>
      </c>
      <c r="M51" s="112" t="str">
        <f t="shared" ca="1" si="12"/>
        <v>R</v>
      </c>
      <c r="N51" s="112" t="str">
        <f t="shared" ca="1" si="12"/>
        <v>R</v>
      </c>
      <c r="O51" s="112" t="str">
        <f t="shared" ca="1" si="12"/>
        <v>P</v>
      </c>
      <c r="P51" s="112" t="str">
        <f t="shared" ca="1" si="12"/>
        <v>P</v>
      </c>
      <c r="Q51" s="112" t="str">
        <f t="shared" ca="1" si="12"/>
        <v>P</v>
      </c>
      <c r="R51" s="112" t="str">
        <f t="shared" ca="1" si="12"/>
        <v>P</v>
      </c>
      <c r="S51" s="112" t="str">
        <f t="shared" ca="1" si="11"/>
        <v>P</v>
      </c>
      <c r="T51" s="112" t="str">
        <f t="shared" ca="1" si="10"/>
        <v>P</v>
      </c>
      <c r="U51" s="112" t="str">
        <f t="shared" ca="1" si="10"/>
        <v>P</v>
      </c>
      <c r="V51" s="112" t="str">
        <f t="shared" ca="1" si="10"/>
        <v>R</v>
      </c>
      <c r="W51" s="112" t="str">
        <f t="shared" ca="1" si="10"/>
        <v>P</v>
      </c>
      <c r="X51" s="112" t="str">
        <f t="shared" ca="1" si="10"/>
        <v>P</v>
      </c>
      <c r="Y51" s="112" t="str">
        <f t="shared" ca="1" si="10"/>
        <v>R</v>
      </c>
      <c r="Z51" s="112" t="str">
        <f t="shared" ca="1" si="10"/>
        <v>P</v>
      </c>
      <c r="AA51" s="112" t="str">
        <f t="shared" ca="1" si="10"/>
        <v>P</v>
      </c>
      <c r="AB51" s="112" t="str">
        <f t="shared" ca="1" si="10"/>
        <v>P</v>
      </c>
      <c r="AC51" s="112" t="str">
        <f t="shared" ca="1" si="10"/>
        <v>P</v>
      </c>
      <c r="AD51" s="112" t="str">
        <f t="shared" ca="1" si="10"/>
        <v>P</v>
      </c>
      <c r="AE51" s="112" t="str">
        <f t="shared" ca="1" si="10"/>
        <v>P</v>
      </c>
      <c r="AF51" s="112" t="str">
        <f t="shared" ca="1" si="10"/>
        <v>P</v>
      </c>
      <c r="AG51" s="112" t="str">
        <f t="shared" ca="1" si="10"/>
        <v>P</v>
      </c>
      <c r="AH51" s="112" t="str">
        <f t="shared" ca="1" si="10"/>
        <v>P</v>
      </c>
      <c r="AI51" s="110">
        <f t="shared" si="4"/>
        <v>31</v>
      </c>
      <c r="AJ51" s="220">
        <f t="shared" ca="1" si="5"/>
        <v>28</v>
      </c>
      <c r="AK51" s="111">
        <f t="shared" ca="1" si="6"/>
        <v>3</v>
      </c>
    </row>
    <row r="52" spans="1:37" x14ac:dyDescent="0.25">
      <c r="A52" s="105">
        <v>1045</v>
      </c>
      <c r="B52" s="107" t="s">
        <v>336</v>
      </c>
      <c r="C52" s="103" t="s">
        <v>1104</v>
      </c>
      <c r="D52" s="112" t="str">
        <f t="shared" ca="1" si="12"/>
        <v>P</v>
      </c>
      <c r="E52" s="112" t="str">
        <f t="shared" ca="1" si="12"/>
        <v>P</v>
      </c>
      <c r="F52" s="112" t="str">
        <f t="shared" ca="1" si="12"/>
        <v>P</v>
      </c>
      <c r="G52" s="112" t="str">
        <f t="shared" ca="1" si="12"/>
        <v>P</v>
      </c>
      <c r="H52" s="112" t="str">
        <f t="shared" ca="1" si="12"/>
        <v>P</v>
      </c>
      <c r="I52" s="112" t="str">
        <f t="shared" ca="1" si="12"/>
        <v>P</v>
      </c>
      <c r="J52" s="112" t="str">
        <f t="shared" ca="1" si="12"/>
        <v>P</v>
      </c>
      <c r="K52" s="112" t="str">
        <f t="shared" ca="1" si="12"/>
        <v>P</v>
      </c>
      <c r="L52" s="112" t="str">
        <f t="shared" ca="1" si="12"/>
        <v>P</v>
      </c>
      <c r="M52" s="112" t="str">
        <f t="shared" ca="1" si="12"/>
        <v>P</v>
      </c>
      <c r="N52" s="112" t="str">
        <f t="shared" ca="1" si="12"/>
        <v>P</v>
      </c>
      <c r="O52" s="112" t="str">
        <f t="shared" ca="1" si="12"/>
        <v>P</v>
      </c>
      <c r="P52" s="112" t="str">
        <f t="shared" ca="1" si="12"/>
        <v>P</v>
      </c>
      <c r="Q52" s="112" t="str">
        <f t="shared" ca="1" si="12"/>
        <v>P</v>
      </c>
      <c r="R52" s="112" t="str">
        <f t="shared" ca="1" si="12"/>
        <v>R</v>
      </c>
      <c r="S52" s="112" t="str">
        <f t="shared" ca="1" si="11"/>
        <v>P</v>
      </c>
      <c r="T52" s="112" t="str">
        <f t="shared" ca="1" si="10"/>
        <v>P</v>
      </c>
      <c r="U52" s="112" t="str">
        <f t="shared" ca="1" si="10"/>
        <v>P</v>
      </c>
      <c r="V52" s="112" t="str">
        <f t="shared" ca="1" si="10"/>
        <v>P</v>
      </c>
      <c r="W52" s="112" t="str">
        <f t="shared" ca="1" si="10"/>
        <v>P</v>
      </c>
      <c r="X52" s="112" t="str">
        <f t="shared" ca="1" si="10"/>
        <v>P</v>
      </c>
      <c r="Y52" s="112" t="str">
        <f t="shared" ca="1" si="10"/>
        <v>R</v>
      </c>
      <c r="Z52" s="112" t="str">
        <f t="shared" ca="1" si="10"/>
        <v>P</v>
      </c>
      <c r="AA52" s="112" t="str">
        <f t="shared" ca="1" si="10"/>
        <v>P</v>
      </c>
      <c r="AB52" s="112" t="str">
        <f t="shared" ca="1" si="10"/>
        <v>P</v>
      </c>
      <c r="AC52" s="112" t="str">
        <f t="shared" ca="1" si="10"/>
        <v>P</v>
      </c>
      <c r="AD52" s="112" t="str">
        <f t="shared" ca="1" si="10"/>
        <v>R</v>
      </c>
      <c r="AE52" s="112" t="str">
        <f t="shared" ca="1" si="10"/>
        <v>P</v>
      </c>
      <c r="AF52" s="112" t="str">
        <f t="shared" ca="1" si="10"/>
        <v>P</v>
      </c>
      <c r="AG52" s="112" t="str">
        <f t="shared" ca="1" si="10"/>
        <v>P</v>
      </c>
      <c r="AH52" s="112" t="str">
        <f t="shared" ca="1" si="10"/>
        <v>P</v>
      </c>
      <c r="AI52" s="110">
        <f t="shared" si="4"/>
        <v>31</v>
      </c>
      <c r="AJ52" s="220">
        <f t="shared" ca="1" si="5"/>
        <v>24</v>
      </c>
      <c r="AK52" s="111">
        <f t="shared" ca="1" si="6"/>
        <v>7</v>
      </c>
    </row>
    <row r="53" spans="1:37" x14ac:dyDescent="0.25">
      <c r="A53" s="105">
        <v>1046</v>
      </c>
      <c r="B53" s="107" t="s">
        <v>342</v>
      </c>
      <c r="C53" s="103" t="s">
        <v>1114</v>
      </c>
      <c r="D53" s="112" t="str">
        <f t="shared" ca="1" si="12"/>
        <v>P</v>
      </c>
      <c r="E53" s="112" t="str">
        <f t="shared" ca="1" si="12"/>
        <v>P</v>
      </c>
      <c r="F53" s="112" t="str">
        <f t="shared" ca="1" si="12"/>
        <v>R</v>
      </c>
      <c r="G53" s="112" t="str">
        <f t="shared" ca="1" si="12"/>
        <v>P</v>
      </c>
      <c r="H53" s="112" t="str">
        <f t="shared" ca="1" si="12"/>
        <v>P</v>
      </c>
      <c r="I53" s="112" t="str">
        <f t="shared" ca="1" si="12"/>
        <v>P</v>
      </c>
      <c r="J53" s="112" t="str">
        <f t="shared" ca="1" si="12"/>
        <v>P</v>
      </c>
      <c r="K53" s="112" t="str">
        <f t="shared" ca="1" si="12"/>
        <v>R</v>
      </c>
      <c r="L53" s="112" t="str">
        <f t="shared" ca="1" si="12"/>
        <v>R</v>
      </c>
      <c r="M53" s="112" t="str">
        <f t="shared" ca="1" si="12"/>
        <v>P</v>
      </c>
      <c r="N53" s="112" t="str">
        <f t="shared" ca="1" si="12"/>
        <v>P</v>
      </c>
      <c r="O53" s="112" t="str">
        <f t="shared" ca="1" si="12"/>
        <v>R</v>
      </c>
      <c r="P53" s="112" t="str">
        <f t="shared" ca="1" si="12"/>
        <v>R</v>
      </c>
      <c r="Q53" s="112" t="str">
        <f t="shared" ca="1" si="12"/>
        <v>P</v>
      </c>
      <c r="R53" s="112" t="str">
        <f t="shared" ca="1" si="12"/>
        <v>P</v>
      </c>
      <c r="S53" s="112" t="str">
        <f t="shared" ca="1" si="11"/>
        <v>P</v>
      </c>
      <c r="T53" s="112" t="str">
        <f t="shared" ca="1" si="10"/>
        <v>R</v>
      </c>
      <c r="U53" s="112" t="str">
        <f t="shared" ca="1" si="10"/>
        <v>P</v>
      </c>
      <c r="V53" s="112" t="str">
        <f t="shared" ca="1" si="10"/>
        <v>P</v>
      </c>
      <c r="W53" s="112" t="str">
        <f t="shared" ca="1" si="10"/>
        <v>P</v>
      </c>
      <c r="X53" s="112" t="str">
        <f t="shared" ca="1" si="10"/>
        <v>P</v>
      </c>
      <c r="Y53" s="112" t="str">
        <f t="shared" ca="1" si="10"/>
        <v>P</v>
      </c>
      <c r="Z53" s="112" t="str">
        <f t="shared" ca="1" si="10"/>
        <v>P</v>
      </c>
      <c r="AA53" s="112" t="str">
        <f t="shared" ca="1" si="10"/>
        <v>P</v>
      </c>
      <c r="AB53" s="112" t="str">
        <f t="shared" ca="1" si="10"/>
        <v>P</v>
      </c>
      <c r="AC53" s="112" t="str">
        <f t="shared" ca="1" si="10"/>
        <v>P</v>
      </c>
      <c r="AD53" s="112" t="str">
        <f t="shared" ca="1" si="10"/>
        <v>P</v>
      </c>
      <c r="AE53" s="112" t="str">
        <f t="shared" ca="1" si="10"/>
        <v>P</v>
      </c>
      <c r="AF53" s="112" t="str">
        <f t="shared" ca="1" si="10"/>
        <v>P</v>
      </c>
      <c r="AG53" s="112" t="str">
        <f t="shared" ca="1" si="10"/>
        <v>P</v>
      </c>
      <c r="AH53" s="112" t="str">
        <f t="shared" ca="1" si="10"/>
        <v>R</v>
      </c>
      <c r="AI53" s="110">
        <f t="shared" si="4"/>
        <v>31</v>
      </c>
      <c r="AJ53" s="220">
        <f t="shared" ca="1" si="5"/>
        <v>22</v>
      </c>
      <c r="AK53" s="111">
        <f t="shared" ca="1" si="6"/>
        <v>9</v>
      </c>
    </row>
    <row r="54" spans="1:37" x14ac:dyDescent="0.25">
      <c r="A54" s="105">
        <v>1047</v>
      </c>
      <c r="B54" s="107" t="s">
        <v>348</v>
      </c>
      <c r="C54" s="103" t="s">
        <v>1110</v>
      </c>
      <c r="D54" s="112" t="str">
        <f t="shared" ca="1" si="12"/>
        <v>P</v>
      </c>
      <c r="E54" s="112" t="str">
        <f t="shared" ca="1" si="12"/>
        <v>P</v>
      </c>
      <c r="F54" s="112" t="str">
        <f t="shared" ca="1" si="12"/>
        <v>P</v>
      </c>
      <c r="G54" s="112" t="str">
        <f t="shared" ca="1" si="12"/>
        <v>R</v>
      </c>
      <c r="H54" s="112" t="str">
        <f t="shared" ca="1" si="12"/>
        <v>P</v>
      </c>
      <c r="I54" s="112" t="str">
        <f t="shared" ca="1" si="12"/>
        <v>P</v>
      </c>
      <c r="J54" s="112" t="str">
        <f t="shared" ca="1" si="12"/>
        <v>P</v>
      </c>
      <c r="K54" s="112" t="str">
        <f t="shared" ca="1" si="12"/>
        <v>P</v>
      </c>
      <c r="L54" s="112" t="str">
        <f t="shared" ca="1" si="12"/>
        <v>P</v>
      </c>
      <c r="M54" s="112" t="str">
        <f t="shared" ca="1" si="12"/>
        <v>P</v>
      </c>
      <c r="N54" s="112" t="str">
        <f t="shared" ca="1" si="12"/>
        <v>R</v>
      </c>
      <c r="O54" s="112" t="str">
        <f t="shared" ca="1" si="12"/>
        <v>P</v>
      </c>
      <c r="P54" s="112" t="str">
        <f t="shared" ca="1" si="12"/>
        <v>P</v>
      </c>
      <c r="Q54" s="112" t="str">
        <f t="shared" ca="1" si="12"/>
        <v>R</v>
      </c>
      <c r="R54" s="112" t="str">
        <f t="shared" ca="1" si="12"/>
        <v>R</v>
      </c>
      <c r="S54" s="112" t="str">
        <f t="shared" ca="1" si="11"/>
        <v>R</v>
      </c>
      <c r="T54" s="112" t="str">
        <f t="shared" ca="1" si="11"/>
        <v>P</v>
      </c>
      <c r="U54" s="112" t="str">
        <f t="shared" ca="1" si="11"/>
        <v>P</v>
      </c>
      <c r="V54" s="112" t="str">
        <f t="shared" ca="1" si="11"/>
        <v>R</v>
      </c>
      <c r="W54" s="112" t="str">
        <f t="shared" ca="1" si="11"/>
        <v>P</v>
      </c>
      <c r="X54" s="112" t="str">
        <f t="shared" ca="1" si="11"/>
        <v>P</v>
      </c>
      <c r="Y54" s="112" t="str">
        <f t="shared" ca="1" si="11"/>
        <v>P</v>
      </c>
      <c r="Z54" s="112" t="str">
        <f t="shared" ca="1" si="11"/>
        <v>R</v>
      </c>
      <c r="AA54" s="112" t="str">
        <f t="shared" ca="1" si="11"/>
        <v>P</v>
      </c>
      <c r="AB54" s="112" t="str">
        <f t="shared" ca="1" si="11"/>
        <v>R</v>
      </c>
      <c r="AC54" s="112" t="str">
        <f t="shared" ca="1" si="11"/>
        <v>P</v>
      </c>
      <c r="AD54" s="112" t="str">
        <f t="shared" ca="1" si="11"/>
        <v>P</v>
      </c>
      <c r="AE54" s="112" t="str">
        <f t="shared" ca="1" si="11"/>
        <v>R</v>
      </c>
      <c r="AF54" s="112" t="str">
        <f t="shared" ca="1" si="11"/>
        <v>P</v>
      </c>
      <c r="AG54" s="112" t="str">
        <f t="shared" ca="1" si="11"/>
        <v>P</v>
      </c>
      <c r="AH54" s="112" t="str">
        <f t="shared" ca="1" si="11"/>
        <v>P</v>
      </c>
      <c r="AI54" s="110">
        <f t="shared" si="4"/>
        <v>31</v>
      </c>
      <c r="AJ54" s="220">
        <f t="shared" ca="1" si="5"/>
        <v>22</v>
      </c>
      <c r="AK54" s="111">
        <f t="shared" ca="1" si="6"/>
        <v>9</v>
      </c>
    </row>
    <row r="55" spans="1:37" x14ac:dyDescent="0.25">
      <c r="A55" s="105">
        <v>1048</v>
      </c>
      <c r="B55" s="107" t="s">
        <v>354</v>
      </c>
      <c r="C55" s="103" t="s">
        <v>1103</v>
      </c>
      <c r="D55" s="112" t="str">
        <f t="shared" ca="1" si="12"/>
        <v>P</v>
      </c>
      <c r="E55" s="112" t="str">
        <f t="shared" ca="1" si="12"/>
        <v>P</v>
      </c>
      <c r="F55" s="112" t="str">
        <f t="shared" ca="1" si="12"/>
        <v>R</v>
      </c>
      <c r="G55" s="112" t="str">
        <f t="shared" ca="1" si="12"/>
        <v>P</v>
      </c>
      <c r="H55" s="112" t="str">
        <f t="shared" ca="1" si="12"/>
        <v>P</v>
      </c>
      <c r="I55" s="112" t="str">
        <f t="shared" ca="1" si="12"/>
        <v>P</v>
      </c>
      <c r="J55" s="112" t="str">
        <f t="shared" ca="1" si="12"/>
        <v>P</v>
      </c>
      <c r="K55" s="112" t="str">
        <f t="shared" ca="1" si="12"/>
        <v>R</v>
      </c>
      <c r="L55" s="112" t="str">
        <f t="shared" ca="1" si="12"/>
        <v>P</v>
      </c>
      <c r="M55" s="112" t="str">
        <f t="shared" ca="1" si="12"/>
        <v>P</v>
      </c>
      <c r="N55" s="112" t="str">
        <f t="shared" ca="1" si="12"/>
        <v>P</v>
      </c>
      <c r="O55" s="112" t="str">
        <f t="shared" ca="1" si="12"/>
        <v>R</v>
      </c>
      <c r="P55" s="112" t="str">
        <f t="shared" ca="1" si="12"/>
        <v>P</v>
      </c>
      <c r="Q55" s="112" t="str">
        <f t="shared" ca="1" si="12"/>
        <v>P</v>
      </c>
      <c r="R55" s="112" t="str">
        <f t="shared" ca="1" si="12"/>
        <v>P</v>
      </c>
      <c r="S55" s="112" t="str">
        <f t="shared" ca="1" si="12"/>
        <v>P</v>
      </c>
      <c r="T55" s="112" t="str">
        <f t="shared" ref="T55:AH70" ca="1" si="13">IF(T$6="","",IF(RAND()&lt;0.8,"P","R"))</f>
        <v>R</v>
      </c>
      <c r="U55" s="112" t="str">
        <f t="shared" ca="1" si="13"/>
        <v>R</v>
      </c>
      <c r="V55" s="112" t="str">
        <f t="shared" ca="1" si="13"/>
        <v>P</v>
      </c>
      <c r="W55" s="112" t="str">
        <f t="shared" ca="1" si="13"/>
        <v>R</v>
      </c>
      <c r="X55" s="112" t="str">
        <f t="shared" ca="1" si="13"/>
        <v>P</v>
      </c>
      <c r="Y55" s="112" t="str">
        <f t="shared" ca="1" si="13"/>
        <v>P</v>
      </c>
      <c r="Z55" s="112" t="str">
        <f t="shared" ca="1" si="13"/>
        <v>P</v>
      </c>
      <c r="AA55" s="112" t="str">
        <f t="shared" ca="1" si="13"/>
        <v>P</v>
      </c>
      <c r="AB55" s="112" t="str">
        <f t="shared" ca="1" si="13"/>
        <v>P</v>
      </c>
      <c r="AC55" s="112" t="str">
        <f t="shared" ca="1" si="13"/>
        <v>P</v>
      </c>
      <c r="AD55" s="112" t="str">
        <f t="shared" ca="1" si="13"/>
        <v>P</v>
      </c>
      <c r="AE55" s="112" t="str">
        <f t="shared" ca="1" si="13"/>
        <v>P</v>
      </c>
      <c r="AF55" s="112" t="str">
        <f t="shared" ca="1" si="13"/>
        <v>R</v>
      </c>
      <c r="AG55" s="112" t="str">
        <f t="shared" ca="1" si="13"/>
        <v>R</v>
      </c>
      <c r="AH55" s="112" t="str">
        <f t="shared" ca="1" si="13"/>
        <v>R</v>
      </c>
      <c r="AI55" s="110">
        <f t="shared" si="4"/>
        <v>31</v>
      </c>
      <c r="AJ55" s="220">
        <f t="shared" ca="1" si="5"/>
        <v>27</v>
      </c>
      <c r="AK55" s="111">
        <f t="shared" ca="1" si="6"/>
        <v>4</v>
      </c>
    </row>
    <row r="56" spans="1:37" x14ac:dyDescent="0.25">
      <c r="A56" s="105">
        <v>1049</v>
      </c>
      <c r="B56" s="107" t="s">
        <v>360</v>
      </c>
      <c r="C56" s="103" t="s">
        <v>1114</v>
      </c>
      <c r="D56" s="112" t="str">
        <f t="shared" ref="D56:S71" ca="1" si="14">IF(D$6="","",IF(RAND()&lt;0.8,"P","R"))</f>
        <v>P</v>
      </c>
      <c r="E56" s="112" t="str">
        <f t="shared" ca="1" si="14"/>
        <v>P</v>
      </c>
      <c r="F56" s="112" t="str">
        <f t="shared" ca="1" si="14"/>
        <v>P</v>
      </c>
      <c r="G56" s="112" t="str">
        <f t="shared" ca="1" si="14"/>
        <v>P</v>
      </c>
      <c r="H56" s="112" t="str">
        <f t="shared" ca="1" si="14"/>
        <v>P</v>
      </c>
      <c r="I56" s="112" t="str">
        <f t="shared" ca="1" si="14"/>
        <v>P</v>
      </c>
      <c r="J56" s="112" t="str">
        <f t="shared" ca="1" si="14"/>
        <v>R</v>
      </c>
      <c r="K56" s="112" t="str">
        <f t="shared" ca="1" si="14"/>
        <v>P</v>
      </c>
      <c r="L56" s="112" t="str">
        <f t="shared" ca="1" si="14"/>
        <v>P</v>
      </c>
      <c r="M56" s="112" t="str">
        <f t="shared" ca="1" si="14"/>
        <v>P</v>
      </c>
      <c r="N56" s="112" t="str">
        <f t="shared" ca="1" si="14"/>
        <v>R</v>
      </c>
      <c r="O56" s="112" t="str">
        <f t="shared" ca="1" si="14"/>
        <v>P</v>
      </c>
      <c r="P56" s="112" t="str">
        <f t="shared" ca="1" si="14"/>
        <v>P</v>
      </c>
      <c r="Q56" s="112" t="str">
        <f t="shared" ca="1" si="14"/>
        <v>P</v>
      </c>
      <c r="R56" s="112" t="str">
        <f t="shared" ca="1" si="14"/>
        <v>P</v>
      </c>
      <c r="S56" s="112" t="str">
        <f t="shared" ca="1" si="14"/>
        <v>P</v>
      </c>
      <c r="T56" s="112" t="str">
        <f t="shared" ca="1" si="13"/>
        <v>P</v>
      </c>
      <c r="U56" s="112" t="str">
        <f t="shared" ca="1" si="13"/>
        <v>P</v>
      </c>
      <c r="V56" s="112" t="str">
        <f t="shared" ca="1" si="13"/>
        <v>P</v>
      </c>
      <c r="W56" s="112" t="str">
        <f t="shared" ca="1" si="13"/>
        <v>R</v>
      </c>
      <c r="X56" s="112" t="str">
        <f t="shared" ca="1" si="13"/>
        <v>P</v>
      </c>
      <c r="Y56" s="112" t="str">
        <f t="shared" ca="1" si="13"/>
        <v>P</v>
      </c>
      <c r="Z56" s="112" t="str">
        <f t="shared" ca="1" si="13"/>
        <v>P</v>
      </c>
      <c r="AA56" s="112" t="str">
        <f t="shared" ca="1" si="13"/>
        <v>R</v>
      </c>
      <c r="AB56" s="112" t="str">
        <f t="shared" ca="1" si="13"/>
        <v>P</v>
      </c>
      <c r="AC56" s="112" t="str">
        <f t="shared" ca="1" si="13"/>
        <v>P</v>
      </c>
      <c r="AD56" s="112" t="str">
        <f t="shared" ca="1" si="13"/>
        <v>P</v>
      </c>
      <c r="AE56" s="112" t="str">
        <f t="shared" ca="1" si="13"/>
        <v>P</v>
      </c>
      <c r="AF56" s="112" t="str">
        <f t="shared" ca="1" si="13"/>
        <v>P</v>
      </c>
      <c r="AG56" s="112" t="str">
        <f t="shared" ca="1" si="13"/>
        <v>P</v>
      </c>
      <c r="AH56" s="112" t="str">
        <f t="shared" ca="1" si="13"/>
        <v>P</v>
      </c>
      <c r="AI56" s="110">
        <f t="shared" si="4"/>
        <v>31</v>
      </c>
      <c r="AJ56" s="220">
        <f t="shared" ca="1" si="5"/>
        <v>26</v>
      </c>
      <c r="AK56" s="111">
        <f t="shared" ca="1" si="6"/>
        <v>5</v>
      </c>
    </row>
    <row r="57" spans="1:37" x14ac:dyDescent="0.25">
      <c r="A57" s="105">
        <v>1050</v>
      </c>
      <c r="B57" s="107" t="s">
        <v>57</v>
      </c>
      <c r="C57" s="103" t="s">
        <v>1108</v>
      </c>
      <c r="D57" s="112" t="str">
        <f t="shared" ca="1" si="14"/>
        <v>R</v>
      </c>
      <c r="E57" s="112" t="str">
        <f t="shared" ca="1" si="14"/>
        <v>R</v>
      </c>
      <c r="F57" s="112" t="str">
        <f t="shared" ca="1" si="14"/>
        <v>P</v>
      </c>
      <c r="G57" s="112" t="str">
        <f t="shared" ca="1" si="14"/>
        <v>P</v>
      </c>
      <c r="H57" s="112" t="str">
        <f t="shared" ca="1" si="14"/>
        <v>P</v>
      </c>
      <c r="I57" s="112" t="str">
        <f t="shared" ca="1" si="14"/>
        <v>P</v>
      </c>
      <c r="J57" s="112" t="str">
        <f t="shared" ca="1" si="14"/>
        <v>P</v>
      </c>
      <c r="K57" s="112" t="str">
        <f t="shared" ca="1" si="14"/>
        <v>P</v>
      </c>
      <c r="L57" s="112" t="str">
        <f t="shared" ca="1" si="14"/>
        <v>P</v>
      </c>
      <c r="M57" s="112" t="str">
        <f t="shared" ca="1" si="14"/>
        <v>P</v>
      </c>
      <c r="N57" s="112" t="str">
        <f t="shared" ca="1" si="14"/>
        <v>R</v>
      </c>
      <c r="O57" s="112" t="str">
        <f t="shared" ca="1" si="14"/>
        <v>P</v>
      </c>
      <c r="P57" s="112" t="str">
        <f t="shared" ca="1" si="14"/>
        <v>P</v>
      </c>
      <c r="Q57" s="112" t="str">
        <f t="shared" ca="1" si="14"/>
        <v>P</v>
      </c>
      <c r="R57" s="112" t="str">
        <f t="shared" ca="1" si="14"/>
        <v>P</v>
      </c>
      <c r="S57" s="112" t="str">
        <f t="shared" ca="1" si="14"/>
        <v>P</v>
      </c>
      <c r="T57" s="112" t="str">
        <f t="shared" ca="1" si="13"/>
        <v>P</v>
      </c>
      <c r="U57" s="112" t="str">
        <f t="shared" ca="1" si="13"/>
        <v>P</v>
      </c>
      <c r="V57" s="112" t="str">
        <f t="shared" ca="1" si="13"/>
        <v>R</v>
      </c>
      <c r="W57" s="112" t="str">
        <f t="shared" ca="1" si="13"/>
        <v>P</v>
      </c>
      <c r="X57" s="112" t="str">
        <f t="shared" ca="1" si="13"/>
        <v>P</v>
      </c>
      <c r="Y57" s="112" t="str">
        <f t="shared" ca="1" si="13"/>
        <v>P</v>
      </c>
      <c r="Z57" s="112" t="str">
        <f t="shared" ca="1" si="13"/>
        <v>P</v>
      </c>
      <c r="AA57" s="112" t="str">
        <f t="shared" ca="1" si="13"/>
        <v>P</v>
      </c>
      <c r="AB57" s="112" t="str">
        <f t="shared" ca="1" si="13"/>
        <v>P</v>
      </c>
      <c r="AC57" s="112" t="str">
        <f t="shared" ca="1" si="13"/>
        <v>P</v>
      </c>
      <c r="AD57" s="112" t="str">
        <f t="shared" ca="1" si="13"/>
        <v>P</v>
      </c>
      <c r="AE57" s="112" t="str">
        <f t="shared" ca="1" si="13"/>
        <v>P</v>
      </c>
      <c r="AF57" s="112" t="str">
        <f t="shared" ca="1" si="13"/>
        <v>P</v>
      </c>
      <c r="AG57" s="112" t="str">
        <f t="shared" ca="1" si="13"/>
        <v>P</v>
      </c>
      <c r="AH57" s="112" t="str">
        <f t="shared" ca="1" si="13"/>
        <v>R</v>
      </c>
      <c r="AI57" s="110">
        <f t="shared" si="4"/>
        <v>31</v>
      </c>
      <c r="AJ57" s="220">
        <f t="shared" ca="1" si="5"/>
        <v>27</v>
      </c>
      <c r="AK57" s="111">
        <f t="shared" ca="1" si="6"/>
        <v>4</v>
      </c>
    </row>
    <row r="58" spans="1:37" x14ac:dyDescent="0.25">
      <c r="A58" s="105">
        <v>1051</v>
      </c>
      <c r="B58" s="107" t="s">
        <v>66</v>
      </c>
      <c r="C58" s="103" t="s">
        <v>1108</v>
      </c>
      <c r="D58" s="112" t="str">
        <f t="shared" ca="1" si="14"/>
        <v>P</v>
      </c>
      <c r="E58" s="112" t="str">
        <f t="shared" ca="1" si="14"/>
        <v>P</v>
      </c>
      <c r="F58" s="112" t="str">
        <f t="shared" ca="1" si="14"/>
        <v>P</v>
      </c>
      <c r="G58" s="112" t="str">
        <f t="shared" ca="1" si="14"/>
        <v>R</v>
      </c>
      <c r="H58" s="112" t="str">
        <f t="shared" ca="1" si="14"/>
        <v>P</v>
      </c>
      <c r="I58" s="112" t="str">
        <f t="shared" ca="1" si="14"/>
        <v>R</v>
      </c>
      <c r="J58" s="112" t="str">
        <f t="shared" ca="1" si="14"/>
        <v>P</v>
      </c>
      <c r="K58" s="112" t="str">
        <f t="shared" ca="1" si="14"/>
        <v>P</v>
      </c>
      <c r="L58" s="112" t="str">
        <f t="shared" ca="1" si="14"/>
        <v>P</v>
      </c>
      <c r="M58" s="112" t="str">
        <f t="shared" ca="1" si="14"/>
        <v>P</v>
      </c>
      <c r="N58" s="112" t="str">
        <f t="shared" ca="1" si="14"/>
        <v>P</v>
      </c>
      <c r="O58" s="112" t="str">
        <f t="shared" ca="1" si="14"/>
        <v>P</v>
      </c>
      <c r="P58" s="112" t="str">
        <f t="shared" ca="1" si="14"/>
        <v>P</v>
      </c>
      <c r="Q58" s="112" t="str">
        <f t="shared" ca="1" si="14"/>
        <v>P</v>
      </c>
      <c r="R58" s="112" t="str">
        <f t="shared" ca="1" si="14"/>
        <v>R</v>
      </c>
      <c r="S58" s="112" t="str">
        <f t="shared" ca="1" si="14"/>
        <v>P</v>
      </c>
      <c r="T58" s="112" t="str">
        <f t="shared" ca="1" si="13"/>
        <v>P</v>
      </c>
      <c r="U58" s="112" t="str">
        <f t="shared" ca="1" si="13"/>
        <v>P</v>
      </c>
      <c r="V58" s="112" t="str">
        <f t="shared" ca="1" si="13"/>
        <v>P</v>
      </c>
      <c r="W58" s="112" t="str">
        <f t="shared" ca="1" si="13"/>
        <v>P</v>
      </c>
      <c r="X58" s="112" t="str">
        <f t="shared" ca="1" si="13"/>
        <v>P</v>
      </c>
      <c r="Y58" s="112" t="str">
        <f t="shared" ca="1" si="13"/>
        <v>P</v>
      </c>
      <c r="Z58" s="112" t="str">
        <f t="shared" ca="1" si="13"/>
        <v>P</v>
      </c>
      <c r="AA58" s="112" t="str">
        <f t="shared" ca="1" si="13"/>
        <v>P</v>
      </c>
      <c r="AB58" s="112" t="str">
        <f t="shared" ca="1" si="13"/>
        <v>R</v>
      </c>
      <c r="AC58" s="112" t="str">
        <f t="shared" ca="1" si="13"/>
        <v>P</v>
      </c>
      <c r="AD58" s="112" t="str">
        <f t="shared" ca="1" si="13"/>
        <v>P</v>
      </c>
      <c r="AE58" s="112" t="str">
        <f t="shared" ca="1" si="13"/>
        <v>P</v>
      </c>
      <c r="AF58" s="112" t="str">
        <f t="shared" ca="1" si="13"/>
        <v>P</v>
      </c>
      <c r="AG58" s="112" t="str">
        <f t="shared" ca="1" si="13"/>
        <v>P</v>
      </c>
      <c r="AH58" s="112" t="str">
        <f t="shared" ca="1" si="13"/>
        <v>P</v>
      </c>
      <c r="AI58" s="110">
        <f t="shared" si="4"/>
        <v>31</v>
      </c>
      <c r="AJ58" s="220">
        <f t="shared" ca="1" si="5"/>
        <v>26</v>
      </c>
      <c r="AK58" s="111">
        <f t="shared" ca="1" si="6"/>
        <v>5</v>
      </c>
    </row>
    <row r="59" spans="1:37" x14ac:dyDescent="0.25">
      <c r="A59" s="105">
        <v>1052</v>
      </c>
      <c r="B59" s="107" t="s">
        <v>73</v>
      </c>
      <c r="C59" s="103" t="s">
        <v>1115</v>
      </c>
      <c r="D59" s="112" t="str">
        <f t="shared" ca="1" si="14"/>
        <v>P</v>
      </c>
      <c r="E59" s="112" t="str">
        <f t="shared" ca="1" si="14"/>
        <v>P</v>
      </c>
      <c r="F59" s="112" t="str">
        <f t="shared" ca="1" si="14"/>
        <v>P</v>
      </c>
      <c r="G59" s="112" t="str">
        <f t="shared" ca="1" si="14"/>
        <v>P</v>
      </c>
      <c r="H59" s="112" t="str">
        <f t="shared" ca="1" si="14"/>
        <v>R</v>
      </c>
      <c r="I59" s="112" t="str">
        <f t="shared" ca="1" si="14"/>
        <v>P</v>
      </c>
      <c r="J59" s="112" t="str">
        <f t="shared" ca="1" si="14"/>
        <v>P</v>
      </c>
      <c r="K59" s="112" t="str">
        <f t="shared" ca="1" si="14"/>
        <v>R</v>
      </c>
      <c r="L59" s="112" t="str">
        <f t="shared" ca="1" si="14"/>
        <v>P</v>
      </c>
      <c r="M59" s="112" t="str">
        <f t="shared" ca="1" si="14"/>
        <v>P</v>
      </c>
      <c r="N59" s="112" t="str">
        <f t="shared" ca="1" si="14"/>
        <v>P</v>
      </c>
      <c r="O59" s="112" t="str">
        <f t="shared" ca="1" si="14"/>
        <v>P</v>
      </c>
      <c r="P59" s="112" t="str">
        <f t="shared" ca="1" si="14"/>
        <v>R</v>
      </c>
      <c r="Q59" s="112" t="str">
        <f t="shared" ca="1" si="14"/>
        <v>P</v>
      </c>
      <c r="R59" s="112" t="str">
        <f t="shared" ca="1" si="14"/>
        <v>P</v>
      </c>
      <c r="S59" s="112" t="str">
        <f t="shared" ca="1" si="14"/>
        <v>P</v>
      </c>
      <c r="T59" s="112" t="str">
        <f t="shared" ca="1" si="13"/>
        <v>R</v>
      </c>
      <c r="U59" s="112" t="str">
        <f t="shared" ca="1" si="13"/>
        <v>P</v>
      </c>
      <c r="V59" s="112" t="str">
        <f t="shared" ca="1" si="13"/>
        <v>P</v>
      </c>
      <c r="W59" s="112" t="str">
        <f t="shared" ca="1" si="13"/>
        <v>P</v>
      </c>
      <c r="X59" s="112" t="str">
        <f t="shared" ca="1" si="13"/>
        <v>P</v>
      </c>
      <c r="Y59" s="112" t="str">
        <f t="shared" ca="1" si="13"/>
        <v>P</v>
      </c>
      <c r="Z59" s="112" t="str">
        <f t="shared" ca="1" si="13"/>
        <v>P</v>
      </c>
      <c r="AA59" s="112" t="str">
        <f t="shared" ca="1" si="13"/>
        <v>P</v>
      </c>
      <c r="AB59" s="112" t="str">
        <f t="shared" ca="1" si="13"/>
        <v>P</v>
      </c>
      <c r="AC59" s="112" t="str">
        <f t="shared" ca="1" si="13"/>
        <v>R</v>
      </c>
      <c r="AD59" s="112" t="str">
        <f t="shared" ca="1" si="13"/>
        <v>P</v>
      </c>
      <c r="AE59" s="112" t="str">
        <f t="shared" ca="1" si="13"/>
        <v>P</v>
      </c>
      <c r="AF59" s="112" t="str">
        <f t="shared" ca="1" si="13"/>
        <v>P</v>
      </c>
      <c r="AG59" s="112" t="str">
        <f t="shared" ca="1" si="13"/>
        <v>P</v>
      </c>
      <c r="AH59" s="112" t="str">
        <f t="shared" ca="1" si="13"/>
        <v>P</v>
      </c>
      <c r="AI59" s="110">
        <f t="shared" si="4"/>
        <v>31</v>
      </c>
      <c r="AJ59" s="220">
        <f t="shared" ca="1" si="5"/>
        <v>24</v>
      </c>
      <c r="AK59" s="111">
        <f t="shared" ca="1" si="6"/>
        <v>7</v>
      </c>
    </row>
    <row r="60" spans="1:37" x14ac:dyDescent="0.25">
      <c r="A60" s="105">
        <v>1053</v>
      </c>
      <c r="B60" s="107" t="s">
        <v>79</v>
      </c>
      <c r="C60" s="103" t="s">
        <v>1107</v>
      </c>
      <c r="D60" s="112" t="str">
        <f t="shared" ca="1" si="14"/>
        <v>R</v>
      </c>
      <c r="E60" s="112" t="str">
        <f t="shared" ca="1" si="14"/>
        <v>R</v>
      </c>
      <c r="F60" s="112" t="str">
        <f t="shared" ca="1" si="14"/>
        <v>P</v>
      </c>
      <c r="G60" s="112" t="str">
        <f t="shared" ca="1" si="14"/>
        <v>P</v>
      </c>
      <c r="H60" s="112" t="str">
        <f t="shared" ca="1" si="14"/>
        <v>R</v>
      </c>
      <c r="I60" s="112" t="str">
        <f t="shared" ca="1" si="14"/>
        <v>P</v>
      </c>
      <c r="J60" s="112" t="str">
        <f t="shared" ca="1" si="14"/>
        <v>P</v>
      </c>
      <c r="K60" s="112" t="str">
        <f t="shared" ca="1" si="14"/>
        <v>P</v>
      </c>
      <c r="L60" s="112" t="str">
        <f t="shared" ca="1" si="14"/>
        <v>P</v>
      </c>
      <c r="M60" s="112" t="str">
        <f t="shared" ca="1" si="14"/>
        <v>P</v>
      </c>
      <c r="N60" s="112" t="str">
        <f t="shared" ca="1" si="14"/>
        <v>R</v>
      </c>
      <c r="O60" s="112" t="str">
        <f t="shared" ca="1" si="14"/>
        <v>P</v>
      </c>
      <c r="P60" s="112" t="str">
        <f t="shared" ca="1" si="14"/>
        <v>P</v>
      </c>
      <c r="Q60" s="112" t="str">
        <f t="shared" ca="1" si="14"/>
        <v>P</v>
      </c>
      <c r="R60" s="112" t="str">
        <f t="shared" ca="1" si="14"/>
        <v>R</v>
      </c>
      <c r="S60" s="112" t="str">
        <f t="shared" ca="1" si="14"/>
        <v>R</v>
      </c>
      <c r="T60" s="112" t="str">
        <f t="shared" ca="1" si="13"/>
        <v>P</v>
      </c>
      <c r="U60" s="112" t="str">
        <f t="shared" ca="1" si="13"/>
        <v>P</v>
      </c>
      <c r="V60" s="112" t="str">
        <f t="shared" ca="1" si="13"/>
        <v>R</v>
      </c>
      <c r="W60" s="112" t="str">
        <f t="shared" ca="1" si="13"/>
        <v>P</v>
      </c>
      <c r="X60" s="112" t="str">
        <f t="shared" ca="1" si="13"/>
        <v>P</v>
      </c>
      <c r="Y60" s="112" t="str">
        <f t="shared" ca="1" si="13"/>
        <v>P</v>
      </c>
      <c r="Z60" s="112" t="str">
        <f t="shared" ca="1" si="13"/>
        <v>P</v>
      </c>
      <c r="AA60" s="112" t="str">
        <f t="shared" ca="1" si="13"/>
        <v>P</v>
      </c>
      <c r="AB60" s="112" t="str">
        <f t="shared" ca="1" si="13"/>
        <v>P</v>
      </c>
      <c r="AC60" s="112" t="str">
        <f t="shared" ca="1" si="13"/>
        <v>P</v>
      </c>
      <c r="AD60" s="112" t="str">
        <f t="shared" ca="1" si="13"/>
        <v>P</v>
      </c>
      <c r="AE60" s="112" t="str">
        <f t="shared" ca="1" si="13"/>
        <v>P</v>
      </c>
      <c r="AF60" s="112" t="str">
        <f t="shared" ca="1" si="13"/>
        <v>P</v>
      </c>
      <c r="AG60" s="112" t="str">
        <f t="shared" ca="1" si="13"/>
        <v>P</v>
      </c>
      <c r="AH60" s="112" t="str">
        <f t="shared" ca="1" si="13"/>
        <v>P</v>
      </c>
      <c r="AI60" s="110">
        <f t="shared" si="4"/>
        <v>31</v>
      </c>
      <c r="AJ60" s="220">
        <f t="shared" ca="1" si="5"/>
        <v>24</v>
      </c>
      <c r="AK60" s="111">
        <f t="shared" ca="1" si="6"/>
        <v>7</v>
      </c>
    </row>
    <row r="61" spans="1:37" x14ac:dyDescent="0.25">
      <c r="A61" s="105">
        <v>1054</v>
      </c>
      <c r="B61" s="107" t="s">
        <v>85</v>
      </c>
      <c r="C61" s="103" t="s">
        <v>1102</v>
      </c>
      <c r="D61" s="112" t="str">
        <f t="shared" ca="1" si="14"/>
        <v>R</v>
      </c>
      <c r="E61" s="112" t="str">
        <f t="shared" ca="1" si="14"/>
        <v>P</v>
      </c>
      <c r="F61" s="112" t="str">
        <f t="shared" ca="1" si="14"/>
        <v>P</v>
      </c>
      <c r="G61" s="112" t="str">
        <f t="shared" ca="1" si="14"/>
        <v>P</v>
      </c>
      <c r="H61" s="112" t="str">
        <f t="shared" ca="1" si="14"/>
        <v>R</v>
      </c>
      <c r="I61" s="112" t="str">
        <f t="shared" ca="1" si="14"/>
        <v>P</v>
      </c>
      <c r="J61" s="112" t="str">
        <f t="shared" ca="1" si="14"/>
        <v>P</v>
      </c>
      <c r="K61" s="112" t="str">
        <f t="shared" ca="1" si="14"/>
        <v>P</v>
      </c>
      <c r="L61" s="112" t="str">
        <f t="shared" ca="1" si="14"/>
        <v>P</v>
      </c>
      <c r="M61" s="112" t="str">
        <f t="shared" ca="1" si="14"/>
        <v>P</v>
      </c>
      <c r="N61" s="112" t="str">
        <f t="shared" ca="1" si="14"/>
        <v>P</v>
      </c>
      <c r="O61" s="112" t="str">
        <f t="shared" ca="1" si="14"/>
        <v>P</v>
      </c>
      <c r="P61" s="112" t="str">
        <f t="shared" ca="1" si="14"/>
        <v>P</v>
      </c>
      <c r="Q61" s="112" t="str">
        <f t="shared" ca="1" si="14"/>
        <v>P</v>
      </c>
      <c r="R61" s="112" t="str">
        <f t="shared" ca="1" si="14"/>
        <v>P</v>
      </c>
      <c r="S61" s="112" t="str">
        <f t="shared" ca="1" si="14"/>
        <v>P</v>
      </c>
      <c r="T61" s="112" t="str">
        <f t="shared" ca="1" si="13"/>
        <v>R</v>
      </c>
      <c r="U61" s="112" t="str">
        <f t="shared" ca="1" si="13"/>
        <v>P</v>
      </c>
      <c r="V61" s="112" t="str">
        <f t="shared" ca="1" si="13"/>
        <v>R</v>
      </c>
      <c r="W61" s="112" t="str">
        <f t="shared" ca="1" si="13"/>
        <v>P</v>
      </c>
      <c r="X61" s="112" t="str">
        <f t="shared" ca="1" si="13"/>
        <v>P</v>
      </c>
      <c r="Y61" s="112" t="str">
        <f t="shared" ca="1" si="13"/>
        <v>P</v>
      </c>
      <c r="Z61" s="112" t="str">
        <f t="shared" ca="1" si="13"/>
        <v>P</v>
      </c>
      <c r="AA61" s="112" t="str">
        <f t="shared" ca="1" si="13"/>
        <v>P</v>
      </c>
      <c r="AB61" s="112" t="str">
        <f t="shared" ca="1" si="13"/>
        <v>R</v>
      </c>
      <c r="AC61" s="112" t="str">
        <f t="shared" ca="1" si="13"/>
        <v>P</v>
      </c>
      <c r="AD61" s="112" t="str">
        <f t="shared" ca="1" si="13"/>
        <v>P</v>
      </c>
      <c r="AE61" s="112" t="str">
        <f t="shared" ca="1" si="13"/>
        <v>P</v>
      </c>
      <c r="AF61" s="112" t="str">
        <f t="shared" ca="1" si="13"/>
        <v>P</v>
      </c>
      <c r="AG61" s="112" t="str">
        <f t="shared" ca="1" si="13"/>
        <v>R</v>
      </c>
      <c r="AH61" s="112" t="str">
        <f t="shared" ca="1" si="13"/>
        <v>R</v>
      </c>
      <c r="AI61" s="110">
        <f t="shared" si="4"/>
        <v>31</v>
      </c>
      <c r="AJ61" s="220">
        <f t="shared" ca="1" si="5"/>
        <v>29</v>
      </c>
      <c r="AK61" s="111">
        <f t="shared" ca="1" si="6"/>
        <v>2</v>
      </c>
    </row>
    <row r="62" spans="1:37" x14ac:dyDescent="0.25">
      <c r="A62" s="105">
        <v>1055</v>
      </c>
      <c r="B62" s="107" t="s">
        <v>92</v>
      </c>
      <c r="C62" s="103" t="s">
        <v>1108</v>
      </c>
      <c r="D62" s="112" t="str">
        <f t="shared" ca="1" si="14"/>
        <v>P</v>
      </c>
      <c r="E62" s="112" t="str">
        <f t="shared" ca="1" si="14"/>
        <v>P</v>
      </c>
      <c r="F62" s="112" t="str">
        <f t="shared" ca="1" si="14"/>
        <v>P</v>
      </c>
      <c r="G62" s="112" t="str">
        <f t="shared" ca="1" si="14"/>
        <v>P</v>
      </c>
      <c r="H62" s="112" t="str">
        <f t="shared" ca="1" si="14"/>
        <v>R</v>
      </c>
      <c r="I62" s="112" t="str">
        <f t="shared" ca="1" si="14"/>
        <v>P</v>
      </c>
      <c r="J62" s="112" t="str">
        <f t="shared" ca="1" si="14"/>
        <v>R</v>
      </c>
      <c r="K62" s="112" t="str">
        <f t="shared" ca="1" si="14"/>
        <v>P</v>
      </c>
      <c r="L62" s="112" t="str">
        <f t="shared" ca="1" si="14"/>
        <v>P</v>
      </c>
      <c r="M62" s="112" t="str">
        <f t="shared" ca="1" si="14"/>
        <v>P</v>
      </c>
      <c r="N62" s="112" t="str">
        <f t="shared" ca="1" si="14"/>
        <v>P</v>
      </c>
      <c r="O62" s="112" t="str">
        <f t="shared" ca="1" si="14"/>
        <v>P</v>
      </c>
      <c r="P62" s="112" t="str">
        <f t="shared" ca="1" si="14"/>
        <v>P</v>
      </c>
      <c r="Q62" s="112" t="str">
        <f t="shared" ca="1" si="14"/>
        <v>P</v>
      </c>
      <c r="R62" s="112" t="str">
        <f t="shared" ca="1" si="14"/>
        <v>P</v>
      </c>
      <c r="S62" s="112" t="str">
        <f t="shared" ca="1" si="14"/>
        <v>P</v>
      </c>
      <c r="T62" s="112" t="str">
        <f t="shared" ca="1" si="13"/>
        <v>P</v>
      </c>
      <c r="U62" s="112" t="str">
        <f t="shared" ca="1" si="13"/>
        <v>P</v>
      </c>
      <c r="V62" s="112" t="str">
        <f t="shared" ca="1" si="13"/>
        <v>P</v>
      </c>
      <c r="W62" s="112" t="str">
        <f t="shared" ca="1" si="13"/>
        <v>P</v>
      </c>
      <c r="X62" s="112" t="str">
        <f t="shared" ca="1" si="13"/>
        <v>P</v>
      </c>
      <c r="Y62" s="112" t="str">
        <f t="shared" ca="1" si="13"/>
        <v>P</v>
      </c>
      <c r="Z62" s="112" t="str">
        <f t="shared" ca="1" si="13"/>
        <v>P</v>
      </c>
      <c r="AA62" s="112" t="str">
        <f t="shared" ca="1" si="13"/>
        <v>P</v>
      </c>
      <c r="AB62" s="112" t="str">
        <f t="shared" ca="1" si="13"/>
        <v>P</v>
      </c>
      <c r="AC62" s="112" t="str">
        <f t="shared" ca="1" si="13"/>
        <v>P</v>
      </c>
      <c r="AD62" s="112" t="str">
        <f t="shared" ca="1" si="13"/>
        <v>P</v>
      </c>
      <c r="AE62" s="112" t="str">
        <f t="shared" ca="1" si="13"/>
        <v>P</v>
      </c>
      <c r="AF62" s="112" t="str">
        <f t="shared" ca="1" si="13"/>
        <v>P</v>
      </c>
      <c r="AG62" s="112" t="str">
        <f t="shared" ca="1" si="13"/>
        <v>P</v>
      </c>
      <c r="AH62" s="112" t="str">
        <f t="shared" ca="1" si="13"/>
        <v>P</v>
      </c>
      <c r="AI62" s="110">
        <f t="shared" si="4"/>
        <v>31</v>
      </c>
      <c r="AJ62" s="220">
        <f t="shared" ca="1" si="5"/>
        <v>25</v>
      </c>
      <c r="AK62" s="111">
        <f t="shared" ca="1" si="6"/>
        <v>6</v>
      </c>
    </row>
    <row r="63" spans="1:37" x14ac:dyDescent="0.25">
      <c r="A63" s="105">
        <v>1056</v>
      </c>
      <c r="B63" s="107" t="s">
        <v>98</v>
      </c>
      <c r="C63" s="103" t="s">
        <v>1114</v>
      </c>
      <c r="D63" s="112" t="str">
        <f t="shared" ca="1" si="14"/>
        <v>P</v>
      </c>
      <c r="E63" s="112" t="str">
        <f t="shared" ca="1" si="14"/>
        <v>R</v>
      </c>
      <c r="F63" s="112" t="str">
        <f t="shared" ca="1" si="14"/>
        <v>P</v>
      </c>
      <c r="G63" s="112" t="str">
        <f t="shared" ca="1" si="14"/>
        <v>P</v>
      </c>
      <c r="H63" s="112" t="str">
        <f t="shared" ca="1" si="14"/>
        <v>P</v>
      </c>
      <c r="I63" s="112" t="str">
        <f t="shared" ca="1" si="14"/>
        <v>P</v>
      </c>
      <c r="J63" s="112" t="str">
        <f t="shared" ca="1" si="14"/>
        <v>P</v>
      </c>
      <c r="K63" s="112" t="str">
        <f t="shared" ca="1" si="14"/>
        <v>P</v>
      </c>
      <c r="L63" s="112" t="str">
        <f t="shared" ca="1" si="14"/>
        <v>P</v>
      </c>
      <c r="M63" s="112" t="str">
        <f t="shared" ca="1" si="14"/>
        <v>P</v>
      </c>
      <c r="N63" s="112" t="str">
        <f t="shared" ca="1" si="14"/>
        <v>P</v>
      </c>
      <c r="O63" s="112" t="str">
        <f t="shared" ca="1" si="14"/>
        <v>P</v>
      </c>
      <c r="P63" s="112" t="str">
        <f t="shared" ca="1" si="14"/>
        <v>P</v>
      </c>
      <c r="Q63" s="112" t="str">
        <f t="shared" ca="1" si="14"/>
        <v>P</v>
      </c>
      <c r="R63" s="112" t="str">
        <f t="shared" ca="1" si="14"/>
        <v>P</v>
      </c>
      <c r="S63" s="112" t="str">
        <f t="shared" ca="1" si="14"/>
        <v>P</v>
      </c>
      <c r="T63" s="112" t="str">
        <f t="shared" ca="1" si="13"/>
        <v>R</v>
      </c>
      <c r="U63" s="112" t="str">
        <f t="shared" ca="1" si="13"/>
        <v>R</v>
      </c>
      <c r="V63" s="112" t="str">
        <f t="shared" ca="1" si="13"/>
        <v>P</v>
      </c>
      <c r="W63" s="112" t="str">
        <f t="shared" ca="1" si="13"/>
        <v>P</v>
      </c>
      <c r="X63" s="112" t="str">
        <f t="shared" ca="1" si="13"/>
        <v>P</v>
      </c>
      <c r="Y63" s="112" t="str">
        <f t="shared" ca="1" si="13"/>
        <v>R</v>
      </c>
      <c r="Z63" s="112" t="str">
        <f t="shared" ca="1" si="13"/>
        <v>R</v>
      </c>
      <c r="AA63" s="112" t="str">
        <f t="shared" ca="1" si="13"/>
        <v>P</v>
      </c>
      <c r="AB63" s="112" t="str">
        <f t="shared" ca="1" si="13"/>
        <v>P</v>
      </c>
      <c r="AC63" s="112" t="str">
        <f t="shared" ca="1" si="13"/>
        <v>P</v>
      </c>
      <c r="AD63" s="112" t="str">
        <f t="shared" ca="1" si="13"/>
        <v>P</v>
      </c>
      <c r="AE63" s="112" t="str">
        <f t="shared" ca="1" si="13"/>
        <v>P</v>
      </c>
      <c r="AF63" s="112" t="str">
        <f t="shared" ca="1" si="13"/>
        <v>R</v>
      </c>
      <c r="AG63" s="112" t="str">
        <f t="shared" ca="1" si="13"/>
        <v>P</v>
      </c>
      <c r="AH63" s="112" t="str">
        <f t="shared" ca="1" si="13"/>
        <v>P</v>
      </c>
      <c r="AI63" s="110">
        <f t="shared" si="4"/>
        <v>31</v>
      </c>
      <c r="AJ63" s="220">
        <f t="shared" ca="1" si="5"/>
        <v>24</v>
      </c>
      <c r="AK63" s="111">
        <f t="shared" ca="1" si="6"/>
        <v>7</v>
      </c>
    </row>
    <row r="64" spans="1:37" x14ac:dyDescent="0.25">
      <c r="A64" s="105">
        <v>1057</v>
      </c>
      <c r="B64" s="107" t="s">
        <v>104</v>
      </c>
      <c r="C64" s="103" t="s">
        <v>1111</v>
      </c>
      <c r="D64" s="112" t="str">
        <f t="shared" ca="1" si="14"/>
        <v>R</v>
      </c>
      <c r="E64" s="112" t="str">
        <f t="shared" ca="1" si="14"/>
        <v>P</v>
      </c>
      <c r="F64" s="112" t="str">
        <f t="shared" ca="1" si="14"/>
        <v>P</v>
      </c>
      <c r="G64" s="112" t="str">
        <f t="shared" ca="1" si="14"/>
        <v>R</v>
      </c>
      <c r="H64" s="112" t="str">
        <f t="shared" ca="1" si="14"/>
        <v>P</v>
      </c>
      <c r="I64" s="112" t="str">
        <f t="shared" ca="1" si="14"/>
        <v>P</v>
      </c>
      <c r="J64" s="112" t="str">
        <f t="shared" ca="1" si="14"/>
        <v>P</v>
      </c>
      <c r="K64" s="112" t="str">
        <f t="shared" ca="1" si="14"/>
        <v>P</v>
      </c>
      <c r="L64" s="112" t="str">
        <f t="shared" ca="1" si="14"/>
        <v>P</v>
      </c>
      <c r="M64" s="112" t="str">
        <f t="shared" ca="1" si="14"/>
        <v>P</v>
      </c>
      <c r="N64" s="112" t="str">
        <f t="shared" ca="1" si="14"/>
        <v>P</v>
      </c>
      <c r="O64" s="112" t="str">
        <f t="shared" ca="1" si="14"/>
        <v>P</v>
      </c>
      <c r="P64" s="112" t="str">
        <f t="shared" ca="1" si="14"/>
        <v>P</v>
      </c>
      <c r="Q64" s="112" t="str">
        <f t="shared" ca="1" si="14"/>
        <v>P</v>
      </c>
      <c r="R64" s="112" t="str">
        <f t="shared" ca="1" si="14"/>
        <v>P</v>
      </c>
      <c r="S64" s="112" t="str">
        <f t="shared" ca="1" si="14"/>
        <v>P</v>
      </c>
      <c r="T64" s="112" t="str">
        <f t="shared" ca="1" si="13"/>
        <v>P</v>
      </c>
      <c r="U64" s="112" t="str">
        <f t="shared" ca="1" si="13"/>
        <v>P</v>
      </c>
      <c r="V64" s="112" t="str">
        <f t="shared" ca="1" si="13"/>
        <v>R</v>
      </c>
      <c r="W64" s="112" t="str">
        <f t="shared" ca="1" si="13"/>
        <v>P</v>
      </c>
      <c r="X64" s="112" t="str">
        <f t="shared" ca="1" si="13"/>
        <v>P</v>
      </c>
      <c r="Y64" s="112" t="str">
        <f t="shared" ca="1" si="13"/>
        <v>R</v>
      </c>
      <c r="Z64" s="112" t="str">
        <f t="shared" ca="1" si="13"/>
        <v>P</v>
      </c>
      <c r="AA64" s="112" t="str">
        <f t="shared" ca="1" si="13"/>
        <v>P</v>
      </c>
      <c r="AB64" s="112" t="str">
        <f t="shared" ca="1" si="13"/>
        <v>P</v>
      </c>
      <c r="AC64" s="112" t="str">
        <f t="shared" ca="1" si="13"/>
        <v>R</v>
      </c>
      <c r="AD64" s="112" t="str">
        <f t="shared" ca="1" si="13"/>
        <v>P</v>
      </c>
      <c r="AE64" s="112" t="str">
        <f t="shared" ca="1" si="13"/>
        <v>P</v>
      </c>
      <c r="AF64" s="112" t="str">
        <f t="shared" ca="1" si="13"/>
        <v>R</v>
      </c>
      <c r="AG64" s="112" t="str">
        <f t="shared" ca="1" si="13"/>
        <v>P</v>
      </c>
      <c r="AH64" s="112" t="str">
        <f t="shared" ca="1" si="13"/>
        <v>R</v>
      </c>
      <c r="AI64" s="110">
        <f t="shared" si="4"/>
        <v>31</v>
      </c>
      <c r="AJ64" s="220">
        <f t="shared" ca="1" si="5"/>
        <v>22</v>
      </c>
      <c r="AK64" s="111">
        <f t="shared" ca="1" si="6"/>
        <v>9</v>
      </c>
    </row>
    <row r="65" spans="1:37" x14ac:dyDescent="0.25">
      <c r="A65" s="105">
        <v>1058</v>
      </c>
      <c r="B65" s="107" t="s">
        <v>111</v>
      </c>
      <c r="C65" s="103" t="s">
        <v>1106</v>
      </c>
      <c r="D65" s="112" t="str">
        <f t="shared" ca="1" si="14"/>
        <v>P</v>
      </c>
      <c r="E65" s="112" t="str">
        <f t="shared" ca="1" si="14"/>
        <v>P</v>
      </c>
      <c r="F65" s="112" t="str">
        <f t="shared" ca="1" si="14"/>
        <v>P</v>
      </c>
      <c r="G65" s="112" t="str">
        <f t="shared" ca="1" si="14"/>
        <v>P</v>
      </c>
      <c r="H65" s="112" t="str">
        <f t="shared" ca="1" si="14"/>
        <v>P</v>
      </c>
      <c r="I65" s="112" t="str">
        <f t="shared" ca="1" si="14"/>
        <v>R</v>
      </c>
      <c r="J65" s="112" t="str">
        <f t="shared" ca="1" si="14"/>
        <v>R</v>
      </c>
      <c r="K65" s="112" t="str">
        <f t="shared" ca="1" si="14"/>
        <v>P</v>
      </c>
      <c r="L65" s="112" t="str">
        <f t="shared" ca="1" si="14"/>
        <v>P</v>
      </c>
      <c r="M65" s="112" t="str">
        <f t="shared" ca="1" si="14"/>
        <v>R</v>
      </c>
      <c r="N65" s="112" t="str">
        <f t="shared" ca="1" si="14"/>
        <v>P</v>
      </c>
      <c r="O65" s="112" t="str">
        <f t="shared" ca="1" si="14"/>
        <v>P</v>
      </c>
      <c r="P65" s="112" t="str">
        <f t="shared" ca="1" si="14"/>
        <v>P</v>
      </c>
      <c r="Q65" s="112" t="str">
        <f t="shared" ca="1" si="14"/>
        <v>R</v>
      </c>
      <c r="R65" s="112" t="str">
        <f t="shared" ca="1" si="14"/>
        <v>P</v>
      </c>
      <c r="S65" s="112" t="str">
        <f t="shared" ca="1" si="14"/>
        <v>P</v>
      </c>
      <c r="T65" s="112" t="str">
        <f t="shared" ca="1" si="13"/>
        <v>P</v>
      </c>
      <c r="U65" s="112" t="str">
        <f t="shared" ca="1" si="13"/>
        <v>P</v>
      </c>
      <c r="V65" s="112" t="str">
        <f t="shared" ca="1" si="13"/>
        <v>R</v>
      </c>
      <c r="W65" s="112" t="str">
        <f t="shared" ca="1" si="13"/>
        <v>P</v>
      </c>
      <c r="X65" s="112" t="str">
        <f t="shared" ca="1" si="13"/>
        <v>R</v>
      </c>
      <c r="Y65" s="112" t="str">
        <f t="shared" ca="1" si="13"/>
        <v>R</v>
      </c>
      <c r="Z65" s="112" t="str">
        <f t="shared" ca="1" si="13"/>
        <v>P</v>
      </c>
      <c r="AA65" s="112" t="str">
        <f t="shared" ca="1" si="13"/>
        <v>R</v>
      </c>
      <c r="AB65" s="112" t="str">
        <f t="shared" ca="1" si="13"/>
        <v>P</v>
      </c>
      <c r="AC65" s="112" t="str">
        <f t="shared" ca="1" si="13"/>
        <v>P</v>
      </c>
      <c r="AD65" s="112" t="str">
        <f t="shared" ca="1" si="13"/>
        <v>P</v>
      </c>
      <c r="AE65" s="112" t="str">
        <f t="shared" ca="1" si="13"/>
        <v>P</v>
      </c>
      <c r="AF65" s="112" t="str">
        <f t="shared" ca="1" si="13"/>
        <v>P</v>
      </c>
      <c r="AG65" s="112" t="str">
        <f t="shared" ca="1" si="13"/>
        <v>P</v>
      </c>
      <c r="AH65" s="112" t="str">
        <f t="shared" ca="1" si="13"/>
        <v>R</v>
      </c>
      <c r="AI65" s="110">
        <f t="shared" si="4"/>
        <v>31</v>
      </c>
      <c r="AJ65" s="220">
        <f t="shared" ca="1" si="5"/>
        <v>23</v>
      </c>
      <c r="AK65" s="111">
        <f t="shared" ca="1" si="6"/>
        <v>8</v>
      </c>
    </row>
    <row r="66" spans="1:37" x14ac:dyDescent="0.25">
      <c r="A66" s="105">
        <v>1059</v>
      </c>
      <c r="B66" s="107" t="s">
        <v>117</v>
      </c>
      <c r="C66" s="103" t="s">
        <v>1103</v>
      </c>
      <c r="D66" s="112" t="str">
        <f t="shared" ca="1" si="14"/>
        <v>P</v>
      </c>
      <c r="E66" s="112" t="str">
        <f t="shared" ca="1" si="14"/>
        <v>P</v>
      </c>
      <c r="F66" s="112" t="str">
        <f t="shared" ca="1" si="14"/>
        <v>P</v>
      </c>
      <c r="G66" s="112" t="str">
        <f t="shared" ca="1" si="14"/>
        <v>R</v>
      </c>
      <c r="H66" s="112" t="str">
        <f t="shared" ca="1" si="14"/>
        <v>P</v>
      </c>
      <c r="I66" s="112" t="str">
        <f t="shared" ca="1" si="14"/>
        <v>P</v>
      </c>
      <c r="J66" s="112" t="str">
        <f t="shared" ca="1" si="14"/>
        <v>P</v>
      </c>
      <c r="K66" s="112" t="str">
        <f t="shared" ca="1" si="14"/>
        <v>P</v>
      </c>
      <c r="L66" s="112" t="str">
        <f t="shared" ca="1" si="14"/>
        <v>P</v>
      </c>
      <c r="M66" s="112" t="str">
        <f t="shared" ca="1" si="14"/>
        <v>P</v>
      </c>
      <c r="N66" s="112" t="str">
        <f t="shared" ca="1" si="14"/>
        <v>P</v>
      </c>
      <c r="O66" s="112" t="str">
        <f t="shared" ca="1" si="14"/>
        <v>P</v>
      </c>
      <c r="P66" s="112" t="str">
        <f t="shared" ca="1" si="14"/>
        <v>P</v>
      </c>
      <c r="Q66" s="112" t="str">
        <f t="shared" ca="1" si="14"/>
        <v>P</v>
      </c>
      <c r="R66" s="112" t="str">
        <f t="shared" ca="1" si="14"/>
        <v>R</v>
      </c>
      <c r="S66" s="112" t="str">
        <f t="shared" ca="1" si="14"/>
        <v>R</v>
      </c>
      <c r="T66" s="112" t="str">
        <f t="shared" ca="1" si="13"/>
        <v>P</v>
      </c>
      <c r="U66" s="112" t="str">
        <f t="shared" ca="1" si="13"/>
        <v>P</v>
      </c>
      <c r="V66" s="112" t="str">
        <f t="shared" ca="1" si="13"/>
        <v>P</v>
      </c>
      <c r="W66" s="112" t="str">
        <f t="shared" ca="1" si="13"/>
        <v>P</v>
      </c>
      <c r="X66" s="112" t="str">
        <f t="shared" ca="1" si="13"/>
        <v>P</v>
      </c>
      <c r="Y66" s="112" t="str">
        <f t="shared" ca="1" si="13"/>
        <v>P</v>
      </c>
      <c r="Z66" s="112" t="str">
        <f t="shared" ca="1" si="13"/>
        <v>P</v>
      </c>
      <c r="AA66" s="112" t="str">
        <f t="shared" ca="1" si="13"/>
        <v>R</v>
      </c>
      <c r="AB66" s="112" t="str">
        <f t="shared" ca="1" si="13"/>
        <v>R</v>
      </c>
      <c r="AC66" s="112" t="str">
        <f t="shared" ca="1" si="13"/>
        <v>R</v>
      </c>
      <c r="AD66" s="112" t="str">
        <f t="shared" ca="1" si="13"/>
        <v>P</v>
      </c>
      <c r="AE66" s="112" t="str">
        <f t="shared" ca="1" si="13"/>
        <v>R</v>
      </c>
      <c r="AF66" s="112" t="str">
        <f t="shared" ca="1" si="13"/>
        <v>R</v>
      </c>
      <c r="AG66" s="112" t="str">
        <f t="shared" ca="1" si="13"/>
        <v>P</v>
      </c>
      <c r="AH66" s="112" t="str">
        <f t="shared" ca="1" si="13"/>
        <v>P</v>
      </c>
      <c r="AI66" s="110">
        <f t="shared" si="4"/>
        <v>31</v>
      </c>
      <c r="AJ66" s="220">
        <f t="shared" ca="1" si="5"/>
        <v>27</v>
      </c>
      <c r="AK66" s="111">
        <f t="shared" ca="1" si="6"/>
        <v>4</v>
      </c>
    </row>
    <row r="67" spans="1:37" x14ac:dyDescent="0.25">
      <c r="A67" s="105">
        <v>1060</v>
      </c>
      <c r="B67" s="107" t="s">
        <v>124</v>
      </c>
      <c r="C67" s="103" t="s">
        <v>1103</v>
      </c>
      <c r="D67" s="112" t="str">
        <f t="shared" ca="1" si="14"/>
        <v>P</v>
      </c>
      <c r="E67" s="112" t="str">
        <f t="shared" ca="1" si="14"/>
        <v>P</v>
      </c>
      <c r="F67" s="112" t="str">
        <f t="shared" ca="1" si="14"/>
        <v>P</v>
      </c>
      <c r="G67" s="112" t="str">
        <f t="shared" ca="1" si="14"/>
        <v>P</v>
      </c>
      <c r="H67" s="112" t="str">
        <f t="shared" ca="1" si="14"/>
        <v>P</v>
      </c>
      <c r="I67" s="112" t="str">
        <f t="shared" ca="1" si="14"/>
        <v>P</v>
      </c>
      <c r="J67" s="112" t="str">
        <f t="shared" ca="1" si="14"/>
        <v>P</v>
      </c>
      <c r="K67" s="112" t="str">
        <f t="shared" ca="1" si="14"/>
        <v>P</v>
      </c>
      <c r="L67" s="112" t="str">
        <f t="shared" ca="1" si="14"/>
        <v>P</v>
      </c>
      <c r="M67" s="112" t="str">
        <f t="shared" ca="1" si="14"/>
        <v>P</v>
      </c>
      <c r="N67" s="112" t="str">
        <f t="shared" ca="1" si="14"/>
        <v>P</v>
      </c>
      <c r="O67" s="112" t="str">
        <f t="shared" ca="1" si="14"/>
        <v>P</v>
      </c>
      <c r="P67" s="112" t="str">
        <f t="shared" ca="1" si="14"/>
        <v>P</v>
      </c>
      <c r="Q67" s="112" t="str">
        <f t="shared" ca="1" si="14"/>
        <v>P</v>
      </c>
      <c r="R67" s="112" t="str">
        <f t="shared" ca="1" si="14"/>
        <v>R</v>
      </c>
      <c r="S67" s="112" t="str">
        <f t="shared" ca="1" si="14"/>
        <v>P</v>
      </c>
      <c r="T67" s="112" t="str">
        <f t="shared" ca="1" si="13"/>
        <v>R</v>
      </c>
      <c r="U67" s="112" t="str">
        <f t="shared" ca="1" si="13"/>
        <v>P</v>
      </c>
      <c r="V67" s="112" t="str">
        <f t="shared" ca="1" si="13"/>
        <v>P</v>
      </c>
      <c r="W67" s="112" t="str">
        <f t="shared" ca="1" si="13"/>
        <v>P</v>
      </c>
      <c r="X67" s="112" t="str">
        <f t="shared" ca="1" si="13"/>
        <v>P</v>
      </c>
      <c r="Y67" s="112" t="str">
        <f t="shared" ca="1" si="13"/>
        <v>R</v>
      </c>
      <c r="Z67" s="112" t="str">
        <f t="shared" ca="1" si="13"/>
        <v>R</v>
      </c>
      <c r="AA67" s="112" t="str">
        <f t="shared" ca="1" si="13"/>
        <v>P</v>
      </c>
      <c r="AB67" s="112" t="str">
        <f t="shared" ca="1" si="13"/>
        <v>P</v>
      </c>
      <c r="AC67" s="112" t="str">
        <f t="shared" ca="1" si="13"/>
        <v>P</v>
      </c>
      <c r="AD67" s="112" t="str">
        <f t="shared" ca="1" si="13"/>
        <v>P</v>
      </c>
      <c r="AE67" s="112" t="str">
        <f t="shared" ca="1" si="13"/>
        <v>P</v>
      </c>
      <c r="AF67" s="112" t="str">
        <f t="shared" ca="1" si="13"/>
        <v>P</v>
      </c>
      <c r="AG67" s="112" t="str">
        <f t="shared" ca="1" si="13"/>
        <v>P</v>
      </c>
      <c r="AH67" s="112" t="str">
        <f t="shared" ca="1" si="13"/>
        <v>P</v>
      </c>
      <c r="AI67" s="110">
        <f t="shared" si="4"/>
        <v>31</v>
      </c>
      <c r="AJ67" s="220">
        <f t="shared" ca="1" si="5"/>
        <v>28</v>
      </c>
      <c r="AK67" s="111">
        <f t="shared" ca="1" si="6"/>
        <v>3</v>
      </c>
    </row>
    <row r="68" spans="1:37" x14ac:dyDescent="0.25">
      <c r="A68" s="105">
        <v>1061</v>
      </c>
      <c r="B68" s="107" t="s">
        <v>129</v>
      </c>
      <c r="C68" s="103" t="s">
        <v>1108</v>
      </c>
      <c r="D68" s="112" t="str">
        <f t="shared" ca="1" si="14"/>
        <v>P</v>
      </c>
      <c r="E68" s="112" t="str">
        <f t="shared" ca="1" si="14"/>
        <v>R</v>
      </c>
      <c r="F68" s="112" t="str">
        <f t="shared" ca="1" si="14"/>
        <v>P</v>
      </c>
      <c r="G68" s="112" t="str">
        <f t="shared" ca="1" si="14"/>
        <v>P</v>
      </c>
      <c r="H68" s="112" t="str">
        <f t="shared" ca="1" si="14"/>
        <v>P</v>
      </c>
      <c r="I68" s="112" t="str">
        <f t="shared" ca="1" si="14"/>
        <v>R</v>
      </c>
      <c r="J68" s="112" t="str">
        <f t="shared" ca="1" si="14"/>
        <v>P</v>
      </c>
      <c r="K68" s="112" t="str">
        <f t="shared" ca="1" si="14"/>
        <v>P</v>
      </c>
      <c r="L68" s="112" t="str">
        <f t="shared" ca="1" si="14"/>
        <v>P</v>
      </c>
      <c r="M68" s="112" t="str">
        <f t="shared" ca="1" si="14"/>
        <v>P</v>
      </c>
      <c r="N68" s="112" t="str">
        <f t="shared" ca="1" si="14"/>
        <v>P</v>
      </c>
      <c r="O68" s="112" t="str">
        <f t="shared" ca="1" si="14"/>
        <v>P</v>
      </c>
      <c r="P68" s="112" t="str">
        <f t="shared" ca="1" si="14"/>
        <v>P</v>
      </c>
      <c r="Q68" s="112" t="str">
        <f t="shared" ca="1" si="14"/>
        <v>P</v>
      </c>
      <c r="R68" s="112" t="str">
        <f t="shared" ca="1" si="14"/>
        <v>R</v>
      </c>
      <c r="S68" s="112" t="str">
        <f t="shared" ca="1" si="14"/>
        <v>P</v>
      </c>
      <c r="T68" s="112" t="str">
        <f t="shared" ca="1" si="13"/>
        <v>P</v>
      </c>
      <c r="U68" s="112" t="str">
        <f t="shared" ca="1" si="13"/>
        <v>P</v>
      </c>
      <c r="V68" s="112" t="str">
        <f t="shared" ca="1" si="13"/>
        <v>P</v>
      </c>
      <c r="W68" s="112" t="str">
        <f t="shared" ca="1" si="13"/>
        <v>P</v>
      </c>
      <c r="X68" s="112" t="str">
        <f t="shared" ca="1" si="13"/>
        <v>P</v>
      </c>
      <c r="Y68" s="112" t="str">
        <f t="shared" ca="1" si="13"/>
        <v>P</v>
      </c>
      <c r="Z68" s="112" t="str">
        <f t="shared" ca="1" si="13"/>
        <v>P</v>
      </c>
      <c r="AA68" s="112" t="str">
        <f t="shared" ca="1" si="13"/>
        <v>P</v>
      </c>
      <c r="AB68" s="112" t="str">
        <f t="shared" ca="1" si="13"/>
        <v>P</v>
      </c>
      <c r="AC68" s="112" t="str">
        <f t="shared" ca="1" si="13"/>
        <v>P</v>
      </c>
      <c r="AD68" s="112" t="str">
        <f t="shared" ca="1" si="13"/>
        <v>P</v>
      </c>
      <c r="AE68" s="112" t="str">
        <f t="shared" ca="1" si="13"/>
        <v>P</v>
      </c>
      <c r="AF68" s="112" t="str">
        <f t="shared" ca="1" si="13"/>
        <v>P</v>
      </c>
      <c r="AG68" s="112" t="str">
        <f t="shared" ca="1" si="13"/>
        <v>P</v>
      </c>
      <c r="AH68" s="112" t="str">
        <f t="shared" ca="1" si="13"/>
        <v>P</v>
      </c>
      <c r="AI68" s="110">
        <f t="shared" si="4"/>
        <v>31</v>
      </c>
      <c r="AJ68" s="220">
        <f t="shared" ca="1" si="5"/>
        <v>24</v>
      </c>
      <c r="AK68" s="111">
        <f t="shared" ca="1" si="6"/>
        <v>7</v>
      </c>
    </row>
    <row r="69" spans="1:37" x14ac:dyDescent="0.25">
      <c r="A69" s="105">
        <v>1062</v>
      </c>
      <c r="B69" s="107" t="s">
        <v>135</v>
      </c>
      <c r="C69" s="103" t="s">
        <v>1115</v>
      </c>
      <c r="D69" s="112" t="str">
        <f t="shared" ca="1" si="14"/>
        <v>P</v>
      </c>
      <c r="E69" s="112" t="str">
        <f t="shared" ca="1" si="14"/>
        <v>R</v>
      </c>
      <c r="F69" s="112" t="str">
        <f t="shared" ca="1" si="14"/>
        <v>R</v>
      </c>
      <c r="G69" s="112" t="str">
        <f t="shared" ca="1" si="14"/>
        <v>R</v>
      </c>
      <c r="H69" s="112" t="str">
        <f t="shared" ca="1" si="14"/>
        <v>P</v>
      </c>
      <c r="I69" s="112" t="str">
        <f t="shared" ca="1" si="14"/>
        <v>P</v>
      </c>
      <c r="J69" s="112" t="str">
        <f t="shared" ca="1" si="14"/>
        <v>P</v>
      </c>
      <c r="K69" s="112" t="str">
        <f t="shared" ca="1" si="14"/>
        <v>P</v>
      </c>
      <c r="L69" s="112" t="str">
        <f t="shared" ca="1" si="14"/>
        <v>P</v>
      </c>
      <c r="M69" s="112" t="str">
        <f t="shared" ca="1" si="14"/>
        <v>P</v>
      </c>
      <c r="N69" s="112" t="str">
        <f t="shared" ca="1" si="14"/>
        <v>P</v>
      </c>
      <c r="O69" s="112" t="str">
        <f t="shared" ca="1" si="14"/>
        <v>P</v>
      </c>
      <c r="P69" s="112" t="str">
        <f t="shared" ca="1" si="14"/>
        <v>P</v>
      </c>
      <c r="Q69" s="112" t="str">
        <f t="shared" ca="1" si="14"/>
        <v>P</v>
      </c>
      <c r="R69" s="112" t="str">
        <f t="shared" ca="1" si="14"/>
        <v>P</v>
      </c>
      <c r="S69" s="112" t="str">
        <f t="shared" ca="1" si="14"/>
        <v>P</v>
      </c>
      <c r="T69" s="112" t="str">
        <f t="shared" ca="1" si="13"/>
        <v>P</v>
      </c>
      <c r="U69" s="112" t="str">
        <f t="shared" ca="1" si="13"/>
        <v>P</v>
      </c>
      <c r="V69" s="112" t="str">
        <f t="shared" ca="1" si="13"/>
        <v>P</v>
      </c>
      <c r="W69" s="112" t="str">
        <f t="shared" ca="1" si="13"/>
        <v>P</v>
      </c>
      <c r="X69" s="112" t="str">
        <f t="shared" ca="1" si="13"/>
        <v>R</v>
      </c>
      <c r="Y69" s="112" t="str">
        <f t="shared" ca="1" si="13"/>
        <v>P</v>
      </c>
      <c r="Z69" s="112" t="str">
        <f t="shared" ca="1" si="13"/>
        <v>R</v>
      </c>
      <c r="AA69" s="112" t="str">
        <f t="shared" ca="1" si="13"/>
        <v>P</v>
      </c>
      <c r="AB69" s="112" t="str">
        <f t="shared" ca="1" si="13"/>
        <v>P</v>
      </c>
      <c r="AC69" s="112" t="str">
        <f t="shared" ca="1" si="13"/>
        <v>P</v>
      </c>
      <c r="AD69" s="112" t="str">
        <f t="shared" ca="1" si="13"/>
        <v>R</v>
      </c>
      <c r="AE69" s="112" t="str">
        <f t="shared" ca="1" si="13"/>
        <v>P</v>
      </c>
      <c r="AF69" s="112" t="str">
        <f t="shared" ca="1" si="13"/>
        <v>P</v>
      </c>
      <c r="AG69" s="112" t="str">
        <f t="shared" ca="1" si="13"/>
        <v>R</v>
      </c>
      <c r="AH69" s="112" t="str">
        <f t="shared" ca="1" si="13"/>
        <v>P</v>
      </c>
      <c r="AI69" s="110">
        <f t="shared" si="4"/>
        <v>31</v>
      </c>
      <c r="AJ69" s="220">
        <f t="shared" ca="1" si="5"/>
        <v>27</v>
      </c>
      <c r="AK69" s="111">
        <f t="shared" ca="1" si="6"/>
        <v>4</v>
      </c>
    </row>
    <row r="70" spans="1:37" x14ac:dyDescent="0.25">
      <c r="A70" s="105">
        <v>1063</v>
      </c>
      <c r="B70" s="107" t="s">
        <v>142</v>
      </c>
      <c r="C70" s="103" t="s">
        <v>1105</v>
      </c>
      <c r="D70" s="112" t="str">
        <f t="shared" ca="1" si="14"/>
        <v>R</v>
      </c>
      <c r="E70" s="112" t="str">
        <f t="shared" ca="1" si="14"/>
        <v>R</v>
      </c>
      <c r="F70" s="112" t="str">
        <f t="shared" ca="1" si="14"/>
        <v>P</v>
      </c>
      <c r="G70" s="112" t="str">
        <f t="shared" ca="1" si="14"/>
        <v>P</v>
      </c>
      <c r="H70" s="112" t="str">
        <f t="shared" ca="1" si="14"/>
        <v>P</v>
      </c>
      <c r="I70" s="112" t="str">
        <f t="shared" ca="1" si="14"/>
        <v>P</v>
      </c>
      <c r="J70" s="112" t="str">
        <f t="shared" ca="1" si="14"/>
        <v>P</v>
      </c>
      <c r="K70" s="112" t="str">
        <f t="shared" ca="1" si="14"/>
        <v>P</v>
      </c>
      <c r="L70" s="112" t="str">
        <f t="shared" ca="1" si="14"/>
        <v>P</v>
      </c>
      <c r="M70" s="112" t="str">
        <f t="shared" ca="1" si="14"/>
        <v>P</v>
      </c>
      <c r="N70" s="112" t="str">
        <f t="shared" ca="1" si="14"/>
        <v>P</v>
      </c>
      <c r="O70" s="112" t="str">
        <f t="shared" ca="1" si="14"/>
        <v>P</v>
      </c>
      <c r="P70" s="112" t="str">
        <f t="shared" ca="1" si="14"/>
        <v>P</v>
      </c>
      <c r="Q70" s="112" t="str">
        <f t="shared" ca="1" si="14"/>
        <v>P</v>
      </c>
      <c r="R70" s="112" t="str">
        <f t="shared" ca="1" si="14"/>
        <v>P</v>
      </c>
      <c r="S70" s="112" t="str">
        <f t="shared" ca="1" si="14"/>
        <v>P</v>
      </c>
      <c r="T70" s="112" t="str">
        <f t="shared" ca="1" si="13"/>
        <v>P</v>
      </c>
      <c r="U70" s="112" t="str">
        <f t="shared" ca="1" si="13"/>
        <v>P</v>
      </c>
      <c r="V70" s="112" t="str">
        <f t="shared" ca="1" si="13"/>
        <v>P</v>
      </c>
      <c r="W70" s="112" t="str">
        <f t="shared" ca="1" si="13"/>
        <v>P</v>
      </c>
      <c r="X70" s="112" t="str">
        <f t="shared" ca="1" si="13"/>
        <v>P</v>
      </c>
      <c r="Y70" s="112" t="str">
        <f t="shared" ca="1" si="13"/>
        <v>R</v>
      </c>
      <c r="Z70" s="112" t="str">
        <f t="shared" ca="1" si="13"/>
        <v>P</v>
      </c>
      <c r="AA70" s="112" t="str">
        <f t="shared" ca="1" si="13"/>
        <v>P</v>
      </c>
      <c r="AB70" s="112" t="str">
        <f t="shared" ca="1" si="13"/>
        <v>P</v>
      </c>
      <c r="AC70" s="112" t="str">
        <f t="shared" ca="1" si="13"/>
        <v>P</v>
      </c>
      <c r="AD70" s="112" t="str">
        <f t="shared" ca="1" si="13"/>
        <v>P</v>
      </c>
      <c r="AE70" s="112" t="str">
        <f t="shared" ca="1" si="13"/>
        <v>P</v>
      </c>
      <c r="AF70" s="112" t="str">
        <f t="shared" ca="1" si="13"/>
        <v>R</v>
      </c>
      <c r="AG70" s="112" t="str">
        <f t="shared" ca="1" si="13"/>
        <v>P</v>
      </c>
      <c r="AH70" s="112" t="str">
        <f t="shared" ca="1" si="13"/>
        <v>P</v>
      </c>
      <c r="AI70" s="110">
        <f t="shared" si="4"/>
        <v>31</v>
      </c>
      <c r="AJ70" s="220">
        <f t="shared" ca="1" si="5"/>
        <v>25</v>
      </c>
      <c r="AK70" s="111">
        <f t="shared" ca="1" si="6"/>
        <v>6</v>
      </c>
    </row>
    <row r="71" spans="1:37" x14ac:dyDescent="0.25">
      <c r="A71" s="105">
        <v>1064</v>
      </c>
      <c r="B71" s="107" t="s">
        <v>148</v>
      </c>
      <c r="C71" s="103" t="s">
        <v>1106</v>
      </c>
      <c r="D71" s="112" t="str">
        <f t="shared" ca="1" si="14"/>
        <v>P</v>
      </c>
      <c r="E71" s="112" t="str">
        <f t="shared" ca="1" si="14"/>
        <v>P</v>
      </c>
      <c r="F71" s="112" t="str">
        <f t="shared" ca="1" si="14"/>
        <v>R</v>
      </c>
      <c r="G71" s="112" t="str">
        <f t="shared" ca="1" si="14"/>
        <v>R</v>
      </c>
      <c r="H71" s="112" t="str">
        <f t="shared" ca="1" si="14"/>
        <v>P</v>
      </c>
      <c r="I71" s="112" t="str">
        <f t="shared" ca="1" si="14"/>
        <v>P</v>
      </c>
      <c r="J71" s="112" t="str">
        <f t="shared" ca="1" si="14"/>
        <v>R</v>
      </c>
      <c r="K71" s="112" t="str">
        <f t="shared" ca="1" si="14"/>
        <v>P</v>
      </c>
      <c r="L71" s="112" t="str">
        <f t="shared" ca="1" si="14"/>
        <v>P</v>
      </c>
      <c r="M71" s="112" t="str">
        <f t="shared" ca="1" si="14"/>
        <v>P</v>
      </c>
      <c r="N71" s="112" t="str">
        <f t="shared" ca="1" si="14"/>
        <v>P</v>
      </c>
      <c r="O71" s="112" t="str">
        <f t="shared" ca="1" si="14"/>
        <v>P</v>
      </c>
      <c r="P71" s="112" t="str">
        <f t="shared" ca="1" si="14"/>
        <v>P</v>
      </c>
      <c r="Q71" s="112" t="str">
        <f t="shared" ca="1" si="14"/>
        <v>P</v>
      </c>
      <c r="R71" s="112" t="str">
        <f t="shared" ca="1" si="14"/>
        <v>R</v>
      </c>
      <c r="S71" s="112" t="str">
        <f t="shared" ref="S71:AH86" ca="1" si="15">IF(S$6="","",IF(RAND()&lt;0.8,"P","R"))</f>
        <v>P</v>
      </c>
      <c r="T71" s="112" t="str">
        <f t="shared" ca="1" si="15"/>
        <v>P</v>
      </c>
      <c r="U71" s="112" t="str">
        <f t="shared" ca="1" si="15"/>
        <v>P</v>
      </c>
      <c r="V71" s="112" t="str">
        <f t="shared" ca="1" si="15"/>
        <v>R</v>
      </c>
      <c r="W71" s="112" t="str">
        <f t="shared" ca="1" si="15"/>
        <v>P</v>
      </c>
      <c r="X71" s="112" t="str">
        <f t="shared" ca="1" si="15"/>
        <v>P</v>
      </c>
      <c r="Y71" s="112" t="str">
        <f t="shared" ca="1" si="15"/>
        <v>R</v>
      </c>
      <c r="Z71" s="112" t="str">
        <f t="shared" ca="1" si="15"/>
        <v>P</v>
      </c>
      <c r="AA71" s="112" t="str">
        <f t="shared" ca="1" si="15"/>
        <v>P</v>
      </c>
      <c r="AB71" s="112" t="str">
        <f t="shared" ca="1" si="15"/>
        <v>P</v>
      </c>
      <c r="AC71" s="112" t="str">
        <f t="shared" ca="1" si="15"/>
        <v>P</v>
      </c>
      <c r="AD71" s="112" t="str">
        <f t="shared" ca="1" si="15"/>
        <v>P</v>
      </c>
      <c r="AE71" s="112" t="str">
        <f t="shared" ca="1" si="15"/>
        <v>P</v>
      </c>
      <c r="AF71" s="112" t="str">
        <f t="shared" ca="1" si="15"/>
        <v>P</v>
      </c>
      <c r="AG71" s="112" t="str">
        <f t="shared" ca="1" si="15"/>
        <v>P</v>
      </c>
      <c r="AH71" s="112" t="str">
        <f t="shared" ca="1" si="15"/>
        <v>P</v>
      </c>
      <c r="AI71" s="110">
        <f t="shared" ref="AI71:AI134" si="16">DAY($X$4)</f>
        <v>31</v>
      </c>
      <c r="AJ71" s="220">
        <f t="shared" ref="AJ71:AJ105" ca="1" si="17">COUNTIF(D72:AH72,"P")</f>
        <v>28</v>
      </c>
      <c r="AK71" s="111">
        <f t="shared" ref="AK71:AK105" ca="1" si="18">COUNTIF(D72:AH72,"R")</f>
        <v>3</v>
      </c>
    </row>
    <row r="72" spans="1:37" x14ac:dyDescent="0.25">
      <c r="A72" s="105">
        <v>1065</v>
      </c>
      <c r="B72" s="107" t="s">
        <v>153</v>
      </c>
      <c r="C72" s="103" t="s">
        <v>1108</v>
      </c>
      <c r="D72" s="112" t="str">
        <f t="shared" ref="D72:S87" ca="1" si="19">IF(D$6="","",IF(RAND()&lt;0.8,"P","R"))</f>
        <v>P</v>
      </c>
      <c r="E72" s="112" t="str">
        <f t="shared" ca="1" si="19"/>
        <v>P</v>
      </c>
      <c r="F72" s="112" t="str">
        <f t="shared" ca="1" si="19"/>
        <v>P</v>
      </c>
      <c r="G72" s="112" t="str">
        <f t="shared" ca="1" si="19"/>
        <v>P</v>
      </c>
      <c r="H72" s="112" t="str">
        <f t="shared" ca="1" si="19"/>
        <v>P</v>
      </c>
      <c r="I72" s="112" t="str">
        <f t="shared" ca="1" si="19"/>
        <v>P</v>
      </c>
      <c r="J72" s="112" t="str">
        <f t="shared" ca="1" si="19"/>
        <v>P</v>
      </c>
      <c r="K72" s="112" t="str">
        <f t="shared" ca="1" si="19"/>
        <v>R</v>
      </c>
      <c r="L72" s="112" t="str">
        <f t="shared" ca="1" si="19"/>
        <v>P</v>
      </c>
      <c r="M72" s="112" t="str">
        <f t="shared" ca="1" si="19"/>
        <v>P</v>
      </c>
      <c r="N72" s="112" t="str">
        <f t="shared" ca="1" si="19"/>
        <v>P</v>
      </c>
      <c r="O72" s="112" t="str">
        <f t="shared" ca="1" si="19"/>
        <v>P</v>
      </c>
      <c r="P72" s="112" t="str">
        <f t="shared" ca="1" si="19"/>
        <v>R</v>
      </c>
      <c r="Q72" s="112" t="str">
        <f t="shared" ca="1" si="19"/>
        <v>P</v>
      </c>
      <c r="R72" s="112" t="str">
        <f t="shared" ca="1" si="19"/>
        <v>P</v>
      </c>
      <c r="S72" s="112" t="str">
        <f t="shared" ca="1" si="15"/>
        <v>P</v>
      </c>
      <c r="T72" s="112" t="str">
        <f t="shared" ca="1" si="15"/>
        <v>P</v>
      </c>
      <c r="U72" s="112" t="str">
        <f t="shared" ca="1" si="15"/>
        <v>P</v>
      </c>
      <c r="V72" s="112" t="str">
        <f t="shared" ca="1" si="15"/>
        <v>R</v>
      </c>
      <c r="W72" s="112" t="str">
        <f t="shared" ca="1" si="15"/>
        <v>P</v>
      </c>
      <c r="X72" s="112" t="str">
        <f t="shared" ca="1" si="15"/>
        <v>P</v>
      </c>
      <c r="Y72" s="112" t="str">
        <f t="shared" ca="1" si="15"/>
        <v>P</v>
      </c>
      <c r="Z72" s="112" t="str">
        <f t="shared" ca="1" si="15"/>
        <v>P</v>
      </c>
      <c r="AA72" s="112" t="str">
        <f t="shared" ca="1" si="15"/>
        <v>P</v>
      </c>
      <c r="AB72" s="112" t="str">
        <f t="shared" ca="1" si="15"/>
        <v>P</v>
      </c>
      <c r="AC72" s="112" t="str">
        <f t="shared" ca="1" si="15"/>
        <v>P</v>
      </c>
      <c r="AD72" s="112" t="str">
        <f t="shared" ca="1" si="15"/>
        <v>P</v>
      </c>
      <c r="AE72" s="112" t="str">
        <f t="shared" ca="1" si="15"/>
        <v>P</v>
      </c>
      <c r="AF72" s="112" t="str">
        <f t="shared" ca="1" si="15"/>
        <v>P</v>
      </c>
      <c r="AG72" s="112" t="str">
        <f t="shared" ca="1" si="15"/>
        <v>P</v>
      </c>
      <c r="AH72" s="112" t="str">
        <f t="shared" ca="1" si="15"/>
        <v>P</v>
      </c>
      <c r="AI72" s="110">
        <f t="shared" si="16"/>
        <v>31</v>
      </c>
      <c r="AJ72" s="220">
        <f t="shared" ca="1" si="17"/>
        <v>22</v>
      </c>
      <c r="AK72" s="111">
        <f t="shared" ca="1" si="18"/>
        <v>9</v>
      </c>
    </row>
    <row r="73" spans="1:37" x14ac:dyDescent="0.25">
      <c r="A73" s="105">
        <v>1066</v>
      </c>
      <c r="B73" s="107" t="s">
        <v>159</v>
      </c>
      <c r="C73" s="103" t="s">
        <v>1104</v>
      </c>
      <c r="D73" s="112" t="str">
        <f t="shared" ca="1" si="19"/>
        <v>R</v>
      </c>
      <c r="E73" s="112" t="str">
        <f t="shared" ca="1" si="19"/>
        <v>P</v>
      </c>
      <c r="F73" s="112" t="str">
        <f t="shared" ca="1" si="19"/>
        <v>P</v>
      </c>
      <c r="G73" s="112" t="str">
        <f t="shared" ca="1" si="19"/>
        <v>P</v>
      </c>
      <c r="H73" s="112" t="str">
        <f t="shared" ca="1" si="19"/>
        <v>P</v>
      </c>
      <c r="I73" s="112" t="str">
        <f t="shared" ca="1" si="19"/>
        <v>R</v>
      </c>
      <c r="J73" s="112" t="str">
        <f t="shared" ca="1" si="19"/>
        <v>P</v>
      </c>
      <c r="K73" s="112" t="str">
        <f t="shared" ca="1" si="19"/>
        <v>P</v>
      </c>
      <c r="L73" s="112" t="str">
        <f t="shared" ca="1" si="19"/>
        <v>R</v>
      </c>
      <c r="M73" s="112" t="str">
        <f t="shared" ca="1" si="19"/>
        <v>P</v>
      </c>
      <c r="N73" s="112" t="str">
        <f t="shared" ca="1" si="19"/>
        <v>R</v>
      </c>
      <c r="O73" s="112" t="str">
        <f t="shared" ca="1" si="19"/>
        <v>P</v>
      </c>
      <c r="P73" s="112" t="str">
        <f t="shared" ca="1" si="19"/>
        <v>P</v>
      </c>
      <c r="Q73" s="112" t="str">
        <f t="shared" ca="1" si="19"/>
        <v>P</v>
      </c>
      <c r="R73" s="112" t="str">
        <f t="shared" ca="1" si="19"/>
        <v>P</v>
      </c>
      <c r="S73" s="112" t="str">
        <f t="shared" ca="1" si="15"/>
        <v>P</v>
      </c>
      <c r="T73" s="112" t="str">
        <f t="shared" ca="1" si="15"/>
        <v>R</v>
      </c>
      <c r="U73" s="112" t="str">
        <f t="shared" ca="1" si="15"/>
        <v>P</v>
      </c>
      <c r="V73" s="112" t="str">
        <f t="shared" ca="1" si="15"/>
        <v>R</v>
      </c>
      <c r="W73" s="112" t="str">
        <f t="shared" ca="1" si="15"/>
        <v>P</v>
      </c>
      <c r="X73" s="112" t="str">
        <f t="shared" ca="1" si="15"/>
        <v>P</v>
      </c>
      <c r="Y73" s="112" t="str">
        <f t="shared" ca="1" si="15"/>
        <v>P</v>
      </c>
      <c r="Z73" s="112" t="str">
        <f t="shared" ca="1" si="15"/>
        <v>R</v>
      </c>
      <c r="AA73" s="112" t="str">
        <f t="shared" ca="1" si="15"/>
        <v>P</v>
      </c>
      <c r="AB73" s="112" t="str">
        <f t="shared" ca="1" si="15"/>
        <v>P</v>
      </c>
      <c r="AC73" s="112" t="str">
        <f t="shared" ca="1" si="15"/>
        <v>P</v>
      </c>
      <c r="AD73" s="112" t="str">
        <f t="shared" ca="1" si="15"/>
        <v>P</v>
      </c>
      <c r="AE73" s="112" t="str">
        <f t="shared" ca="1" si="15"/>
        <v>R</v>
      </c>
      <c r="AF73" s="112" t="str">
        <f t="shared" ca="1" si="15"/>
        <v>P</v>
      </c>
      <c r="AG73" s="112" t="str">
        <f t="shared" ca="1" si="15"/>
        <v>R</v>
      </c>
      <c r="AH73" s="112" t="str">
        <f t="shared" ca="1" si="15"/>
        <v>P</v>
      </c>
      <c r="AI73" s="110">
        <f t="shared" si="16"/>
        <v>31</v>
      </c>
      <c r="AJ73" s="220">
        <f t="shared" ca="1" si="17"/>
        <v>23</v>
      </c>
      <c r="AK73" s="111">
        <f t="shared" ca="1" si="18"/>
        <v>8</v>
      </c>
    </row>
    <row r="74" spans="1:37" x14ac:dyDescent="0.25">
      <c r="A74" s="105">
        <v>1067</v>
      </c>
      <c r="B74" s="107" t="s">
        <v>166</v>
      </c>
      <c r="C74" s="103" t="s">
        <v>1107</v>
      </c>
      <c r="D74" s="112" t="str">
        <f t="shared" ca="1" si="19"/>
        <v>P</v>
      </c>
      <c r="E74" s="112" t="str">
        <f t="shared" ca="1" si="19"/>
        <v>R</v>
      </c>
      <c r="F74" s="112" t="str">
        <f t="shared" ca="1" si="19"/>
        <v>P</v>
      </c>
      <c r="G74" s="112" t="str">
        <f t="shared" ca="1" si="19"/>
        <v>R</v>
      </c>
      <c r="H74" s="112" t="str">
        <f t="shared" ca="1" si="19"/>
        <v>P</v>
      </c>
      <c r="I74" s="112" t="str">
        <f t="shared" ca="1" si="19"/>
        <v>P</v>
      </c>
      <c r="J74" s="112" t="str">
        <f t="shared" ca="1" si="19"/>
        <v>P</v>
      </c>
      <c r="K74" s="112" t="str">
        <f t="shared" ca="1" si="19"/>
        <v>P</v>
      </c>
      <c r="L74" s="112" t="str">
        <f t="shared" ca="1" si="19"/>
        <v>P</v>
      </c>
      <c r="M74" s="112" t="str">
        <f t="shared" ca="1" si="19"/>
        <v>P</v>
      </c>
      <c r="N74" s="112" t="str">
        <f t="shared" ca="1" si="19"/>
        <v>P</v>
      </c>
      <c r="O74" s="112" t="str">
        <f t="shared" ca="1" si="19"/>
        <v>P</v>
      </c>
      <c r="P74" s="112" t="str">
        <f t="shared" ca="1" si="19"/>
        <v>P</v>
      </c>
      <c r="Q74" s="112" t="str">
        <f t="shared" ca="1" si="19"/>
        <v>P</v>
      </c>
      <c r="R74" s="112" t="str">
        <f t="shared" ca="1" si="19"/>
        <v>P</v>
      </c>
      <c r="S74" s="112" t="str">
        <f t="shared" ca="1" si="15"/>
        <v>R</v>
      </c>
      <c r="T74" s="112" t="str">
        <f t="shared" ca="1" si="15"/>
        <v>P</v>
      </c>
      <c r="U74" s="112" t="str">
        <f t="shared" ca="1" si="15"/>
        <v>P</v>
      </c>
      <c r="V74" s="112" t="str">
        <f t="shared" ca="1" si="15"/>
        <v>P</v>
      </c>
      <c r="W74" s="112" t="str">
        <f t="shared" ca="1" si="15"/>
        <v>P</v>
      </c>
      <c r="X74" s="112" t="str">
        <f t="shared" ca="1" si="15"/>
        <v>P</v>
      </c>
      <c r="Y74" s="112" t="str">
        <f t="shared" ca="1" si="15"/>
        <v>P</v>
      </c>
      <c r="Z74" s="112" t="str">
        <f t="shared" ca="1" si="15"/>
        <v>R</v>
      </c>
      <c r="AA74" s="112" t="str">
        <f t="shared" ca="1" si="15"/>
        <v>P</v>
      </c>
      <c r="AB74" s="112" t="str">
        <f t="shared" ca="1" si="15"/>
        <v>P</v>
      </c>
      <c r="AC74" s="112" t="str">
        <f t="shared" ca="1" si="15"/>
        <v>P</v>
      </c>
      <c r="AD74" s="112" t="str">
        <f t="shared" ca="1" si="15"/>
        <v>R</v>
      </c>
      <c r="AE74" s="112" t="str">
        <f t="shared" ca="1" si="15"/>
        <v>P</v>
      </c>
      <c r="AF74" s="112" t="str">
        <f t="shared" ca="1" si="15"/>
        <v>R</v>
      </c>
      <c r="AG74" s="112" t="str">
        <f t="shared" ca="1" si="15"/>
        <v>R</v>
      </c>
      <c r="AH74" s="112" t="str">
        <f t="shared" ca="1" si="15"/>
        <v>R</v>
      </c>
      <c r="AI74" s="110">
        <f t="shared" si="16"/>
        <v>31</v>
      </c>
      <c r="AJ74" s="220">
        <f t="shared" ca="1" si="17"/>
        <v>29</v>
      </c>
      <c r="AK74" s="111">
        <f t="shared" ca="1" si="18"/>
        <v>2</v>
      </c>
    </row>
    <row r="75" spans="1:37" x14ac:dyDescent="0.25">
      <c r="A75" s="105">
        <v>1068</v>
      </c>
      <c r="B75" s="107" t="s">
        <v>172</v>
      </c>
      <c r="C75" s="103" t="s">
        <v>1114</v>
      </c>
      <c r="D75" s="112" t="str">
        <f t="shared" ca="1" si="19"/>
        <v>P</v>
      </c>
      <c r="E75" s="112" t="str">
        <f t="shared" ca="1" si="19"/>
        <v>P</v>
      </c>
      <c r="F75" s="112" t="str">
        <f t="shared" ca="1" si="19"/>
        <v>P</v>
      </c>
      <c r="G75" s="112" t="str">
        <f t="shared" ca="1" si="19"/>
        <v>P</v>
      </c>
      <c r="H75" s="112" t="str">
        <f t="shared" ca="1" si="19"/>
        <v>P</v>
      </c>
      <c r="I75" s="112" t="str">
        <f t="shared" ca="1" si="19"/>
        <v>P</v>
      </c>
      <c r="J75" s="112" t="str">
        <f t="shared" ca="1" si="19"/>
        <v>P</v>
      </c>
      <c r="K75" s="112" t="str">
        <f t="shared" ca="1" si="19"/>
        <v>P</v>
      </c>
      <c r="L75" s="112" t="str">
        <f t="shared" ca="1" si="19"/>
        <v>P</v>
      </c>
      <c r="M75" s="112" t="str">
        <f t="shared" ca="1" si="19"/>
        <v>P</v>
      </c>
      <c r="N75" s="112" t="str">
        <f t="shared" ca="1" si="19"/>
        <v>P</v>
      </c>
      <c r="O75" s="112" t="str">
        <f t="shared" ca="1" si="19"/>
        <v>P</v>
      </c>
      <c r="P75" s="112" t="str">
        <f t="shared" ca="1" si="19"/>
        <v>P</v>
      </c>
      <c r="Q75" s="112" t="str">
        <f t="shared" ca="1" si="19"/>
        <v>P</v>
      </c>
      <c r="R75" s="112" t="str">
        <f t="shared" ca="1" si="19"/>
        <v>P</v>
      </c>
      <c r="S75" s="112" t="str">
        <f t="shared" ca="1" si="15"/>
        <v>P</v>
      </c>
      <c r="T75" s="112" t="str">
        <f t="shared" ca="1" si="15"/>
        <v>P</v>
      </c>
      <c r="U75" s="112" t="str">
        <f t="shared" ca="1" si="15"/>
        <v>P</v>
      </c>
      <c r="V75" s="112" t="str">
        <f t="shared" ca="1" si="15"/>
        <v>P</v>
      </c>
      <c r="W75" s="112" t="str">
        <f t="shared" ca="1" si="15"/>
        <v>P</v>
      </c>
      <c r="X75" s="112" t="str">
        <f t="shared" ca="1" si="15"/>
        <v>P</v>
      </c>
      <c r="Y75" s="112" t="str">
        <f t="shared" ca="1" si="15"/>
        <v>P</v>
      </c>
      <c r="Z75" s="112" t="str">
        <f t="shared" ca="1" si="15"/>
        <v>P</v>
      </c>
      <c r="AA75" s="112" t="str">
        <f t="shared" ca="1" si="15"/>
        <v>P</v>
      </c>
      <c r="AB75" s="112" t="str">
        <f t="shared" ca="1" si="15"/>
        <v>R</v>
      </c>
      <c r="AC75" s="112" t="str">
        <f t="shared" ca="1" si="15"/>
        <v>R</v>
      </c>
      <c r="AD75" s="112" t="str">
        <f t="shared" ca="1" si="15"/>
        <v>P</v>
      </c>
      <c r="AE75" s="112" t="str">
        <f t="shared" ca="1" si="15"/>
        <v>P</v>
      </c>
      <c r="AF75" s="112" t="str">
        <f t="shared" ca="1" si="15"/>
        <v>P</v>
      </c>
      <c r="AG75" s="112" t="str">
        <f t="shared" ca="1" si="15"/>
        <v>P</v>
      </c>
      <c r="AH75" s="112" t="str">
        <f t="shared" ca="1" si="15"/>
        <v>P</v>
      </c>
      <c r="AI75" s="110">
        <f t="shared" si="16"/>
        <v>31</v>
      </c>
      <c r="AJ75" s="220">
        <f t="shared" ca="1" si="17"/>
        <v>28</v>
      </c>
      <c r="AK75" s="111">
        <f t="shared" ca="1" si="18"/>
        <v>3</v>
      </c>
    </row>
    <row r="76" spans="1:37" x14ac:dyDescent="0.25">
      <c r="A76" s="105">
        <v>1069</v>
      </c>
      <c r="B76" s="107" t="s">
        <v>178</v>
      </c>
      <c r="C76" s="103" t="s">
        <v>1103</v>
      </c>
      <c r="D76" s="112" t="str">
        <f t="shared" ca="1" si="19"/>
        <v>R</v>
      </c>
      <c r="E76" s="112" t="str">
        <f t="shared" ca="1" si="19"/>
        <v>P</v>
      </c>
      <c r="F76" s="112" t="str">
        <f t="shared" ca="1" si="19"/>
        <v>P</v>
      </c>
      <c r="G76" s="112" t="str">
        <f t="shared" ca="1" si="19"/>
        <v>P</v>
      </c>
      <c r="H76" s="112" t="str">
        <f t="shared" ca="1" si="19"/>
        <v>P</v>
      </c>
      <c r="I76" s="112" t="str">
        <f t="shared" ca="1" si="19"/>
        <v>P</v>
      </c>
      <c r="J76" s="112" t="str">
        <f t="shared" ca="1" si="19"/>
        <v>P</v>
      </c>
      <c r="K76" s="112" t="str">
        <f t="shared" ca="1" si="19"/>
        <v>P</v>
      </c>
      <c r="L76" s="112" t="str">
        <f t="shared" ca="1" si="19"/>
        <v>R</v>
      </c>
      <c r="M76" s="112" t="str">
        <f t="shared" ca="1" si="19"/>
        <v>P</v>
      </c>
      <c r="N76" s="112" t="str">
        <f t="shared" ca="1" si="19"/>
        <v>P</v>
      </c>
      <c r="O76" s="112" t="str">
        <f t="shared" ca="1" si="19"/>
        <v>P</v>
      </c>
      <c r="P76" s="112" t="str">
        <f t="shared" ca="1" si="19"/>
        <v>P</v>
      </c>
      <c r="Q76" s="112" t="str">
        <f t="shared" ca="1" si="19"/>
        <v>P</v>
      </c>
      <c r="R76" s="112" t="str">
        <f t="shared" ca="1" si="19"/>
        <v>P</v>
      </c>
      <c r="S76" s="112" t="str">
        <f t="shared" ca="1" si="15"/>
        <v>P</v>
      </c>
      <c r="T76" s="112" t="str">
        <f t="shared" ca="1" si="15"/>
        <v>P</v>
      </c>
      <c r="U76" s="112" t="str">
        <f t="shared" ca="1" si="15"/>
        <v>P</v>
      </c>
      <c r="V76" s="112" t="str">
        <f t="shared" ca="1" si="15"/>
        <v>P</v>
      </c>
      <c r="W76" s="112" t="str">
        <f t="shared" ca="1" si="15"/>
        <v>P</v>
      </c>
      <c r="X76" s="112" t="str">
        <f t="shared" ca="1" si="15"/>
        <v>P</v>
      </c>
      <c r="Y76" s="112" t="str">
        <f t="shared" ca="1" si="15"/>
        <v>P</v>
      </c>
      <c r="Z76" s="112" t="str">
        <f t="shared" ca="1" si="15"/>
        <v>P</v>
      </c>
      <c r="AA76" s="112" t="str">
        <f t="shared" ca="1" si="15"/>
        <v>P</v>
      </c>
      <c r="AB76" s="112" t="str">
        <f t="shared" ca="1" si="15"/>
        <v>P</v>
      </c>
      <c r="AC76" s="112" t="str">
        <f t="shared" ca="1" si="15"/>
        <v>P</v>
      </c>
      <c r="AD76" s="112" t="str">
        <f t="shared" ca="1" si="15"/>
        <v>P</v>
      </c>
      <c r="AE76" s="112" t="str">
        <f t="shared" ca="1" si="15"/>
        <v>P</v>
      </c>
      <c r="AF76" s="112" t="str">
        <f t="shared" ca="1" si="15"/>
        <v>P</v>
      </c>
      <c r="AG76" s="112" t="str">
        <f t="shared" ca="1" si="15"/>
        <v>R</v>
      </c>
      <c r="AH76" s="112" t="str">
        <f t="shared" ca="1" si="15"/>
        <v>P</v>
      </c>
      <c r="AI76" s="110">
        <f t="shared" si="16"/>
        <v>31</v>
      </c>
      <c r="AJ76" s="220">
        <f t="shared" ca="1" si="17"/>
        <v>27</v>
      </c>
      <c r="AK76" s="111">
        <f t="shared" ca="1" si="18"/>
        <v>4</v>
      </c>
    </row>
    <row r="77" spans="1:37" x14ac:dyDescent="0.25">
      <c r="A77" s="105">
        <v>1070</v>
      </c>
      <c r="B77" s="107" t="s">
        <v>184</v>
      </c>
      <c r="C77" s="103" t="s">
        <v>1115</v>
      </c>
      <c r="D77" s="112" t="str">
        <f t="shared" ca="1" si="19"/>
        <v>P</v>
      </c>
      <c r="E77" s="112" t="str">
        <f t="shared" ca="1" si="19"/>
        <v>P</v>
      </c>
      <c r="F77" s="112" t="str">
        <f t="shared" ca="1" si="19"/>
        <v>P</v>
      </c>
      <c r="G77" s="112" t="str">
        <f t="shared" ca="1" si="19"/>
        <v>P</v>
      </c>
      <c r="H77" s="112" t="str">
        <f t="shared" ca="1" si="19"/>
        <v>P</v>
      </c>
      <c r="I77" s="112" t="str">
        <f t="shared" ca="1" si="19"/>
        <v>P</v>
      </c>
      <c r="J77" s="112" t="str">
        <f t="shared" ca="1" si="19"/>
        <v>P</v>
      </c>
      <c r="K77" s="112" t="str">
        <f t="shared" ca="1" si="19"/>
        <v>P</v>
      </c>
      <c r="L77" s="112" t="str">
        <f t="shared" ca="1" si="19"/>
        <v>P</v>
      </c>
      <c r="M77" s="112" t="str">
        <f t="shared" ca="1" si="19"/>
        <v>P</v>
      </c>
      <c r="N77" s="112" t="str">
        <f t="shared" ca="1" si="19"/>
        <v>R</v>
      </c>
      <c r="O77" s="112" t="str">
        <f t="shared" ca="1" si="19"/>
        <v>P</v>
      </c>
      <c r="P77" s="112" t="str">
        <f t="shared" ca="1" si="19"/>
        <v>P</v>
      </c>
      <c r="Q77" s="112" t="str">
        <f t="shared" ca="1" si="19"/>
        <v>P</v>
      </c>
      <c r="R77" s="112" t="str">
        <f t="shared" ca="1" si="19"/>
        <v>P</v>
      </c>
      <c r="S77" s="112" t="str">
        <f t="shared" ca="1" si="15"/>
        <v>P</v>
      </c>
      <c r="T77" s="112" t="str">
        <f t="shared" ca="1" si="15"/>
        <v>P</v>
      </c>
      <c r="U77" s="112" t="str">
        <f t="shared" ca="1" si="15"/>
        <v>P</v>
      </c>
      <c r="V77" s="112" t="str">
        <f t="shared" ca="1" si="15"/>
        <v>P</v>
      </c>
      <c r="W77" s="112" t="str">
        <f t="shared" ca="1" si="15"/>
        <v>P</v>
      </c>
      <c r="X77" s="112" t="str">
        <f t="shared" ca="1" si="15"/>
        <v>P</v>
      </c>
      <c r="Y77" s="112" t="str">
        <f t="shared" ca="1" si="15"/>
        <v>P</v>
      </c>
      <c r="Z77" s="112" t="str">
        <f t="shared" ca="1" si="15"/>
        <v>P</v>
      </c>
      <c r="AA77" s="112" t="str">
        <f t="shared" ca="1" si="15"/>
        <v>P</v>
      </c>
      <c r="AB77" s="112" t="str">
        <f t="shared" ca="1" si="15"/>
        <v>R</v>
      </c>
      <c r="AC77" s="112" t="str">
        <f t="shared" ca="1" si="15"/>
        <v>R</v>
      </c>
      <c r="AD77" s="112" t="str">
        <f t="shared" ca="1" si="15"/>
        <v>P</v>
      </c>
      <c r="AE77" s="112" t="str">
        <f t="shared" ca="1" si="15"/>
        <v>P</v>
      </c>
      <c r="AF77" s="112" t="str">
        <f t="shared" ca="1" si="15"/>
        <v>P</v>
      </c>
      <c r="AG77" s="112" t="str">
        <f t="shared" ca="1" si="15"/>
        <v>P</v>
      </c>
      <c r="AH77" s="112" t="str">
        <f t="shared" ca="1" si="15"/>
        <v>R</v>
      </c>
      <c r="AI77" s="110">
        <f t="shared" si="16"/>
        <v>31</v>
      </c>
      <c r="AJ77" s="220">
        <f t="shared" ca="1" si="17"/>
        <v>22</v>
      </c>
      <c r="AK77" s="111">
        <f t="shared" ca="1" si="18"/>
        <v>9</v>
      </c>
    </row>
    <row r="78" spans="1:37" x14ac:dyDescent="0.25">
      <c r="A78" s="105">
        <v>1071</v>
      </c>
      <c r="B78" s="107" t="s">
        <v>190</v>
      </c>
      <c r="C78" s="103" t="s">
        <v>1102</v>
      </c>
      <c r="D78" s="112" t="str">
        <f t="shared" ca="1" si="19"/>
        <v>P</v>
      </c>
      <c r="E78" s="112" t="str">
        <f t="shared" ca="1" si="19"/>
        <v>P</v>
      </c>
      <c r="F78" s="112" t="str">
        <f t="shared" ca="1" si="19"/>
        <v>P</v>
      </c>
      <c r="G78" s="112" t="str">
        <f t="shared" ca="1" si="19"/>
        <v>R</v>
      </c>
      <c r="H78" s="112" t="str">
        <f t="shared" ca="1" si="19"/>
        <v>P</v>
      </c>
      <c r="I78" s="112" t="str">
        <f t="shared" ca="1" si="19"/>
        <v>P</v>
      </c>
      <c r="J78" s="112" t="str">
        <f t="shared" ca="1" si="19"/>
        <v>P</v>
      </c>
      <c r="K78" s="112" t="str">
        <f t="shared" ca="1" si="19"/>
        <v>R</v>
      </c>
      <c r="L78" s="112" t="str">
        <f t="shared" ca="1" si="19"/>
        <v>R</v>
      </c>
      <c r="M78" s="112" t="str">
        <f t="shared" ca="1" si="19"/>
        <v>R</v>
      </c>
      <c r="N78" s="112" t="str">
        <f t="shared" ca="1" si="19"/>
        <v>R</v>
      </c>
      <c r="O78" s="112" t="str">
        <f t="shared" ca="1" si="19"/>
        <v>P</v>
      </c>
      <c r="P78" s="112" t="str">
        <f t="shared" ca="1" si="19"/>
        <v>P</v>
      </c>
      <c r="Q78" s="112" t="str">
        <f t="shared" ca="1" si="19"/>
        <v>P</v>
      </c>
      <c r="R78" s="112" t="str">
        <f t="shared" ca="1" si="19"/>
        <v>P</v>
      </c>
      <c r="S78" s="112" t="str">
        <f t="shared" ca="1" si="15"/>
        <v>P</v>
      </c>
      <c r="T78" s="112" t="str">
        <f t="shared" ca="1" si="15"/>
        <v>P</v>
      </c>
      <c r="U78" s="112" t="str">
        <f t="shared" ca="1" si="15"/>
        <v>P</v>
      </c>
      <c r="V78" s="112" t="str">
        <f t="shared" ca="1" si="15"/>
        <v>P</v>
      </c>
      <c r="W78" s="112" t="str">
        <f t="shared" ca="1" si="15"/>
        <v>P</v>
      </c>
      <c r="X78" s="112" t="str">
        <f t="shared" ca="1" si="15"/>
        <v>R</v>
      </c>
      <c r="Y78" s="112" t="str">
        <f t="shared" ca="1" si="15"/>
        <v>P</v>
      </c>
      <c r="Z78" s="112" t="str">
        <f t="shared" ca="1" si="15"/>
        <v>P</v>
      </c>
      <c r="AA78" s="112" t="str">
        <f t="shared" ca="1" si="15"/>
        <v>P</v>
      </c>
      <c r="AB78" s="112" t="str">
        <f t="shared" ca="1" si="15"/>
        <v>P</v>
      </c>
      <c r="AC78" s="112" t="str">
        <f t="shared" ca="1" si="15"/>
        <v>R</v>
      </c>
      <c r="AD78" s="112" t="str">
        <f t="shared" ca="1" si="15"/>
        <v>P</v>
      </c>
      <c r="AE78" s="112" t="str">
        <f t="shared" ca="1" si="15"/>
        <v>P</v>
      </c>
      <c r="AF78" s="112" t="str">
        <f t="shared" ca="1" si="15"/>
        <v>R</v>
      </c>
      <c r="AG78" s="112" t="str">
        <f t="shared" ca="1" si="15"/>
        <v>P</v>
      </c>
      <c r="AH78" s="112" t="str">
        <f t="shared" ca="1" si="15"/>
        <v>R</v>
      </c>
      <c r="AI78" s="110">
        <f t="shared" si="16"/>
        <v>31</v>
      </c>
      <c r="AJ78" s="220">
        <f t="shared" ca="1" si="17"/>
        <v>25</v>
      </c>
      <c r="AK78" s="111">
        <f t="shared" ca="1" si="18"/>
        <v>6</v>
      </c>
    </row>
    <row r="79" spans="1:37" x14ac:dyDescent="0.25">
      <c r="A79" s="105">
        <v>1072</v>
      </c>
      <c r="B79" s="107" t="s">
        <v>197</v>
      </c>
      <c r="C79" s="103" t="s">
        <v>1110</v>
      </c>
      <c r="D79" s="112" t="str">
        <f t="shared" ca="1" si="19"/>
        <v>P</v>
      </c>
      <c r="E79" s="112" t="str">
        <f t="shared" ca="1" si="19"/>
        <v>P</v>
      </c>
      <c r="F79" s="112" t="str">
        <f t="shared" ca="1" si="19"/>
        <v>P</v>
      </c>
      <c r="G79" s="112" t="str">
        <f t="shared" ca="1" si="19"/>
        <v>R</v>
      </c>
      <c r="H79" s="112" t="str">
        <f t="shared" ca="1" si="19"/>
        <v>P</v>
      </c>
      <c r="I79" s="112" t="str">
        <f t="shared" ca="1" si="19"/>
        <v>P</v>
      </c>
      <c r="J79" s="112" t="str">
        <f t="shared" ca="1" si="19"/>
        <v>P</v>
      </c>
      <c r="K79" s="112" t="str">
        <f t="shared" ca="1" si="19"/>
        <v>P</v>
      </c>
      <c r="L79" s="112" t="str">
        <f t="shared" ca="1" si="19"/>
        <v>P</v>
      </c>
      <c r="M79" s="112" t="str">
        <f t="shared" ca="1" si="19"/>
        <v>P</v>
      </c>
      <c r="N79" s="112" t="str">
        <f t="shared" ca="1" si="19"/>
        <v>P</v>
      </c>
      <c r="O79" s="112" t="str">
        <f t="shared" ca="1" si="19"/>
        <v>R</v>
      </c>
      <c r="P79" s="112" t="str">
        <f t="shared" ca="1" si="19"/>
        <v>P</v>
      </c>
      <c r="Q79" s="112" t="str">
        <f t="shared" ca="1" si="19"/>
        <v>R</v>
      </c>
      <c r="R79" s="112" t="str">
        <f t="shared" ca="1" si="19"/>
        <v>P</v>
      </c>
      <c r="S79" s="112" t="str">
        <f t="shared" ca="1" si="15"/>
        <v>P</v>
      </c>
      <c r="T79" s="112" t="str">
        <f t="shared" ca="1" si="15"/>
        <v>P</v>
      </c>
      <c r="U79" s="112" t="str">
        <f t="shared" ca="1" si="15"/>
        <v>P</v>
      </c>
      <c r="V79" s="112" t="str">
        <f t="shared" ca="1" si="15"/>
        <v>P</v>
      </c>
      <c r="W79" s="112" t="str">
        <f t="shared" ca="1" si="15"/>
        <v>P</v>
      </c>
      <c r="X79" s="112" t="str">
        <f t="shared" ca="1" si="15"/>
        <v>R</v>
      </c>
      <c r="Y79" s="112" t="str">
        <f t="shared" ca="1" si="15"/>
        <v>R</v>
      </c>
      <c r="Z79" s="112" t="str">
        <f t="shared" ca="1" si="15"/>
        <v>P</v>
      </c>
      <c r="AA79" s="112" t="str">
        <f t="shared" ca="1" si="15"/>
        <v>P</v>
      </c>
      <c r="AB79" s="112" t="str">
        <f t="shared" ca="1" si="15"/>
        <v>P</v>
      </c>
      <c r="AC79" s="112" t="str">
        <f t="shared" ca="1" si="15"/>
        <v>P</v>
      </c>
      <c r="AD79" s="112" t="str">
        <f t="shared" ca="1" si="15"/>
        <v>P</v>
      </c>
      <c r="AE79" s="112" t="str">
        <f t="shared" ca="1" si="15"/>
        <v>R</v>
      </c>
      <c r="AF79" s="112" t="str">
        <f t="shared" ca="1" si="15"/>
        <v>P</v>
      </c>
      <c r="AG79" s="112" t="str">
        <f t="shared" ca="1" si="15"/>
        <v>P</v>
      </c>
      <c r="AH79" s="112" t="str">
        <f t="shared" ca="1" si="15"/>
        <v>P</v>
      </c>
      <c r="AI79" s="110">
        <f t="shared" si="16"/>
        <v>31</v>
      </c>
      <c r="AJ79" s="220">
        <f t="shared" ca="1" si="17"/>
        <v>23</v>
      </c>
      <c r="AK79" s="111">
        <f t="shared" ca="1" si="18"/>
        <v>8</v>
      </c>
    </row>
    <row r="80" spans="1:37" x14ac:dyDescent="0.25">
      <c r="A80" s="105">
        <v>1073</v>
      </c>
      <c r="B80" s="107" t="s">
        <v>202</v>
      </c>
      <c r="C80" s="103" t="s">
        <v>1106</v>
      </c>
      <c r="D80" s="112" t="str">
        <f t="shared" ca="1" si="19"/>
        <v>P</v>
      </c>
      <c r="E80" s="112" t="str">
        <f t="shared" ca="1" si="19"/>
        <v>R</v>
      </c>
      <c r="F80" s="112" t="str">
        <f t="shared" ca="1" si="19"/>
        <v>P</v>
      </c>
      <c r="G80" s="112" t="str">
        <f t="shared" ca="1" si="19"/>
        <v>R</v>
      </c>
      <c r="H80" s="112" t="str">
        <f t="shared" ca="1" si="19"/>
        <v>P</v>
      </c>
      <c r="I80" s="112" t="str">
        <f t="shared" ca="1" si="19"/>
        <v>P</v>
      </c>
      <c r="J80" s="112" t="str">
        <f t="shared" ca="1" si="19"/>
        <v>P</v>
      </c>
      <c r="K80" s="112" t="str">
        <f t="shared" ca="1" si="19"/>
        <v>P</v>
      </c>
      <c r="L80" s="112" t="str">
        <f t="shared" ca="1" si="19"/>
        <v>P</v>
      </c>
      <c r="M80" s="112" t="str">
        <f t="shared" ca="1" si="19"/>
        <v>P</v>
      </c>
      <c r="N80" s="112" t="str">
        <f t="shared" ca="1" si="19"/>
        <v>P</v>
      </c>
      <c r="O80" s="112" t="str">
        <f t="shared" ca="1" si="19"/>
        <v>P</v>
      </c>
      <c r="P80" s="112" t="str">
        <f t="shared" ca="1" si="19"/>
        <v>P</v>
      </c>
      <c r="Q80" s="112" t="str">
        <f t="shared" ca="1" si="19"/>
        <v>R</v>
      </c>
      <c r="R80" s="112" t="str">
        <f t="shared" ca="1" si="19"/>
        <v>R</v>
      </c>
      <c r="S80" s="112" t="str">
        <f t="shared" ca="1" si="15"/>
        <v>P</v>
      </c>
      <c r="T80" s="112" t="str">
        <f t="shared" ca="1" si="15"/>
        <v>P</v>
      </c>
      <c r="U80" s="112" t="str">
        <f t="shared" ca="1" si="15"/>
        <v>P</v>
      </c>
      <c r="V80" s="112" t="str">
        <f t="shared" ca="1" si="15"/>
        <v>P</v>
      </c>
      <c r="W80" s="112" t="str">
        <f t="shared" ca="1" si="15"/>
        <v>P</v>
      </c>
      <c r="X80" s="112" t="str">
        <f t="shared" ca="1" si="15"/>
        <v>R</v>
      </c>
      <c r="Y80" s="112" t="str">
        <f t="shared" ca="1" si="15"/>
        <v>P</v>
      </c>
      <c r="Z80" s="112" t="str">
        <f t="shared" ca="1" si="15"/>
        <v>R</v>
      </c>
      <c r="AA80" s="112" t="str">
        <f t="shared" ca="1" si="15"/>
        <v>P</v>
      </c>
      <c r="AB80" s="112" t="str">
        <f t="shared" ca="1" si="15"/>
        <v>R</v>
      </c>
      <c r="AC80" s="112" t="str">
        <f t="shared" ca="1" si="15"/>
        <v>P</v>
      </c>
      <c r="AD80" s="112" t="str">
        <f t="shared" ca="1" si="15"/>
        <v>P</v>
      </c>
      <c r="AE80" s="112" t="str">
        <f t="shared" ca="1" si="15"/>
        <v>R</v>
      </c>
      <c r="AF80" s="112" t="str">
        <f t="shared" ca="1" si="15"/>
        <v>P</v>
      </c>
      <c r="AG80" s="112" t="str">
        <f t="shared" ca="1" si="15"/>
        <v>P</v>
      </c>
      <c r="AH80" s="112" t="str">
        <f t="shared" ca="1" si="15"/>
        <v>P</v>
      </c>
      <c r="AI80" s="110">
        <f t="shared" si="16"/>
        <v>31</v>
      </c>
      <c r="AJ80" s="220">
        <f t="shared" ca="1" si="17"/>
        <v>27</v>
      </c>
      <c r="AK80" s="111">
        <f t="shared" ca="1" si="18"/>
        <v>4</v>
      </c>
    </row>
    <row r="81" spans="1:37" x14ac:dyDescent="0.25">
      <c r="A81" s="105">
        <v>1074</v>
      </c>
      <c r="B81" s="107" t="s">
        <v>208</v>
      </c>
      <c r="C81" s="103" t="s">
        <v>1101</v>
      </c>
      <c r="D81" s="112" t="str">
        <f t="shared" ca="1" si="19"/>
        <v>P</v>
      </c>
      <c r="E81" s="112" t="str">
        <f t="shared" ca="1" si="19"/>
        <v>P</v>
      </c>
      <c r="F81" s="112" t="str">
        <f t="shared" ca="1" si="19"/>
        <v>P</v>
      </c>
      <c r="G81" s="112" t="str">
        <f t="shared" ca="1" si="19"/>
        <v>P</v>
      </c>
      <c r="H81" s="112" t="str">
        <f t="shared" ca="1" si="19"/>
        <v>P</v>
      </c>
      <c r="I81" s="112" t="str">
        <f t="shared" ca="1" si="19"/>
        <v>P</v>
      </c>
      <c r="J81" s="112" t="str">
        <f t="shared" ca="1" si="19"/>
        <v>P</v>
      </c>
      <c r="K81" s="112" t="str">
        <f t="shared" ca="1" si="19"/>
        <v>P</v>
      </c>
      <c r="L81" s="112" t="str">
        <f t="shared" ca="1" si="19"/>
        <v>R</v>
      </c>
      <c r="M81" s="112" t="str">
        <f t="shared" ca="1" si="19"/>
        <v>P</v>
      </c>
      <c r="N81" s="112" t="str">
        <f t="shared" ca="1" si="19"/>
        <v>P</v>
      </c>
      <c r="O81" s="112" t="str">
        <f t="shared" ca="1" si="19"/>
        <v>P</v>
      </c>
      <c r="P81" s="112" t="str">
        <f t="shared" ca="1" si="19"/>
        <v>P</v>
      </c>
      <c r="Q81" s="112" t="str">
        <f t="shared" ca="1" si="19"/>
        <v>P</v>
      </c>
      <c r="R81" s="112" t="str">
        <f t="shared" ca="1" si="19"/>
        <v>P</v>
      </c>
      <c r="S81" s="112" t="str">
        <f t="shared" ca="1" si="15"/>
        <v>P</v>
      </c>
      <c r="T81" s="112" t="str">
        <f t="shared" ca="1" si="15"/>
        <v>P</v>
      </c>
      <c r="U81" s="112" t="str">
        <f t="shared" ca="1" si="15"/>
        <v>P</v>
      </c>
      <c r="V81" s="112" t="str">
        <f t="shared" ca="1" si="15"/>
        <v>P</v>
      </c>
      <c r="W81" s="112" t="str">
        <f t="shared" ca="1" si="15"/>
        <v>P</v>
      </c>
      <c r="X81" s="112" t="str">
        <f t="shared" ca="1" si="15"/>
        <v>P</v>
      </c>
      <c r="Y81" s="112" t="str">
        <f t="shared" ca="1" si="15"/>
        <v>P</v>
      </c>
      <c r="Z81" s="112" t="str">
        <f t="shared" ca="1" si="15"/>
        <v>P</v>
      </c>
      <c r="AA81" s="112" t="str">
        <f t="shared" ca="1" si="15"/>
        <v>R</v>
      </c>
      <c r="AB81" s="112" t="str">
        <f t="shared" ca="1" si="15"/>
        <v>P</v>
      </c>
      <c r="AC81" s="112" t="str">
        <f t="shared" ca="1" si="15"/>
        <v>P</v>
      </c>
      <c r="AD81" s="112" t="str">
        <f t="shared" ca="1" si="15"/>
        <v>P</v>
      </c>
      <c r="AE81" s="112" t="str">
        <f t="shared" ca="1" si="15"/>
        <v>R</v>
      </c>
      <c r="AF81" s="112" t="str">
        <f t="shared" ca="1" si="15"/>
        <v>P</v>
      </c>
      <c r="AG81" s="112" t="str">
        <f t="shared" ca="1" si="15"/>
        <v>P</v>
      </c>
      <c r="AH81" s="112" t="str">
        <f t="shared" ca="1" si="15"/>
        <v>R</v>
      </c>
      <c r="AI81" s="110">
        <f t="shared" si="16"/>
        <v>31</v>
      </c>
      <c r="AJ81" s="220">
        <f t="shared" ca="1" si="17"/>
        <v>26</v>
      </c>
      <c r="AK81" s="111">
        <f t="shared" ca="1" si="18"/>
        <v>5</v>
      </c>
    </row>
    <row r="82" spans="1:37" x14ac:dyDescent="0.25">
      <c r="A82" s="105">
        <v>1075</v>
      </c>
      <c r="B82" s="107" t="s">
        <v>214</v>
      </c>
      <c r="C82" s="103" t="s">
        <v>1102</v>
      </c>
      <c r="D82" s="112" t="str">
        <f t="shared" ca="1" si="19"/>
        <v>R</v>
      </c>
      <c r="E82" s="112" t="str">
        <f t="shared" ca="1" si="19"/>
        <v>P</v>
      </c>
      <c r="F82" s="112" t="str">
        <f t="shared" ca="1" si="19"/>
        <v>P</v>
      </c>
      <c r="G82" s="112" t="str">
        <f t="shared" ca="1" si="19"/>
        <v>P</v>
      </c>
      <c r="H82" s="112" t="str">
        <f t="shared" ca="1" si="19"/>
        <v>P</v>
      </c>
      <c r="I82" s="112" t="str">
        <f t="shared" ca="1" si="19"/>
        <v>P</v>
      </c>
      <c r="J82" s="112" t="str">
        <f t="shared" ca="1" si="19"/>
        <v>P</v>
      </c>
      <c r="K82" s="112" t="str">
        <f t="shared" ca="1" si="19"/>
        <v>P</v>
      </c>
      <c r="L82" s="112" t="str">
        <f t="shared" ca="1" si="19"/>
        <v>R</v>
      </c>
      <c r="M82" s="112" t="str">
        <f t="shared" ca="1" si="19"/>
        <v>P</v>
      </c>
      <c r="N82" s="112" t="str">
        <f t="shared" ca="1" si="19"/>
        <v>P</v>
      </c>
      <c r="O82" s="112" t="str">
        <f t="shared" ca="1" si="19"/>
        <v>P</v>
      </c>
      <c r="P82" s="112" t="str">
        <f t="shared" ca="1" si="19"/>
        <v>P</v>
      </c>
      <c r="Q82" s="112" t="str">
        <f t="shared" ca="1" si="19"/>
        <v>P</v>
      </c>
      <c r="R82" s="112" t="str">
        <f t="shared" ca="1" si="19"/>
        <v>P</v>
      </c>
      <c r="S82" s="112" t="str">
        <f t="shared" ca="1" si="15"/>
        <v>P</v>
      </c>
      <c r="T82" s="112" t="str">
        <f t="shared" ca="1" si="15"/>
        <v>P</v>
      </c>
      <c r="U82" s="112" t="str">
        <f t="shared" ca="1" si="15"/>
        <v>P</v>
      </c>
      <c r="V82" s="112" t="str">
        <f t="shared" ca="1" si="15"/>
        <v>P</v>
      </c>
      <c r="W82" s="112" t="str">
        <f t="shared" ca="1" si="15"/>
        <v>P</v>
      </c>
      <c r="X82" s="112" t="str">
        <f t="shared" ca="1" si="15"/>
        <v>R</v>
      </c>
      <c r="Y82" s="112" t="str">
        <f t="shared" ca="1" si="15"/>
        <v>P</v>
      </c>
      <c r="Z82" s="112" t="str">
        <f t="shared" ca="1" si="15"/>
        <v>R</v>
      </c>
      <c r="AA82" s="112" t="str">
        <f t="shared" ca="1" si="15"/>
        <v>P</v>
      </c>
      <c r="AB82" s="112" t="str">
        <f t="shared" ca="1" si="15"/>
        <v>P</v>
      </c>
      <c r="AC82" s="112" t="str">
        <f t="shared" ca="1" si="15"/>
        <v>R</v>
      </c>
      <c r="AD82" s="112" t="str">
        <f t="shared" ca="1" si="15"/>
        <v>P</v>
      </c>
      <c r="AE82" s="112" t="str">
        <f t="shared" ca="1" si="15"/>
        <v>P</v>
      </c>
      <c r="AF82" s="112" t="str">
        <f t="shared" ca="1" si="15"/>
        <v>P</v>
      </c>
      <c r="AG82" s="112" t="str">
        <f t="shared" ca="1" si="15"/>
        <v>P</v>
      </c>
      <c r="AH82" s="112" t="str">
        <f t="shared" ca="1" si="15"/>
        <v>P</v>
      </c>
      <c r="AI82" s="110">
        <f t="shared" si="16"/>
        <v>31</v>
      </c>
      <c r="AJ82" s="220">
        <f t="shared" ca="1" si="17"/>
        <v>26</v>
      </c>
      <c r="AK82" s="111">
        <f t="shared" ca="1" si="18"/>
        <v>5</v>
      </c>
    </row>
    <row r="83" spans="1:37" x14ac:dyDescent="0.25">
      <c r="A83" s="105">
        <v>1076</v>
      </c>
      <c r="B83" s="107" t="s">
        <v>219</v>
      </c>
      <c r="C83" s="103" t="s">
        <v>1111</v>
      </c>
      <c r="D83" s="112" t="str">
        <f t="shared" ca="1" si="19"/>
        <v>R</v>
      </c>
      <c r="E83" s="112" t="str">
        <f t="shared" ca="1" si="19"/>
        <v>P</v>
      </c>
      <c r="F83" s="112" t="str">
        <f t="shared" ca="1" si="19"/>
        <v>P</v>
      </c>
      <c r="G83" s="112" t="str">
        <f t="shared" ca="1" si="19"/>
        <v>P</v>
      </c>
      <c r="H83" s="112" t="str">
        <f t="shared" ca="1" si="19"/>
        <v>P</v>
      </c>
      <c r="I83" s="112" t="str">
        <f t="shared" ca="1" si="19"/>
        <v>P</v>
      </c>
      <c r="J83" s="112" t="str">
        <f t="shared" ca="1" si="19"/>
        <v>P</v>
      </c>
      <c r="K83" s="112" t="str">
        <f t="shared" ca="1" si="19"/>
        <v>P</v>
      </c>
      <c r="L83" s="112" t="str">
        <f t="shared" ca="1" si="19"/>
        <v>R</v>
      </c>
      <c r="M83" s="112" t="str">
        <f t="shared" ca="1" si="19"/>
        <v>R</v>
      </c>
      <c r="N83" s="112" t="str">
        <f t="shared" ca="1" si="19"/>
        <v>P</v>
      </c>
      <c r="O83" s="112" t="str">
        <f t="shared" ca="1" si="19"/>
        <v>P</v>
      </c>
      <c r="P83" s="112" t="str">
        <f t="shared" ca="1" si="19"/>
        <v>P</v>
      </c>
      <c r="Q83" s="112" t="str">
        <f t="shared" ca="1" si="19"/>
        <v>P</v>
      </c>
      <c r="R83" s="112" t="str">
        <f t="shared" ca="1" si="19"/>
        <v>P</v>
      </c>
      <c r="S83" s="112" t="str">
        <f t="shared" ca="1" si="15"/>
        <v>P</v>
      </c>
      <c r="T83" s="112" t="str">
        <f t="shared" ca="1" si="15"/>
        <v>P</v>
      </c>
      <c r="U83" s="112" t="str">
        <f t="shared" ca="1" si="15"/>
        <v>R</v>
      </c>
      <c r="V83" s="112" t="str">
        <f t="shared" ca="1" si="15"/>
        <v>P</v>
      </c>
      <c r="W83" s="112" t="str">
        <f t="shared" ca="1" si="15"/>
        <v>P</v>
      </c>
      <c r="X83" s="112" t="str">
        <f t="shared" ca="1" si="15"/>
        <v>P</v>
      </c>
      <c r="Y83" s="112" t="str">
        <f t="shared" ca="1" si="15"/>
        <v>P</v>
      </c>
      <c r="Z83" s="112" t="str">
        <f t="shared" ca="1" si="15"/>
        <v>P</v>
      </c>
      <c r="AA83" s="112" t="str">
        <f t="shared" ca="1" si="15"/>
        <v>P</v>
      </c>
      <c r="AB83" s="112" t="str">
        <f t="shared" ca="1" si="15"/>
        <v>P</v>
      </c>
      <c r="AC83" s="112" t="str">
        <f t="shared" ca="1" si="15"/>
        <v>P</v>
      </c>
      <c r="AD83" s="112" t="str">
        <f t="shared" ca="1" si="15"/>
        <v>R</v>
      </c>
      <c r="AE83" s="112" t="str">
        <f t="shared" ca="1" si="15"/>
        <v>P</v>
      </c>
      <c r="AF83" s="112" t="str">
        <f t="shared" ca="1" si="15"/>
        <v>P</v>
      </c>
      <c r="AG83" s="112" t="str">
        <f t="shared" ca="1" si="15"/>
        <v>P</v>
      </c>
      <c r="AH83" s="112" t="str">
        <f t="shared" ca="1" si="15"/>
        <v>P</v>
      </c>
      <c r="AI83" s="110">
        <f t="shared" si="16"/>
        <v>31</v>
      </c>
      <c r="AJ83" s="220">
        <f t="shared" ca="1" si="17"/>
        <v>26</v>
      </c>
      <c r="AK83" s="111">
        <f t="shared" ca="1" si="18"/>
        <v>5</v>
      </c>
    </row>
    <row r="84" spans="1:37" x14ac:dyDescent="0.25">
      <c r="A84" s="105">
        <v>1077</v>
      </c>
      <c r="B84" s="107" t="s">
        <v>225</v>
      </c>
      <c r="C84" s="103" t="s">
        <v>1108</v>
      </c>
      <c r="D84" s="112" t="str">
        <f t="shared" ca="1" si="19"/>
        <v>P</v>
      </c>
      <c r="E84" s="112" t="str">
        <f t="shared" ca="1" si="19"/>
        <v>P</v>
      </c>
      <c r="F84" s="112" t="str">
        <f t="shared" ca="1" si="19"/>
        <v>P</v>
      </c>
      <c r="G84" s="112" t="str">
        <f t="shared" ca="1" si="19"/>
        <v>P</v>
      </c>
      <c r="H84" s="112" t="str">
        <f t="shared" ca="1" si="19"/>
        <v>P</v>
      </c>
      <c r="I84" s="112" t="str">
        <f t="shared" ca="1" si="19"/>
        <v>P</v>
      </c>
      <c r="J84" s="112" t="str">
        <f t="shared" ca="1" si="19"/>
        <v>P</v>
      </c>
      <c r="K84" s="112" t="str">
        <f t="shared" ca="1" si="19"/>
        <v>P</v>
      </c>
      <c r="L84" s="112" t="str">
        <f t="shared" ca="1" si="19"/>
        <v>P</v>
      </c>
      <c r="M84" s="112" t="str">
        <f t="shared" ca="1" si="19"/>
        <v>P</v>
      </c>
      <c r="N84" s="112" t="str">
        <f t="shared" ca="1" si="19"/>
        <v>R</v>
      </c>
      <c r="O84" s="112" t="str">
        <f t="shared" ca="1" si="19"/>
        <v>P</v>
      </c>
      <c r="P84" s="112" t="str">
        <f t="shared" ca="1" si="19"/>
        <v>P</v>
      </c>
      <c r="Q84" s="112" t="str">
        <f t="shared" ca="1" si="19"/>
        <v>P</v>
      </c>
      <c r="R84" s="112" t="str">
        <f t="shared" ca="1" si="19"/>
        <v>R</v>
      </c>
      <c r="S84" s="112" t="str">
        <f t="shared" ca="1" si="15"/>
        <v>P</v>
      </c>
      <c r="T84" s="112" t="str">
        <f t="shared" ca="1" si="15"/>
        <v>P</v>
      </c>
      <c r="U84" s="112" t="str">
        <f t="shared" ca="1" si="15"/>
        <v>P</v>
      </c>
      <c r="V84" s="112" t="str">
        <f t="shared" ca="1" si="15"/>
        <v>P</v>
      </c>
      <c r="W84" s="112" t="str">
        <f t="shared" ca="1" si="15"/>
        <v>P</v>
      </c>
      <c r="X84" s="112" t="str">
        <f t="shared" ca="1" si="15"/>
        <v>P</v>
      </c>
      <c r="Y84" s="112" t="str">
        <f t="shared" ca="1" si="15"/>
        <v>P</v>
      </c>
      <c r="Z84" s="112" t="str">
        <f t="shared" ca="1" si="15"/>
        <v>P</v>
      </c>
      <c r="AA84" s="112" t="str">
        <f t="shared" ca="1" si="15"/>
        <v>P</v>
      </c>
      <c r="AB84" s="112" t="str">
        <f t="shared" ca="1" si="15"/>
        <v>R</v>
      </c>
      <c r="AC84" s="112" t="str">
        <f t="shared" ca="1" si="15"/>
        <v>P</v>
      </c>
      <c r="AD84" s="112" t="str">
        <f t="shared" ca="1" si="15"/>
        <v>R</v>
      </c>
      <c r="AE84" s="112" t="str">
        <f t="shared" ca="1" si="15"/>
        <v>P</v>
      </c>
      <c r="AF84" s="112" t="str">
        <f t="shared" ca="1" si="15"/>
        <v>P</v>
      </c>
      <c r="AG84" s="112" t="str">
        <f t="shared" ca="1" si="15"/>
        <v>P</v>
      </c>
      <c r="AH84" s="112" t="str">
        <f t="shared" ca="1" si="15"/>
        <v>R</v>
      </c>
      <c r="AI84" s="110">
        <f t="shared" si="16"/>
        <v>31</v>
      </c>
      <c r="AJ84" s="220">
        <f t="shared" ca="1" si="17"/>
        <v>28</v>
      </c>
      <c r="AK84" s="111">
        <f t="shared" ca="1" si="18"/>
        <v>3</v>
      </c>
    </row>
    <row r="85" spans="1:37" x14ac:dyDescent="0.25">
      <c r="A85" s="105">
        <v>1078</v>
      </c>
      <c r="B85" s="107" t="s">
        <v>231</v>
      </c>
      <c r="C85" s="103" t="s">
        <v>1107</v>
      </c>
      <c r="D85" s="112" t="str">
        <f t="shared" ca="1" si="19"/>
        <v>R</v>
      </c>
      <c r="E85" s="112" t="str">
        <f t="shared" ca="1" si="19"/>
        <v>P</v>
      </c>
      <c r="F85" s="112" t="str">
        <f t="shared" ca="1" si="19"/>
        <v>P</v>
      </c>
      <c r="G85" s="112" t="str">
        <f t="shared" ca="1" si="19"/>
        <v>P</v>
      </c>
      <c r="H85" s="112" t="str">
        <f t="shared" ca="1" si="19"/>
        <v>P</v>
      </c>
      <c r="I85" s="112" t="str">
        <f t="shared" ca="1" si="19"/>
        <v>P</v>
      </c>
      <c r="J85" s="112" t="str">
        <f t="shared" ca="1" si="19"/>
        <v>P</v>
      </c>
      <c r="K85" s="112" t="str">
        <f t="shared" ca="1" si="19"/>
        <v>P</v>
      </c>
      <c r="L85" s="112" t="str">
        <f t="shared" ca="1" si="19"/>
        <v>P</v>
      </c>
      <c r="M85" s="112" t="str">
        <f t="shared" ca="1" si="19"/>
        <v>P</v>
      </c>
      <c r="N85" s="112" t="str">
        <f t="shared" ca="1" si="19"/>
        <v>P</v>
      </c>
      <c r="O85" s="112" t="str">
        <f t="shared" ca="1" si="19"/>
        <v>P</v>
      </c>
      <c r="P85" s="112" t="str">
        <f t="shared" ca="1" si="19"/>
        <v>P</v>
      </c>
      <c r="Q85" s="112" t="str">
        <f t="shared" ca="1" si="19"/>
        <v>R</v>
      </c>
      <c r="R85" s="112" t="str">
        <f t="shared" ca="1" si="19"/>
        <v>P</v>
      </c>
      <c r="S85" s="112" t="str">
        <f t="shared" ca="1" si="15"/>
        <v>P</v>
      </c>
      <c r="T85" s="112" t="str">
        <f t="shared" ca="1" si="15"/>
        <v>P</v>
      </c>
      <c r="U85" s="112" t="str">
        <f t="shared" ca="1" si="15"/>
        <v>P</v>
      </c>
      <c r="V85" s="112" t="str">
        <f t="shared" ca="1" si="15"/>
        <v>P</v>
      </c>
      <c r="W85" s="112" t="str">
        <f t="shared" ca="1" si="15"/>
        <v>P</v>
      </c>
      <c r="X85" s="112" t="str">
        <f t="shared" ca="1" si="15"/>
        <v>P</v>
      </c>
      <c r="Y85" s="112" t="str">
        <f t="shared" ca="1" si="15"/>
        <v>R</v>
      </c>
      <c r="Z85" s="112" t="str">
        <f t="shared" ca="1" si="15"/>
        <v>P</v>
      </c>
      <c r="AA85" s="112" t="str">
        <f t="shared" ca="1" si="15"/>
        <v>P</v>
      </c>
      <c r="AB85" s="112" t="str">
        <f t="shared" ca="1" si="15"/>
        <v>P</v>
      </c>
      <c r="AC85" s="112" t="str">
        <f t="shared" ca="1" si="15"/>
        <v>P</v>
      </c>
      <c r="AD85" s="112" t="str">
        <f t="shared" ca="1" si="15"/>
        <v>P</v>
      </c>
      <c r="AE85" s="112" t="str">
        <f t="shared" ca="1" si="15"/>
        <v>P</v>
      </c>
      <c r="AF85" s="112" t="str">
        <f t="shared" ca="1" si="15"/>
        <v>P</v>
      </c>
      <c r="AG85" s="112" t="str">
        <f t="shared" ca="1" si="15"/>
        <v>P</v>
      </c>
      <c r="AH85" s="112" t="str">
        <f t="shared" ca="1" si="15"/>
        <v>P</v>
      </c>
      <c r="AI85" s="110">
        <f t="shared" si="16"/>
        <v>31</v>
      </c>
      <c r="AJ85" s="220">
        <f t="shared" ca="1" si="17"/>
        <v>20</v>
      </c>
      <c r="AK85" s="111">
        <f t="shared" ca="1" si="18"/>
        <v>11</v>
      </c>
    </row>
    <row r="86" spans="1:37" x14ac:dyDescent="0.25">
      <c r="A86" s="105">
        <v>1079</v>
      </c>
      <c r="B86" s="107" t="s">
        <v>237</v>
      </c>
      <c r="C86" s="103" t="s">
        <v>1103</v>
      </c>
      <c r="D86" s="112" t="str">
        <f t="shared" ca="1" si="19"/>
        <v>P</v>
      </c>
      <c r="E86" s="112" t="str">
        <f t="shared" ca="1" si="19"/>
        <v>P</v>
      </c>
      <c r="F86" s="112" t="str">
        <f t="shared" ca="1" si="19"/>
        <v>P</v>
      </c>
      <c r="G86" s="112" t="str">
        <f t="shared" ca="1" si="19"/>
        <v>P</v>
      </c>
      <c r="H86" s="112" t="str">
        <f t="shared" ca="1" si="19"/>
        <v>R</v>
      </c>
      <c r="I86" s="112" t="str">
        <f t="shared" ca="1" si="19"/>
        <v>P</v>
      </c>
      <c r="J86" s="112" t="str">
        <f t="shared" ca="1" si="19"/>
        <v>P</v>
      </c>
      <c r="K86" s="112" t="str">
        <f t="shared" ca="1" si="19"/>
        <v>R</v>
      </c>
      <c r="L86" s="112" t="str">
        <f t="shared" ca="1" si="19"/>
        <v>P</v>
      </c>
      <c r="M86" s="112" t="str">
        <f t="shared" ca="1" si="19"/>
        <v>R</v>
      </c>
      <c r="N86" s="112" t="str">
        <f t="shared" ca="1" si="19"/>
        <v>P</v>
      </c>
      <c r="O86" s="112" t="str">
        <f t="shared" ca="1" si="19"/>
        <v>R</v>
      </c>
      <c r="P86" s="112" t="str">
        <f t="shared" ca="1" si="19"/>
        <v>P</v>
      </c>
      <c r="Q86" s="112" t="str">
        <f t="shared" ca="1" si="19"/>
        <v>R</v>
      </c>
      <c r="R86" s="112" t="str">
        <f t="shared" ca="1" si="19"/>
        <v>P</v>
      </c>
      <c r="S86" s="112" t="str">
        <f t="shared" ca="1" si="15"/>
        <v>P</v>
      </c>
      <c r="T86" s="112" t="str">
        <f t="shared" ca="1" si="15"/>
        <v>P</v>
      </c>
      <c r="U86" s="112" t="str">
        <f t="shared" ca="1" si="15"/>
        <v>R</v>
      </c>
      <c r="V86" s="112" t="str">
        <f t="shared" ca="1" si="15"/>
        <v>P</v>
      </c>
      <c r="W86" s="112" t="str">
        <f t="shared" ca="1" si="15"/>
        <v>R</v>
      </c>
      <c r="X86" s="112" t="str">
        <f t="shared" ca="1" si="15"/>
        <v>P</v>
      </c>
      <c r="Y86" s="112" t="str">
        <f t="shared" ca="1" si="15"/>
        <v>R</v>
      </c>
      <c r="Z86" s="112" t="str">
        <f t="shared" ca="1" si="15"/>
        <v>P</v>
      </c>
      <c r="AA86" s="112" t="str">
        <f t="shared" ca="1" si="15"/>
        <v>P</v>
      </c>
      <c r="AB86" s="112" t="str">
        <f t="shared" ca="1" si="15"/>
        <v>R</v>
      </c>
      <c r="AC86" s="112" t="str">
        <f t="shared" ca="1" si="15"/>
        <v>P</v>
      </c>
      <c r="AD86" s="112" t="str">
        <f t="shared" ca="1" si="15"/>
        <v>R</v>
      </c>
      <c r="AE86" s="112" t="str">
        <f t="shared" ca="1" si="15"/>
        <v>P</v>
      </c>
      <c r="AF86" s="112" t="str">
        <f t="shared" ca="1" si="15"/>
        <v>P</v>
      </c>
      <c r="AG86" s="112" t="str">
        <f t="shared" ca="1" si="15"/>
        <v>P</v>
      </c>
      <c r="AH86" s="112" t="str">
        <f t="shared" ref="AH86:AH149" ca="1" si="20">IF(AH$6="","",IF(RAND()&lt;0.8,"P","R"))</f>
        <v>R</v>
      </c>
      <c r="AI86" s="110">
        <f t="shared" si="16"/>
        <v>31</v>
      </c>
      <c r="AJ86" s="220">
        <f t="shared" ca="1" si="17"/>
        <v>27</v>
      </c>
      <c r="AK86" s="111">
        <f t="shared" ca="1" si="18"/>
        <v>4</v>
      </c>
    </row>
    <row r="87" spans="1:37" x14ac:dyDescent="0.25">
      <c r="A87" s="105">
        <v>1080</v>
      </c>
      <c r="B87" s="107" t="s">
        <v>243</v>
      </c>
      <c r="C87" s="103" t="s">
        <v>1107</v>
      </c>
      <c r="D87" s="112" t="str">
        <f t="shared" ca="1" si="19"/>
        <v>P</v>
      </c>
      <c r="E87" s="112" t="str">
        <f t="shared" ca="1" si="19"/>
        <v>P</v>
      </c>
      <c r="F87" s="112" t="str">
        <f t="shared" ca="1" si="19"/>
        <v>P</v>
      </c>
      <c r="G87" s="112" t="str">
        <f t="shared" ca="1" si="19"/>
        <v>P</v>
      </c>
      <c r="H87" s="112" t="str">
        <f t="shared" ca="1" si="19"/>
        <v>P</v>
      </c>
      <c r="I87" s="112" t="str">
        <f t="shared" ca="1" si="19"/>
        <v>P</v>
      </c>
      <c r="J87" s="112" t="str">
        <f t="shared" ca="1" si="19"/>
        <v>P</v>
      </c>
      <c r="K87" s="112" t="str">
        <f t="shared" ca="1" si="19"/>
        <v>R</v>
      </c>
      <c r="L87" s="112" t="str">
        <f t="shared" ca="1" si="19"/>
        <v>P</v>
      </c>
      <c r="M87" s="112" t="str">
        <f t="shared" ca="1" si="19"/>
        <v>P</v>
      </c>
      <c r="N87" s="112" t="str">
        <f t="shared" ca="1" si="19"/>
        <v>P</v>
      </c>
      <c r="O87" s="112" t="str">
        <f t="shared" ca="1" si="19"/>
        <v>P</v>
      </c>
      <c r="P87" s="112" t="str">
        <f t="shared" ca="1" si="19"/>
        <v>P</v>
      </c>
      <c r="Q87" s="112" t="str">
        <f t="shared" ca="1" si="19"/>
        <v>P</v>
      </c>
      <c r="R87" s="112" t="str">
        <f t="shared" ca="1" si="19"/>
        <v>P</v>
      </c>
      <c r="S87" s="112" t="str">
        <f t="shared" ca="1" si="19"/>
        <v>P</v>
      </c>
      <c r="T87" s="112" t="str">
        <f t="shared" ref="T87:AG102" ca="1" si="21">IF(T$6="","",IF(RAND()&lt;0.8,"P","R"))</f>
        <v>P</v>
      </c>
      <c r="U87" s="112" t="str">
        <f t="shared" ca="1" si="21"/>
        <v>P</v>
      </c>
      <c r="V87" s="112" t="str">
        <f t="shared" ca="1" si="21"/>
        <v>P</v>
      </c>
      <c r="W87" s="112" t="str">
        <f t="shared" ca="1" si="21"/>
        <v>R</v>
      </c>
      <c r="X87" s="112" t="str">
        <f t="shared" ca="1" si="21"/>
        <v>P</v>
      </c>
      <c r="Y87" s="112" t="str">
        <f t="shared" ca="1" si="21"/>
        <v>P</v>
      </c>
      <c r="Z87" s="112" t="str">
        <f t="shared" ca="1" si="21"/>
        <v>P</v>
      </c>
      <c r="AA87" s="112" t="str">
        <f t="shared" ca="1" si="21"/>
        <v>P</v>
      </c>
      <c r="AB87" s="112" t="str">
        <f t="shared" ca="1" si="21"/>
        <v>P</v>
      </c>
      <c r="AC87" s="112" t="str">
        <f t="shared" ca="1" si="21"/>
        <v>P</v>
      </c>
      <c r="AD87" s="112" t="str">
        <f t="shared" ca="1" si="21"/>
        <v>R</v>
      </c>
      <c r="AE87" s="112" t="str">
        <f t="shared" ca="1" si="21"/>
        <v>P</v>
      </c>
      <c r="AF87" s="112" t="str">
        <f t="shared" ca="1" si="21"/>
        <v>R</v>
      </c>
      <c r="AG87" s="112" t="str">
        <f t="shared" ca="1" si="21"/>
        <v>P</v>
      </c>
      <c r="AH87" s="112" t="str">
        <f t="shared" ca="1" si="20"/>
        <v>P</v>
      </c>
      <c r="AI87" s="110">
        <f t="shared" si="16"/>
        <v>31</v>
      </c>
      <c r="AJ87" s="220">
        <f t="shared" ca="1" si="17"/>
        <v>25</v>
      </c>
      <c r="AK87" s="111">
        <f t="shared" ca="1" si="18"/>
        <v>6</v>
      </c>
    </row>
    <row r="88" spans="1:37" x14ac:dyDescent="0.25">
      <c r="A88" s="105">
        <v>1081</v>
      </c>
      <c r="B88" s="107" t="s">
        <v>249</v>
      </c>
      <c r="C88" s="103" t="s">
        <v>1107</v>
      </c>
      <c r="D88" s="112" t="str">
        <f t="shared" ref="D88:S103" ca="1" si="22">IF(D$6="","",IF(RAND()&lt;0.8,"P","R"))</f>
        <v>R</v>
      </c>
      <c r="E88" s="112" t="str">
        <f t="shared" ca="1" si="22"/>
        <v>P</v>
      </c>
      <c r="F88" s="112" t="str">
        <f t="shared" ca="1" si="22"/>
        <v>R</v>
      </c>
      <c r="G88" s="112" t="str">
        <f t="shared" ca="1" si="22"/>
        <v>P</v>
      </c>
      <c r="H88" s="112" t="str">
        <f t="shared" ca="1" si="22"/>
        <v>P</v>
      </c>
      <c r="I88" s="112" t="str">
        <f t="shared" ca="1" si="22"/>
        <v>P</v>
      </c>
      <c r="J88" s="112" t="str">
        <f t="shared" ca="1" si="22"/>
        <v>P</v>
      </c>
      <c r="K88" s="112" t="str">
        <f t="shared" ca="1" si="22"/>
        <v>P</v>
      </c>
      <c r="L88" s="112" t="str">
        <f t="shared" ca="1" si="22"/>
        <v>R</v>
      </c>
      <c r="M88" s="112" t="str">
        <f t="shared" ca="1" si="22"/>
        <v>R</v>
      </c>
      <c r="N88" s="112" t="str">
        <f t="shared" ca="1" si="22"/>
        <v>P</v>
      </c>
      <c r="O88" s="112" t="str">
        <f t="shared" ca="1" si="22"/>
        <v>P</v>
      </c>
      <c r="P88" s="112" t="str">
        <f t="shared" ca="1" si="22"/>
        <v>P</v>
      </c>
      <c r="Q88" s="112" t="str">
        <f t="shared" ca="1" si="22"/>
        <v>P</v>
      </c>
      <c r="R88" s="112" t="str">
        <f t="shared" ca="1" si="22"/>
        <v>P</v>
      </c>
      <c r="S88" s="112" t="str">
        <f t="shared" ca="1" si="22"/>
        <v>P</v>
      </c>
      <c r="T88" s="112" t="str">
        <f t="shared" ca="1" si="21"/>
        <v>P</v>
      </c>
      <c r="U88" s="112" t="str">
        <f t="shared" ca="1" si="21"/>
        <v>P</v>
      </c>
      <c r="V88" s="112" t="str">
        <f t="shared" ca="1" si="21"/>
        <v>R</v>
      </c>
      <c r="W88" s="112" t="str">
        <f t="shared" ca="1" si="21"/>
        <v>P</v>
      </c>
      <c r="X88" s="112" t="str">
        <f t="shared" ca="1" si="21"/>
        <v>P</v>
      </c>
      <c r="Y88" s="112" t="str">
        <f t="shared" ca="1" si="21"/>
        <v>P</v>
      </c>
      <c r="Z88" s="112" t="str">
        <f t="shared" ca="1" si="21"/>
        <v>P</v>
      </c>
      <c r="AA88" s="112" t="str">
        <f t="shared" ca="1" si="21"/>
        <v>P</v>
      </c>
      <c r="AB88" s="112" t="str">
        <f t="shared" ca="1" si="21"/>
        <v>P</v>
      </c>
      <c r="AC88" s="112" t="str">
        <f t="shared" ca="1" si="21"/>
        <v>R</v>
      </c>
      <c r="AD88" s="112" t="str">
        <f t="shared" ca="1" si="21"/>
        <v>P</v>
      </c>
      <c r="AE88" s="112" t="str">
        <f t="shared" ca="1" si="21"/>
        <v>P</v>
      </c>
      <c r="AF88" s="112" t="str">
        <f t="shared" ca="1" si="21"/>
        <v>P</v>
      </c>
      <c r="AG88" s="112" t="str">
        <f t="shared" ca="1" si="21"/>
        <v>P</v>
      </c>
      <c r="AH88" s="112" t="str">
        <f t="shared" ca="1" si="20"/>
        <v>P</v>
      </c>
      <c r="AI88" s="110">
        <f t="shared" si="16"/>
        <v>31</v>
      </c>
      <c r="AJ88" s="220">
        <f t="shared" ca="1" si="17"/>
        <v>26</v>
      </c>
      <c r="AK88" s="111">
        <f t="shared" ca="1" si="18"/>
        <v>5</v>
      </c>
    </row>
    <row r="89" spans="1:37" x14ac:dyDescent="0.25">
      <c r="A89" s="105">
        <v>1082</v>
      </c>
      <c r="B89" s="107" t="s">
        <v>256</v>
      </c>
      <c r="C89" s="103" t="s">
        <v>1111</v>
      </c>
      <c r="D89" s="112" t="str">
        <f t="shared" ca="1" si="22"/>
        <v>P</v>
      </c>
      <c r="E89" s="112" t="str">
        <f t="shared" ca="1" si="22"/>
        <v>P</v>
      </c>
      <c r="F89" s="112" t="str">
        <f t="shared" ca="1" si="22"/>
        <v>P</v>
      </c>
      <c r="G89" s="112" t="str">
        <f t="shared" ca="1" si="22"/>
        <v>R</v>
      </c>
      <c r="H89" s="112" t="str">
        <f t="shared" ca="1" si="22"/>
        <v>P</v>
      </c>
      <c r="I89" s="112" t="str">
        <f t="shared" ca="1" si="22"/>
        <v>P</v>
      </c>
      <c r="J89" s="112" t="str">
        <f t="shared" ca="1" si="22"/>
        <v>P</v>
      </c>
      <c r="K89" s="112" t="str">
        <f t="shared" ca="1" si="22"/>
        <v>P</v>
      </c>
      <c r="L89" s="112" t="str">
        <f t="shared" ca="1" si="22"/>
        <v>P</v>
      </c>
      <c r="M89" s="112" t="str">
        <f t="shared" ca="1" si="22"/>
        <v>P</v>
      </c>
      <c r="N89" s="112" t="str">
        <f t="shared" ca="1" si="22"/>
        <v>P</v>
      </c>
      <c r="O89" s="112" t="str">
        <f t="shared" ca="1" si="22"/>
        <v>P</v>
      </c>
      <c r="P89" s="112" t="str">
        <f t="shared" ca="1" si="22"/>
        <v>P</v>
      </c>
      <c r="Q89" s="112" t="str">
        <f t="shared" ca="1" si="22"/>
        <v>P</v>
      </c>
      <c r="R89" s="112" t="str">
        <f t="shared" ca="1" si="22"/>
        <v>P</v>
      </c>
      <c r="S89" s="112" t="str">
        <f t="shared" ca="1" si="22"/>
        <v>P</v>
      </c>
      <c r="T89" s="112" t="str">
        <f t="shared" ca="1" si="21"/>
        <v>R</v>
      </c>
      <c r="U89" s="112" t="str">
        <f t="shared" ca="1" si="21"/>
        <v>R</v>
      </c>
      <c r="V89" s="112" t="str">
        <f t="shared" ca="1" si="21"/>
        <v>R</v>
      </c>
      <c r="W89" s="112" t="str">
        <f t="shared" ca="1" si="21"/>
        <v>P</v>
      </c>
      <c r="X89" s="112" t="str">
        <f t="shared" ca="1" si="21"/>
        <v>P</v>
      </c>
      <c r="Y89" s="112" t="str">
        <f t="shared" ca="1" si="21"/>
        <v>P</v>
      </c>
      <c r="Z89" s="112" t="str">
        <f t="shared" ca="1" si="21"/>
        <v>P</v>
      </c>
      <c r="AA89" s="112" t="str">
        <f t="shared" ca="1" si="21"/>
        <v>P</v>
      </c>
      <c r="AB89" s="112" t="str">
        <f t="shared" ca="1" si="21"/>
        <v>P</v>
      </c>
      <c r="AC89" s="112" t="str">
        <f t="shared" ca="1" si="21"/>
        <v>P</v>
      </c>
      <c r="AD89" s="112" t="str">
        <f t="shared" ca="1" si="21"/>
        <v>P</v>
      </c>
      <c r="AE89" s="112" t="str">
        <f t="shared" ca="1" si="21"/>
        <v>P</v>
      </c>
      <c r="AF89" s="112" t="str">
        <f t="shared" ca="1" si="21"/>
        <v>R</v>
      </c>
      <c r="AG89" s="112" t="str">
        <f t="shared" ca="1" si="21"/>
        <v>P</v>
      </c>
      <c r="AH89" s="112" t="str">
        <f t="shared" ca="1" si="20"/>
        <v>P</v>
      </c>
      <c r="AI89" s="110">
        <f t="shared" si="16"/>
        <v>31</v>
      </c>
      <c r="AJ89" s="220">
        <f t="shared" ca="1" si="17"/>
        <v>23</v>
      </c>
      <c r="AK89" s="111">
        <f t="shared" ca="1" si="18"/>
        <v>8</v>
      </c>
    </row>
    <row r="90" spans="1:37" x14ac:dyDescent="0.25">
      <c r="A90" s="105">
        <v>1083</v>
      </c>
      <c r="B90" s="107" t="s">
        <v>262</v>
      </c>
      <c r="C90" s="103" t="s">
        <v>1114</v>
      </c>
      <c r="D90" s="112" t="str">
        <f t="shared" ca="1" si="22"/>
        <v>P</v>
      </c>
      <c r="E90" s="112" t="str">
        <f t="shared" ca="1" si="22"/>
        <v>P</v>
      </c>
      <c r="F90" s="112" t="str">
        <f t="shared" ca="1" si="22"/>
        <v>P</v>
      </c>
      <c r="G90" s="112" t="str">
        <f t="shared" ca="1" si="22"/>
        <v>R</v>
      </c>
      <c r="H90" s="112" t="str">
        <f t="shared" ca="1" si="22"/>
        <v>P</v>
      </c>
      <c r="I90" s="112" t="str">
        <f t="shared" ca="1" si="22"/>
        <v>R</v>
      </c>
      <c r="J90" s="112" t="str">
        <f t="shared" ca="1" si="22"/>
        <v>P</v>
      </c>
      <c r="K90" s="112" t="str">
        <f t="shared" ca="1" si="22"/>
        <v>R</v>
      </c>
      <c r="L90" s="112" t="str">
        <f t="shared" ca="1" si="22"/>
        <v>R</v>
      </c>
      <c r="M90" s="112" t="str">
        <f t="shared" ca="1" si="22"/>
        <v>P</v>
      </c>
      <c r="N90" s="112" t="str">
        <f t="shared" ca="1" si="22"/>
        <v>P</v>
      </c>
      <c r="O90" s="112" t="str">
        <f t="shared" ca="1" si="22"/>
        <v>P</v>
      </c>
      <c r="P90" s="112" t="str">
        <f t="shared" ca="1" si="22"/>
        <v>P</v>
      </c>
      <c r="Q90" s="112" t="str">
        <f t="shared" ca="1" si="22"/>
        <v>P</v>
      </c>
      <c r="R90" s="112" t="str">
        <f t="shared" ca="1" si="22"/>
        <v>P</v>
      </c>
      <c r="S90" s="112" t="str">
        <f t="shared" ca="1" si="22"/>
        <v>P</v>
      </c>
      <c r="T90" s="112" t="str">
        <f t="shared" ca="1" si="21"/>
        <v>P</v>
      </c>
      <c r="U90" s="112" t="str">
        <f t="shared" ca="1" si="21"/>
        <v>P</v>
      </c>
      <c r="V90" s="112" t="str">
        <f t="shared" ca="1" si="21"/>
        <v>R</v>
      </c>
      <c r="W90" s="112" t="str">
        <f t="shared" ca="1" si="21"/>
        <v>P</v>
      </c>
      <c r="X90" s="112" t="str">
        <f t="shared" ca="1" si="21"/>
        <v>P</v>
      </c>
      <c r="Y90" s="112" t="str">
        <f t="shared" ca="1" si="21"/>
        <v>R</v>
      </c>
      <c r="Z90" s="112" t="str">
        <f t="shared" ca="1" si="21"/>
        <v>P</v>
      </c>
      <c r="AA90" s="112" t="str">
        <f t="shared" ca="1" si="21"/>
        <v>P</v>
      </c>
      <c r="AB90" s="112" t="str">
        <f t="shared" ca="1" si="21"/>
        <v>R</v>
      </c>
      <c r="AC90" s="112" t="str">
        <f t="shared" ca="1" si="21"/>
        <v>P</v>
      </c>
      <c r="AD90" s="112" t="str">
        <f t="shared" ca="1" si="21"/>
        <v>P</v>
      </c>
      <c r="AE90" s="112" t="str">
        <f t="shared" ca="1" si="21"/>
        <v>P</v>
      </c>
      <c r="AF90" s="112" t="str">
        <f t="shared" ca="1" si="21"/>
        <v>P</v>
      </c>
      <c r="AG90" s="112" t="str">
        <f t="shared" ca="1" si="21"/>
        <v>R</v>
      </c>
      <c r="AH90" s="112" t="str">
        <f t="shared" ca="1" si="20"/>
        <v>P</v>
      </c>
      <c r="AI90" s="110">
        <f t="shared" si="16"/>
        <v>31</v>
      </c>
      <c r="AJ90" s="220">
        <f t="shared" ca="1" si="17"/>
        <v>26</v>
      </c>
      <c r="AK90" s="111">
        <f t="shared" ca="1" si="18"/>
        <v>5</v>
      </c>
    </row>
    <row r="91" spans="1:37" x14ac:dyDescent="0.25">
      <c r="A91" s="105">
        <v>1084</v>
      </c>
      <c r="B91" s="107" t="s">
        <v>269</v>
      </c>
      <c r="C91" s="103" t="s">
        <v>1115</v>
      </c>
      <c r="D91" s="112" t="str">
        <f t="shared" ca="1" si="22"/>
        <v>P</v>
      </c>
      <c r="E91" s="112" t="str">
        <f t="shared" ca="1" si="22"/>
        <v>P</v>
      </c>
      <c r="F91" s="112" t="str">
        <f t="shared" ca="1" si="22"/>
        <v>P</v>
      </c>
      <c r="G91" s="112" t="str">
        <f t="shared" ca="1" si="22"/>
        <v>P</v>
      </c>
      <c r="H91" s="112" t="str">
        <f t="shared" ca="1" si="22"/>
        <v>P</v>
      </c>
      <c r="I91" s="112" t="str">
        <f t="shared" ca="1" si="22"/>
        <v>P</v>
      </c>
      <c r="J91" s="112" t="str">
        <f t="shared" ca="1" si="22"/>
        <v>P</v>
      </c>
      <c r="K91" s="112" t="str">
        <f t="shared" ca="1" si="22"/>
        <v>P</v>
      </c>
      <c r="L91" s="112" t="str">
        <f t="shared" ca="1" si="22"/>
        <v>P</v>
      </c>
      <c r="M91" s="112" t="str">
        <f t="shared" ca="1" si="22"/>
        <v>P</v>
      </c>
      <c r="N91" s="112" t="str">
        <f t="shared" ca="1" si="22"/>
        <v>P</v>
      </c>
      <c r="O91" s="112" t="str">
        <f t="shared" ca="1" si="22"/>
        <v>P</v>
      </c>
      <c r="P91" s="112" t="str">
        <f t="shared" ca="1" si="22"/>
        <v>R</v>
      </c>
      <c r="Q91" s="112" t="str">
        <f t="shared" ca="1" si="22"/>
        <v>P</v>
      </c>
      <c r="R91" s="112" t="str">
        <f t="shared" ca="1" si="22"/>
        <v>P</v>
      </c>
      <c r="S91" s="112" t="str">
        <f t="shared" ca="1" si="22"/>
        <v>R</v>
      </c>
      <c r="T91" s="112" t="str">
        <f t="shared" ca="1" si="21"/>
        <v>P</v>
      </c>
      <c r="U91" s="112" t="str">
        <f t="shared" ca="1" si="21"/>
        <v>R</v>
      </c>
      <c r="V91" s="112" t="str">
        <f t="shared" ca="1" si="21"/>
        <v>P</v>
      </c>
      <c r="W91" s="112" t="str">
        <f t="shared" ca="1" si="21"/>
        <v>P</v>
      </c>
      <c r="X91" s="112" t="str">
        <f t="shared" ca="1" si="21"/>
        <v>P</v>
      </c>
      <c r="Y91" s="112" t="str">
        <f t="shared" ca="1" si="21"/>
        <v>P</v>
      </c>
      <c r="Z91" s="112" t="str">
        <f t="shared" ca="1" si="21"/>
        <v>R</v>
      </c>
      <c r="AA91" s="112" t="str">
        <f t="shared" ca="1" si="21"/>
        <v>P</v>
      </c>
      <c r="AB91" s="112" t="str">
        <f t="shared" ca="1" si="21"/>
        <v>P</v>
      </c>
      <c r="AC91" s="112" t="str">
        <f t="shared" ca="1" si="21"/>
        <v>P</v>
      </c>
      <c r="AD91" s="112" t="str">
        <f t="shared" ca="1" si="21"/>
        <v>R</v>
      </c>
      <c r="AE91" s="112" t="str">
        <f t="shared" ca="1" si="21"/>
        <v>P</v>
      </c>
      <c r="AF91" s="112" t="str">
        <f t="shared" ca="1" si="21"/>
        <v>P</v>
      </c>
      <c r="AG91" s="112" t="str">
        <f t="shared" ca="1" si="21"/>
        <v>P</v>
      </c>
      <c r="AH91" s="112" t="str">
        <f t="shared" ca="1" si="20"/>
        <v>P</v>
      </c>
      <c r="AI91" s="110">
        <f t="shared" si="16"/>
        <v>31</v>
      </c>
      <c r="AJ91" s="220">
        <f t="shared" ca="1" si="17"/>
        <v>27</v>
      </c>
      <c r="AK91" s="111">
        <f t="shared" ca="1" si="18"/>
        <v>4</v>
      </c>
    </row>
    <row r="92" spans="1:37" x14ac:dyDescent="0.25">
      <c r="A92" s="105">
        <v>1085</v>
      </c>
      <c r="B92" s="107" t="s">
        <v>275</v>
      </c>
      <c r="C92" s="103" t="s">
        <v>1109</v>
      </c>
      <c r="D92" s="112" t="str">
        <f t="shared" ca="1" si="22"/>
        <v>P</v>
      </c>
      <c r="E92" s="112" t="str">
        <f t="shared" ca="1" si="22"/>
        <v>P</v>
      </c>
      <c r="F92" s="112" t="str">
        <f t="shared" ca="1" si="22"/>
        <v>R</v>
      </c>
      <c r="G92" s="112" t="str">
        <f t="shared" ca="1" si="22"/>
        <v>P</v>
      </c>
      <c r="H92" s="112" t="str">
        <f t="shared" ca="1" si="22"/>
        <v>P</v>
      </c>
      <c r="I92" s="112" t="str">
        <f t="shared" ca="1" si="22"/>
        <v>P</v>
      </c>
      <c r="J92" s="112" t="str">
        <f t="shared" ca="1" si="22"/>
        <v>P</v>
      </c>
      <c r="K92" s="112" t="str">
        <f t="shared" ca="1" si="22"/>
        <v>P</v>
      </c>
      <c r="L92" s="112" t="str">
        <f t="shared" ca="1" si="22"/>
        <v>P</v>
      </c>
      <c r="M92" s="112" t="str">
        <f t="shared" ca="1" si="22"/>
        <v>P</v>
      </c>
      <c r="N92" s="112" t="str">
        <f t="shared" ca="1" si="22"/>
        <v>P</v>
      </c>
      <c r="O92" s="112" t="str">
        <f t="shared" ca="1" si="22"/>
        <v>P</v>
      </c>
      <c r="P92" s="112" t="str">
        <f t="shared" ca="1" si="22"/>
        <v>P</v>
      </c>
      <c r="Q92" s="112" t="str">
        <f t="shared" ca="1" si="22"/>
        <v>P</v>
      </c>
      <c r="R92" s="112" t="str">
        <f t="shared" ca="1" si="22"/>
        <v>P</v>
      </c>
      <c r="S92" s="112" t="str">
        <f t="shared" ca="1" si="22"/>
        <v>P</v>
      </c>
      <c r="T92" s="112" t="str">
        <f t="shared" ca="1" si="21"/>
        <v>P</v>
      </c>
      <c r="U92" s="112" t="str">
        <f t="shared" ca="1" si="21"/>
        <v>R</v>
      </c>
      <c r="V92" s="112" t="str">
        <f t="shared" ca="1" si="21"/>
        <v>P</v>
      </c>
      <c r="W92" s="112" t="str">
        <f t="shared" ca="1" si="21"/>
        <v>P</v>
      </c>
      <c r="X92" s="112" t="str">
        <f t="shared" ca="1" si="21"/>
        <v>P</v>
      </c>
      <c r="Y92" s="112" t="str">
        <f t="shared" ca="1" si="21"/>
        <v>P</v>
      </c>
      <c r="Z92" s="112" t="str">
        <f t="shared" ca="1" si="21"/>
        <v>P</v>
      </c>
      <c r="AA92" s="112" t="str">
        <f t="shared" ca="1" si="21"/>
        <v>P</v>
      </c>
      <c r="AB92" s="112" t="str">
        <f t="shared" ca="1" si="21"/>
        <v>P</v>
      </c>
      <c r="AC92" s="112" t="str">
        <f t="shared" ca="1" si="21"/>
        <v>R</v>
      </c>
      <c r="AD92" s="112" t="str">
        <f t="shared" ca="1" si="21"/>
        <v>P</v>
      </c>
      <c r="AE92" s="112" t="str">
        <f t="shared" ca="1" si="21"/>
        <v>P</v>
      </c>
      <c r="AF92" s="112" t="str">
        <f t="shared" ca="1" si="21"/>
        <v>P</v>
      </c>
      <c r="AG92" s="112" t="str">
        <f t="shared" ca="1" si="21"/>
        <v>R</v>
      </c>
      <c r="AH92" s="112" t="str">
        <f t="shared" ca="1" si="20"/>
        <v>P</v>
      </c>
      <c r="AI92" s="110">
        <f t="shared" si="16"/>
        <v>31</v>
      </c>
      <c r="AJ92" s="220">
        <f t="shared" ca="1" si="17"/>
        <v>27</v>
      </c>
      <c r="AK92" s="111">
        <f t="shared" ca="1" si="18"/>
        <v>4</v>
      </c>
    </row>
    <row r="93" spans="1:37" x14ac:dyDescent="0.25">
      <c r="A93" s="105">
        <v>1086</v>
      </c>
      <c r="B93" s="107" t="s">
        <v>281</v>
      </c>
      <c r="C93" s="103" t="s">
        <v>1112</v>
      </c>
      <c r="D93" s="112" t="str">
        <f t="shared" ca="1" si="22"/>
        <v>P</v>
      </c>
      <c r="E93" s="112" t="str">
        <f t="shared" ca="1" si="22"/>
        <v>P</v>
      </c>
      <c r="F93" s="112" t="str">
        <f t="shared" ca="1" si="22"/>
        <v>P</v>
      </c>
      <c r="G93" s="112" t="str">
        <f t="shared" ca="1" si="22"/>
        <v>R</v>
      </c>
      <c r="H93" s="112" t="str">
        <f t="shared" ca="1" si="22"/>
        <v>P</v>
      </c>
      <c r="I93" s="112" t="str">
        <f t="shared" ca="1" si="22"/>
        <v>P</v>
      </c>
      <c r="J93" s="112" t="str">
        <f t="shared" ca="1" si="22"/>
        <v>P</v>
      </c>
      <c r="K93" s="112" t="str">
        <f t="shared" ca="1" si="22"/>
        <v>P</v>
      </c>
      <c r="L93" s="112" t="str">
        <f t="shared" ca="1" si="22"/>
        <v>P</v>
      </c>
      <c r="M93" s="112" t="str">
        <f t="shared" ca="1" si="22"/>
        <v>R</v>
      </c>
      <c r="N93" s="112" t="str">
        <f t="shared" ca="1" si="22"/>
        <v>P</v>
      </c>
      <c r="O93" s="112" t="str">
        <f t="shared" ca="1" si="22"/>
        <v>P</v>
      </c>
      <c r="P93" s="112" t="str">
        <f t="shared" ca="1" si="22"/>
        <v>P</v>
      </c>
      <c r="Q93" s="112" t="str">
        <f t="shared" ca="1" si="22"/>
        <v>P</v>
      </c>
      <c r="R93" s="112" t="str">
        <f t="shared" ca="1" si="22"/>
        <v>P</v>
      </c>
      <c r="S93" s="112" t="str">
        <f t="shared" ca="1" si="22"/>
        <v>P</v>
      </c>
      <c r="T93" s="112" t="str">
        <f t="shared" ca="1" si="21"/>
        <v>P</v>
      </c>
      <c r="U93" s="112" t="str">
        <f t="shared" ca="1" si="21"/>
        <v>P</v>
      </c>
      <c r="V93" s="112" t="str">
        <f t="shared" ca="1" si="21"/>
        <v>P</v>
      </c>
      <c r="W93" s="112" t="str">
        <f t="shared" ca="1" si="21"/>
        <v>P</v>
      </c>
      <c r="X93" s="112" t="str">
        <f t="shared" ca="1" si="21"/>
        <v>P</v>
      </c>
      <c r="Y93" s="112" t="str">
        <f t="shared" ca="1" si="21"/>
        <v>P</v>
      </c>
      <c r="Z93" s="112" t="str">
        <f t="shared" ca="1" si="21"/>
        <v>P</v>
      </c>
      <c r="AA93" s="112" t="str">
        <f t="shared" ca="1" si="21"/>
        <v>P</v>
      </c>
      <c r="AB93" s="112" t="str">
        <f t="shared" ca="1" si="21"/>
        <v>P</v>
      </c>
      <c r="AC93" s="112" t="str">
        <f t="shared" ca="1" si="21"/>
        <v>P</v>
      </c>
      <c r="AD93" s="112" t="str">
        <f t="shared" ca="1" si="21"/>
        <v>P</v>
      </c>
      <c r="AE93" s="112" t="str">
        <f t="shared" ca="1" si="21"/>
        <v>P</v>
      </c>
      <c r="AF93" s="112" t="str">
        <f t="shared" ca="1" si="21"/>
        <v>P</v>
      </c>
      <c r="AG93" s="112" t="str">
        <f t="shared" ca="1" si="21"/>
        <v>R</v>
      </c>
      <c r="AH93" s="112" t="str">
        <f t="shared" ca="1" si="20"/>
        <v>R</v>
      </c>
      <c r="AI93" s="110">
        <f t="shared" si="16"/>
        <v>31</v>
      </c>
      <c r="AJ93" s="220">
        <f t="shared" ca="1" si="17"/>
        <v>26</v>
      </c>
      <c r="AK93" s="111">
        <f t="shared" ca="1" si="18"/>
        <v>5</v>
      </c>
    </row>
    <row r="94" spans="1:37" x14ac:dyDescent="0.25">
      <c r="A94" s="105">
        <v>1087</v>
      </c>
      <c r="B94" s="107" t="s">
        <v>288</v>
      </c>
      <c r="C94" s="103" t="s">
        <v>1112</v>
      </c>
      <c r="D94" s="112" t="str">
        <f t="shared" ca="1" si="22"/>
        <v>P</v>
      </c>
      <c r="E94" s="112" t="str">
        <f t="shared" ca="1" si="22"/>
        <v>P</v>
      </c>
      <c r="F94" s="112" t="str">
        <f t="shared" ca="1" si="22"/>
        <v>R</v>
      </c>
      <c r="G94" s="112" t="str">
        <f t="shared" ca="1" si="22"/>
        <v>P</v>
      </c>
      <c r="H94" s="112" t="str">
        <f t="shared" ca="1" si="22"/>
        <v>P</v>
      </c>
      <c r="I94" s="112" t="str">
        <f t="shared" ca="1" si="22"/>
        <v>P</v>
      </c>
      <c r="J94" s="112" t="str">
        <f t="shared" ca="1" si="22"/>
        <v>P</v>
      </c>
      <c r="K94" s="112" t="str">
        <f t="shared" ca="1" si="22"/>
        <v>R</v>
      </c>
      <c r="L94" s="112" t="str">
        <f t="shared" ca="1" si="22"/>
        <v>P</v>
      </c>
      <c r="M94" s="112" t="str">
        <f t="shared" ca="1" si="22"/>
        <v>R</v>
      </c>
      <c r="N94" s="112" t="str">
        <f t="shared" ca="1" si="22"/>
        <v>P</v>
      </c>
      <c r="O94" s="112" t="str">
        <f t="shared" ca="1" si="22"/>
        <v>P</v>
      </c>
      <c r="P94" s="112" t="str">
        <f t="shared" ca="1" si="22"/>
        <v>R</v>
      </c>
      <c r="Q94" s="112" t="str">
        <f t="shared" ca="1" si="22"/>
        <v>R</v>
      </c>
      <c r="R94" s="112" t="str">
        <f t="shared" ca="1" si="22"/>
        <v>P</v>
      </c>
      <c r="S94" s="112" t="str">
        <f t="shared" ca="1" si="22"/>
        <v>P</v>
      </c>
      <c r="T94" s="112" t="str">
        <f t="shared" ca="1" si="21"/>
        <v>P</v>
      </c>
      <c r="U94" s="112" t="str">
        <f t="shared" ca="1" si="21"/>
        <v>P</v>
      </c>
      <c r="V94" s="112" t="str">
        <f t="shared" ca="1" si="21"/>
        <v>P</v>
      </c>
      <c r="W94" s="112" t="str">
        <f t="shared" ca="1" si="21"/>
        <v>P</v>
      </c>
      <c r="X94" s="112" t="str">
        <f t="shared" ca="1" si="21"/>
        <v>P</v>
      </c>
      <c r="Y94" s="112" t="str">
        <f t="shared" ca="1" si="21"/>
        <v>P</v>
      </c>
      <c r="Z94" s="112" t="str">
        <f t="shared" ca="1" si="21"/>
        <v>P</v>
      </c>
      <c r="AA94" s="112" t="str">
        <f t="shared" ca="1" si="21"/>
        <v>P</v>
      </c>
      <c r="AB94" s="112" t="str">
        <f t="shared" ca="1" si="21"/>
        <v>P</v>
      </c>
      <c r="AC94" s="112" t="str">
        <f t="shared" ca="1" si="21"/>
        <v>P</v>
      </c>
      <c r="AD94" s="112" t="str">
        <f t="shared" ca="1" si="21"/>
        <v>P</v>
      </c>
      <c r="AE94" s="112" t="str">
        <f t="shared" ca="1" si="21"/>
        <v>P</v>
      </c>
      <c r="AF94" s="112" t="str">
        <f t="shared" ca="1" si="21"/>
        <v>P</v>
      </c>
      <c r="AG94" s="112" t="str">
        <f t="shared" ca="1" si="21"/>
        <v>P</v>
      </c>
      <c r="AH94" s="112" t="str">
        <f t="shared" ca="1" si="20"/>
        <v>P</v>
      </c>
      <c r="AI94" s="110">
        <f t="shared" si="16"/>
        <v>31</v>
      </c>
      <c r="AJ94" s="220">
        <f t="shared" ca="1" si="17"/>
        <v>28</v>
      </c>
      <c r="AK94" s="111">
        <f t="shared" ca="1" si="18"/>
        <v>3</v>
      </c>
    </row>
    <row r="95" spans="1:37" x14ac:dyDescent="0.25">
      <c r="A95" s="105">
        <v>1088</v>
      </c>
      <c r="B95" s="107" t="s">
        <v>294</v>
      </c>
      <c r="C95" s="103" t="s">
        <v>1115</v>
      </c>
      <c r="D95" s="112" t="str">
        <f t="shared" ca="1" si="22"/>
        <v>P</v>
      </c>
      <c r="E95" s="112" t="str">
        <f t="shared" ca="1" si="22"/>
        <v>P</v>
      </c>
      <c r="F95" s="112" t="str">
        <f t="shared" ca="1" si="22"/>
        <v>R</v>
      </c>
      <c r="G95" s="112" t="str">
        <f t="shared" ca="1" si="22"/>
        <v>P</v>
      </c>
      <c r="H95" s="112" t="str">
        <f t="shared" ca="1" si="22"/>
        <v>P</v>
      </c>
      <c r="I95" s="112" t="str">
        <f t="shared" ca="1" si="22"/>
        <v>P</v>
      </c>
      <c r="J95" s="112" t="str">
        <f t="shared" ca="1" si="22"/>
        <v>P</v>
      </c>
      <c r="K95" s="112" t="str">
        <f t="shared" ca="1" si="22"/>
        <v>P</v>
      </c>
      <c r="L95" s="112" t="str">
        <f t="shared" ca="1" si="22"/>
        <v>P</v>
      </c>
      <c r="M95" s="112" t="str">
        <f t="shared" ca="1" si="22"/>
        <v>P</v>
      </c>
      <c r="N95" s="112" t="str">
        <f t="shared" ca="1" si="22"/>
        <v>P</v>
      </c>
      <c r="O95" s="112" t="str">
        <f t="shared" ca="1" si="22"/>
        <v>R</v>
      </c>
      <c r="P95" s="112" t="str">
        <f t="shared" ca="1" si="22"/>
        <v>P</v>
      </c>
      <c r="Q95" s="112" t="str">
        <f t="shared" ca="1" si="22"/>
        <v>P</v>
      </c>
      <c r="R95" s="112" t="str">
        <f t="shared" ca="1" si="22"/>
        <v>P</v>
      </c>
      <c r="S95" s="112" t="str">
        <f t="shared" ca="1" si="22"/>
        <v>P</v>
      </c>
      <c r="T95" s="112" t="str">
        <f t="shared" ca="1" si="21"/>
        <v>P</v>
      </c>
      <c r="U95" s="112" t="str">
        <f t="shared" ca="1" si="21"/>
        <v>P</v>
      </c>
      <c r="V95" s="112" t="str">
        <f t="shared" ca="1" si="21"/>
        <v>P</v>
      </c>
      <c r="W95" s="112" t="str">
        <f t="shared" ca="1" si="21"/>
        <v>R</v>
      </c>
      <c r="X95" s="112" t="str">
        <f t="shared" ca="1" si="21"/>
        <v>P</v>
      </c>
      <c r="Y95" s="112" t="str">
        <f t="shared" ca="1" si="21"/>
        <v>P</v>
      </c>
      <c r="Z95" s="112" t="str">
        <f t="shared" ca="1" si="21"/>
        <v>P</v>
      </c>
      <c r="AA95" s="112" t="str">
        <f t="shared" ca="1" si="21"/>
        <v>P</v>
      </c>
      <c r="AB95" s="112" t="str">
        <f t="shared" ca="1" si="21"/>
        <v>P</v>
      </c>
      <c r="AC95" s="112" t="str">
        <f t="shared" ca="1" si="21"/>
        <v>P</v>
      </c>
      <c r="AD95" s="112" t="str">
        <f t="shared" ca="1" si="21"/>
        <v>P</v>
      </c>
      <c r="AE95" s="112" t="str">
        <f t="shared" ca="1" si="21"/>
        <v>P</v>
      </c>
      <c r="AF95" s="112" t="str">
        <f t="shared" ca="1" si="21"/>
        <v>P</v>
      </c>
      <c r="AG95" s="112" t="str">
        <f t="shared" ca="1" si="21"/>
        <v>P</v>
      </c>
      <c r="AH95" s="112" t="str">
        <f t="shared" ca="1" si="20"/>
        <v>P</v>
      </c>
      <c r="AI95" s="110">
        <f t="shared" si="16"/>
        <v>31</v>
      </c>
      <c r="AJ95" s="220">
        <f t="shared" ca="1" si="17"/>
        <v>25</v>
      </c>
      <c r="AK95" s="111">
        <f t="shared" ca="1" si="18"/>
        <v>6</v>
      </c>
    </row>
    <row r="96" spans="1:37" x14ac:dyDescent="0.25">
      <c r="A96" s="105">
        <v>1089</v>
      </c>
      <c r="B96" s="107" t="s">
        <v>300</v>
      </c>
      <c r="C96" s="103" t="s">
        <v>1101</v>
      </c>
      <c r="D96" s="112" t="str">
        <f t="shared" ca="1" si="22"/>
        <v>R</v>
      </c>
      <c r="E96" s="112" t="str">
        <f t="shared" ca="1" si="22"/>
        <v>P</v>
      </c>
      <c r="F96" s="112" t="str">
        <f t="shared" ca="1" si="22"/>
        <v>P</v>
      </c>
      <c r="G96" s="112" t="str">
        <f t="shared" ca="1" si="22"/>
        <v>P</v>
      </c>
      <c r="H96" s="112" t="str">
        <f t="shared" ca="1" si="22"/>
        <v>P</v>
      </c>
      <c r="I96" s="112" t="str">
        <f t="shared" ca="1" si="22"/>
        <v>R</v>
      </c>
      <c r="J96" s="112" t="str">
        <f t="shared" ca="1" si="22"/>
        <v>P</v>
      </c>
      <c r="K96" s="112" t="str">
        <f t="shared" ca="1" si="22"/>
        <v>P</v>
      </c>
      <c r="L96" s="112" t="str">
        <f t="shared" ca="1" si="22"/>
        <v>P</v>
      </c>
      <c r="M96" s="112" t="str">
        <f t="shared" ca="1" si="22"/>
        <v>P</v>
      </c>
      <c r="N96" s="112" t="str">
        <f t="shared" ca="1" si="22"/>
        <v>R</v>
      </c>
      <c r="O96" s="112" t="str">
        <f t="shared" ca="1" si="22"/>
        <v>P</v>
      </c>
      <c r="P96" s="112" t="str">
        <f t="shared" ca="1" si="22"/>
        <v>P</v>
      </c>
      <c r="Q96" s="112" t="str">
        <f t="shared" ca="1" si="22"/>
        <v>P</v>
      </c>
      <c r="R96" s="112" t="str">
        <f t="shared" ca="1" si="22"/>
        <v>R</v>
      </c>
      <c r="S96" s="112" t="str">
        <f t="shared" ca="1" si="22"/>
        <v>P</v>
      </c>
      <c r="T96" s="112" t="str">
        <f t="shared" ca="1" si="21"/>
        <v>P</v>
      </c>
      <c r="U96" s="112" t="str">
        <f t="shared" ca="1" si="21"/>
        <v>P</v>
      </c>
      <c r="V96" s="112" t="str">
        <f t="shared" ca="1" si="21"/>
        <v>P</v>
      </c>
      <c r="W96" s="112" t="str">
        <f t="shared" ca="1" si="21"/>
        <v>P</v>
      </c>
      <c r="X96" s="112" t="str">
        <f t="shared" ca="1" si="21"/>
        <v>P</v>
      </c>
      <c r="Y96" s="112" t="str">
        <f t="shared" ca="1" si="21"/>
        <v>P</v>
      </c>
      <c r="Z96" s="112" t="str">
        <f t="shared" ca="1" si="21"/>
        <v>P</v>
      </c>
      <c r="AA96" s="112" t="str">
        <f t="shared" ca="1" si="21"/>
        <v>P</v>
      </c>
      <c r="AB96" s="112" t="str">
        <f t="shared" ca="1" si="21"/>
        <v>P</v>
      </c>
      <c r="AC96" s="112" t="str">
        <f t="shared" ca="1" si="21"/>
        <v>P</v>
      </c>
      <c r="AD96" s="112" t="str">
        <f t="shared" ca="1" si="21"/>
        <v>R</v>
      </c>
      <c r="AE96" s="112" t="str">
        <f t="shared" ca="1" si="21"/>
        <v>P</v>
      </c>
      <c r="AF96" s="112" t="str">
        <f t="shared" ca="1" si="21"/>
        <v>P</v>
      </c>
      <c r="AG96" s="112" t="str">
        <f t="shared" ca="1" si="21"/>
        <v>P</v>
      </c>
      <c r="AH96" s="112" t="str">
        <f t="shared" ca="1" si="20"/>
        <v>R</v>
      </c>
      <c r="AI96" s="110">
        <f t="shared" si="16"/>
        <v>31</v>
      </c>
      <c r="AJ96" s="220">
        <f t="shared" ca="1" si="17"/>
        <v>23</v>
      </c>
      <c r="AK96" s="111">
        <f t="shared" ca="1" si="18"/>
        <v>8</v>
      </c>
    </row>
    <row r="97" spans="1:37" x14ac:dyDescent="0.25">
      <c r="A97" s="105">
        <v>1090</v>
      </c>
      <c r="B97" s="107" t="s">
        <v>306</v>
      </c>
      <c r="C97" s="103" t="s">
        <v>1102</v>
      </c>
      <c r="D97" s="112" t="str">
        <f t="shared" ca="1" si="22"/>
        <v>P</v>
      </c>
      <c r="E97" s="112" t="str">
        <f t="shared" ca="1" si="22"/>
        <v>R</v>
      </c>
      <c r="F97" s="112" t="str">
        <f t="shared" ca="1" si="22"/>
        <v>P</v>
      </c>
      <c r="G97" s="112" t="str">
        <f t="shared" ca="1" si="22"/>
        <v>R</v>
      </c>
      <c r="H97" s="112" t="str">
        <f t="shared" ca="1" si="22"/>
        <v>P</v>
      </c>
      <c r="I97" s="112" t="str">
        <f t="shared" ca="1" si="22"/>
        <v>P</v>
      </c>
      <c r="J97" s="112" t="str">
        <f t="shared" ca="1" si="22"/>
        <v>P</v>
      </c>
      <c r="K97" s="112" t="str">
        <f t="shared" ca="1" si="22"/>
        <v>P</v>
      </c>
      <c r="L97" s="112" t="str">
        <f t="shared" ca="1" si="22"/>
        <v>R</v>
      </c>
      <c r="M97" s="112" t="str">
        <f t="shared" ca="1" si="22"/>
        <v>P</v>
      </c>
      <c r="N97" s="112" t="str">
        <f t="shared" ca="1" si="22"/>
        <v>P</v>
      </c>
      <c r="O97" s="112" t="str">
        <f t="shared" ca="1" si="22"/>
        <v>R</v>
      </c>
      <c r="P97" s="112" t="str">
        <f t="shared" ca="1" si="22"/>
        <v>R</v>
      </c>
      <c r="Q97" s="112" t="str">
        <f t="shared" ca="1" si="22"/>
        <v>P</v>
      </c>
      <c r="R97" s="112" t="str">
        <f t="shared" ca="1" si="22"/>
        <v>P</v>
      </c>
      <c r="S97" s="112" t="str">
        <f t="shared" ca="1" si="22"/>
        <v>P</v>
      </c>
      <c r="T97" s="112" t="str">
        <f t="shared" ca="1" si="21"/>
        <v>P</v>
      </c>
      <c r="U97" s="112" t="str">
        <f t="shared" ca="1" si="21"/>
        <v>P</v>
      </c>
      <c r="V97" s="112" t="str">
        <f t="shared" ca="1" si="21"/>
        <v>P</v>
      </c>
      <c r="W97" s="112" t="str">
        <f t="shared" ca="1" si="21"/>
        <v>P</v>
      </c>
      <c r="X97" s="112" t="str">
        <f t="shared" ca="1" si="21"/>
        <v>R</v>
      </c>
      <c r="Y97" s="112" t="str">
        <f t="shared" ca="1" si="21"/>
        <v>P</v>
      </c>
      <c r="Z97" s="112" t="str">
        <f t="shared" ca="1" si="21"/>
        <v>P</v>
      </c>
      <c r="AA97" s="112" t="str">
        <f t="shared" ca="1" si="21"/>
        <v>R</v>
      </c>
      <c r="AB97" s="112" t="str">
        <f t="shared" ca="1" si="21"/>
        <v>P</v>
      </c>
      <c r="AC97" s="112" t="str">
        <f t="shared" ca="1" si="21"/>
        <v>P</v>
      </c>
      <c r="AD97" s="112" t="str">
        <f t="shared" ca="1" si="21"/>
        <v>P</v>
      </c>
      <c r="AE97" s="112" t="str">
        <f t="shared" ca="1" si="21"/>
        <v>P</v>
      </c>
      <c r="AF97" s="112" t="str">
        <f t="shared" ca="1" si="21"/>
        <v>P</v>
      </c>
      <c r="AG97" s="112" t="str">
        <f t="shared" ca="1" si="21"/>
        <v>P</v>
      </c>
      <c r="AH97" s="112" t="str">
        <f t="shared" ca="1" si="20"/>
        <v>R</v>
      </c>
      <c r="AI97" s="110">
        <f t="shared" si="16"/>
        <v>31</v>
      </c>
      <c r="AJ97" s="220">
        <f t="shared" ca="1" si="17"/>
        <v>26</v>
      </c>
      <c r="AK97" s="111">
        <f t="shared" ca="1" si="18"/>
        <v>5</v>
      </c>
    </row>
    <row r="98" spans="1:37" x14ac:dyDescent="0.25">
      <c r="A98" s="105">
        <v>1091</v>
      </c>
      <c r="B98" s="107" t="s">
        <v>311</v>
      </c>
      <c r="C98" s="103" t="s">
        <v>1112</v>
      </c>
      <c r="D98" s="112" t="str">
        <f t="shared" ca="1" si="22"/>
        <v>P</v>
      </c>
      <c r="E98" s="112" t="str">
        <f t="shared" ca="1" si="22"/>
        <v>P</v>
      </c>
      <c r="F98" s="112" t="str">
        <f t="shared" ca="1" si="22"/>
        <v>P</v>
      </c>
      <c r="G98" s="112" t="str">
        <f t="shared" ca="1" si="22"/>
        <v>P</v>
      </c>
      <c r="H98" s="112" t="str">
        <f t="shared" ca="1" si="22"/>
        <v>P</v>
      </c>
      <c r="I98" s="112" t="str">
        <f t="shared" ca="1" si="22"/>
        <v>P</v>
      </c>
      <c r="J98" s="112" t="str">
        <f t="shared" ca="1" si="22"/>
        <v>P</v>
      </c>
      <c r="K98" s="112" t="str">
        <f t="shared" ca="1" si="22"/>
        <v>P</v>
      </c>
      <c r="L98" s="112" t="str">
        <f t="shared" ca="1" si="22"/>
        <v>P</v>
      </c>
      <c r="M98" s="112" t="str">
        <f t="shared" ca="1" si="22"/>
        <v>P</v>
      </c>
      <c r="N98" s="112" t="str">
        <f t="shared" ca="1" si="22"/>
        <v>R</v>
      </c>
      <c r="O98" s="112" t="str">
        <f t="shared" ca="1" si="22"/>
        <v>R</v>
      </c>
      <c r="P98" s="112" t="str">
        <f t="shared" ca="1" si="22"/>
        <v>R</v>
      </c>
      <c r="Q98" s="112" t="str">
        <f t="shared" ca="1" si="22"/>
        <v>P</v>
      </c>
      <c r="R98" s="112" t="str">
        <f t="shared" ca="1" si="22"/>
        <v>P</v>
      </c>
      <c r="S98" s="112" t="str">
        <f t="shared" ca="1" si="22"/>
        <v>P</v>
      </c>
      <c r="T98" s="112" t="str">
        <f t="shared" ca="1" si="21"/>
        <v>P</v>
      </c>
      <c r="U98" s="112" t="str">
        <f t="shared" ca="1" si="21"/>
        <v>P</v>
      </c>
      <c r="V98" s="112" t="str">
        <f t="shared" ca="1" si="21"/>
        <v>R</v>
      </c>
      <c r="W98" s="112" t="str">
        <f t="shared" ca="1" si="21"/>
        <v>P</v>
      </c>
      <c r="X98" s="112" t="str">
        <f t="shared" ca="1" si="21"/>
        <v>P</v>
      </c>
      <c r="Y98" s="112" t="str">
        <f t="shared" ca="1" si="21"/>
        <v>P</v>
      </c>
      <c r="Z98" s="112" t="str">
        <f t="shared" ca="1" si="21"/>
        <v>P</v>
      </c>
      <c r="AA98" s="112" t="str">
        <f t="shared" ca="1" si="21"/>
        <v>R</v>
      </c>
      <c r="AB98" s="112" t="str">
        <f t="shared" ca="1" si="21"/>
        <v>P</v>
      </c>
      <c r="AC98" s="112" t="str">
        <f t="shared" ca="1" si="21"/>
        <v>P</v>
      </c>
      <c r="AD98" s="112" t="str">
        <f t="shared" ca="1" si="21"/>
        <v>P</v>
      </c>
      <c r="AE98" s="112" t="str">
        <f t="shared" ca="1" si="21"/>
        <v>P</v>
      </c>
      <c r="AF98" s="112" t="str">
        <f t="shared" ca="1" si="21"/>
        <v>P</v>
      </c>
      <c r="AG98" s="112" t="str">
        <f t="shared" ca="1" si="21"/>
        <v>P</v>
      </c>
      <c r="AH98" s="112" t="str">
        <f t="shared" ca="1" si="20"/>
        <v>P</v>
      </c>
      <c r="AI98" s="110">
        <f t="shared" si="16"/>
        <v>31</v>
      </c>
      <c r="AJ98" s="220">
        <f t="shared" ca="1" si="17"/>
        <v>17</v>
      </c>
      <c r="AK98" s="111">
        <f t="shared" ca="1" si="18"/>
        <v>14</v>
      </c>
    </row>
    <row r="99" spans="1:37" x14ac:dyDescent="0.25">
      <c r="A99" s="105">
        <v>1092</v>
      </c>
      <c r="B99" s="107" t="s">
        <v>317</v>
      </c>
      <c r="C99" s="103" t="s">
        <v>1109</v>
      </c>
      <c r="D99" s="112" t="str">
        <f t="shared" ca="1" si="22"/>
        <v>R</v>
      </c>
      <c r="E99" s="112" t="str">
        <f t="shared" ca="1" si="22"/>
        <v>P</v>
      </c>
      <c r="F99" s="112" t="str">
        <f t="shared" ca="1" si="22"/>
        <v>R</v>
      </c>
      <c r="G99" s="112" t="str">
        <f t="shared" ca="1" si="22"/>
        <v>R</v>
      </c>
      <c r="H99" s="112" t="str">
        <f t="shared" ca="1" si="22"/>
        <v>P</v>
      </c>
      <c r="I99" s="112" t="str">
        <f t="shared" ca="1" si="22"/>
        <v>P</v>
      </c>
      <c r="J99" s="112" t="str">
        <f t="shared" ca="1" si="22"/>
        <v>R</v>
      </c>
      <c r="K99" s="112" t="str">
        <f t="shared" ca="1" si="22"/>
        <v>R</v>
      </c>
      <c r="L99" s="112" t="str">
        <f t="shared" ca="1" si="22"/>
        <v>R</v>
      </c>
      <c r="M99" s="112" t="str">
        <f t="shared" ca="1" si="22"/>
        <v>R</v>
      </c>
      <c r="N99" s="112" t="str">
        <f t="shared" ca="1" si="22"/>
        <v>P</v>
      </c>
      <c r="O99" s="112" t="str">
        <f t="shared" ca="1" si="22"/>
        <v>P</v>
      </c>
      <c r="P99" s="112" t="str">
        <f t="shared" ca="1" si="22"/>
        <v>R</v>
      </c>
      <c r="Q99" s="112" t="str">
        <f t="shared" ca="1" si="22"/>
        <v>P</v>
      </c>
      <c r="R99" s="112" t="str">
        <f t="shared" ca="1" si="22"/>
        <v>R</v>
      </c>
      <c r="S99" s="112" t="str">
        <f t="shared" ca="1" si="22"/>
        <v>P</v>
      </c>
      <c r="T99" s="112" t="str">
        <f t="shared" ca="1" si="21"/>
        <v>R</v>
      </c>
      <c r="U99" s="112" t="str">
        <f t="shared" ca="1" si="21"/>
        <v>R</v>
      </c>
      <c r="V99" s="112" t="str">
        <f t="shared" ca="1" si="21"/>
        <v>P</v>
      </c>
      <c r="W99" s="112" t="str">
        <f t="shared" ca="1" si="21"/>
        <v>P</v>
      </c>
      <c r="X99" s="112" t="str">
        <f t="shared" ca="1" si="21"/>
        <v>P</v>
      </c>
      <c r="Y99" s="112" t="str">
        <f t="shared" ca="1" si="21"/>
        <v>R</v>
      </c>
      <c r="Z99" s="112" t="str">
        <f t="shared" ca="1" si="21"/>
        <v>P</v>
      </c>
      <c r="AA99" s="112" t="str">
        <f t="shared" ca="1" si="21"/>
        <v>P</v>
      </c>
      <c r="AB99" s="112" t="str">
        <f t="shared" ca="1" si="21"/>
        <v>R</v>
      </c>
      <c r="AC99" s="112" t="str">
        <f t="shared" ca="1" si="21"/>
        <v>P</v>
      </c>
      <c r="AD99" s="112" t="str">
        <f t="shared" ca="1" si="21"/>
        <v>P</v>
      </c>
      <c r="AE99" s="112" t="str">
        <f t="shared" ca="1" si="21"/>
        <v>P</v>
      </c>
      <c r="AF99" s="112" t="str">
        <f t="shared" ca="1" si="21"/>
        <v>P</v>
      </c>
      <c r="AG99" s="112" t="str">
        <f t="shared" ca="1" si="21"/>
        <v>R</v>
      </c>
      <c r="AH99" s="112" t="str">
        <f t="shared" ca="1" si="20"/>
        <v>P</v>
      </c>
      <c r="AI99" s="110">
        <f t="shared" si="16"/>
        <v>31</v>
      </c>
      <c r="AJ99" s="220">
        <f t="shared" ca="1" si="17"/>
        <v>30</v>
      </c>
      <c r="AK99" s="111">
        <f t="shared" ca="1" si="18"/>
        <v>1</v>
      </c>
    </row>
    <row r="100" spans="1:37" x14ac:dyDescent="0.25">
      <c r="A100" s="105">
        <v>1093</v>
      </c>
      <c r="B100" s="107" t="s">
        <v>323</v>
      </c>
      <c r="C100" s="103" t="s">
        <v>1103</v>
      </c>
      <c r="D100" s="112" t="str">
        <f t="shared" ca="1" si="22"/>
        <v>P</v>
      </c>
      <c r="E100" s="112" t="str">
        <f t="shared" ca="1" si="22"/>
        <v>P</v>
      </c>
      <c r="F100" s="112" t="str">
        <f t="shared" ca="1" si="22"/>
        <v>P</v>
      </c>
      <c r="G100" s="112" t="str">
        <f t="shared" ca="1" si="22"/>
        <v>P</v>
      </c>
      <c r="H100" s="112" t="str">
        <f t="shared" ca="1" si="22"/>
        <v>P</v>
      </c>
      <c r="I100" s="112" t="str">
        <f t="shared" ca="1" si="22"/>
        <v>P</v>
      </c>
      <c r="J100" s="112" t="str">
        <f t="shared" ca="1" si="22"/>
        <v>P</v>
      </c>
      <c r="K100" s="112" t="str">
        <f t="shared" ca="1" si="22"/>
        <v>P</v>
      </c>
      <c r="L100" s="112" t="str">
        <f t="shared" ca="1" si="22"/>
        <v>P</v>
      </c>
      <c r="M100" s="112" t="str">
        <f t="shared" ca="1" si="22"/>
        <v>P</v>
      </c>
      <c r="N100" s="112" t="str">
        <f t="shared" ca="1" si="22"/>
        <v>P</v>
      </c>
      <c r="O100" s="112" t="str">
        <f t="shared" ca="1" si="22"/>
        <v>P</v>
      </c>
      <c r="P100" s="112" t="str">
        <f t="shared" ca="1" si="22"/>
        <v>R</v>
      </c>
      <c r="Q100" s="112" t="str">
        <f t="shared" ca="1" si="22"/>
        <v>P</v>
      </c>
      <c r="R100" s="112" t="str">
        <f t="shared" ca="1" si="22"/>
        <v>P</v>
      </c>
      <c r="S100" s="112" t="str">
        <f t="shared" ca="1" si="22"/>
        <v>P</v>
      </c>
      <c r="T100" s="112" t="str">
        <f t="shared" ca="1" si="21"/>
        <v>P</v>
      </c>
      <c r="U100" s="112" t="str">
        <f t="shared" ca="1" si="21"/>
        <v>P</v>
      </c>
      <c r="V100" s="112" t="str">
        <f t="shared" ca="1" si="21"/>
        <v>P</v>
      </c>
      <c r="W100" s="112" t="str">
        <f t="shared" ca="1" si="21"/>
        <v>P</v>
      </c>
      <c r="X100" s="112" t="str">
        <f t="shared" ca="1" si="21"/>
        <v>P</v>
      </c>
      <c r="Y100" s="112" t="str">
        <f t="shared" ca="1" si="21"/>
        <v>P</v>
      </c>
      <c r="Z100" s="112" t="str">
        <f t="shared" ca="1" si="21"/>
        <v>P</v>
      </c>
      <c r="AA100" s="112" t="str">
        <f t="shared" ca="1" si="21"/>
        <v>P</v>
      </c>
      <c r="AB100" s="112" t="str">
        <f t="shared" ca="1" si="21"/>
        <v>P</v>
      </c>
      <c r="AC100" s="112" t="str">
        <f t="shared" ca="1" si="21"/>
        <v>P</v>
      </c>
      <c r="AD100" s="112" t="str">
        <f t="shared" ca="1" si="21"/>
        <v>P</v>
      </c>
      <c r="AE100" s="112" t="str">
        <f t="shared" ca="1" si="21"/>
        <v>P</v>
      </c>
      <c r="AF100" s="112" t="str">
        <f t="shared" ca="1" si="21"/>
        <v>P</v>
      </c>
      <c r="AG100" s="112" t="str">
        <f t="shared" ca="1" si="21"/>
        <v>P</v>
      </c>
      <c r="AH100" s="112" t="str">
        <f t="shared" ca="1" si="20"/>
        <v>P</v>
      </c>
      <c r="AI100" s="110">
        <f t="shared" si="16"/>
        <v>31</v>
      </c>
      <c r="AJ100" s="220">
        <f t="shared" ca="1" si="17"/>
        <v>24</v>
      </c>
      <c r="AK100" s="111">
        <f t="shared" ca="1" si="18"/>
        <v>7</v>
      </c>
    </row>
    <row r="101" spans="1:37" x14ac:dyDescent="0.25">
      <c r="A101" s="105">
        <v>1094</v>
      </c>
      <c r="B101" s="107" t="s">
        <v>329</v>
      </c>
      <c r="C101" s="103" t="s">
        <v>1106</v>
      </c>
      <c r="D101" s="112" t="str">
        <f t="shared" ca="1" si="22"/>
        <v>P</v>
      </c>
      <c r="E101" s="112" t="str">
        <f t="shared" ca="1" si="22"/>
        <v>R</v>
      </c>
      <c r="F101" s="112" t="str">
        <f t="shared" ca="1" si="22"/>
        <v>P</v>
      </c>
      <c r="G101" s="112" t="str">
        <f t="shared" ca="1" si="22"/>
        <v>R</v>
      </c>
      <c r="H101" s="112" t="str">
        <f t="shared" ca="1" si="22"/>
        <v>P</v>
      </c>
      <c r="I101" s="112" t="str">
        <f t="shared" ca="1" si="22"/>
        <v>R</v>
      </c>
      <c r="J101" s="112" t="str">
        <f t="shared" ca="1" si="22"/>
        <v>P</v>
      </c>
      <c r="K101" s="112" t="str">
        <f t="shared" ca="1" si="22"/>
        <v>P</v>
      </c>
      <c r="L101" s="112" t="str">
        <f t="shared" ca="1" si="22"/>
        <v>R</v>
      </c>
      <c r="M101" s="112" t="str">
        <f t="shared" ca="1" si="22"/>
        <v>P</v>
      </c>
      <c r="N101" s="112" t="str">
        <f t="shared" ca="1" si="22"/>
        <v>P</v>
      </c>
      <c r="O101" s="112" t="str">
        <f t="shared" ca="1" si="22"/>
        <v>P</v>
      </c>
      <c r="P101" s="112" t="str">
        <f t="shared" ca="1" si="22"/>
        <v>P</v>
      </c>
      <c r="Q101" s="112" t="str">
        <f t="shared" ca="1" si="22"/>
        <v>P</v>
      </c>
      <c r="R101" s="112" t="str">
        <f t="shared" ca="1" si="22"/>
        <v>P</v>
      </c>
      <c r="S101" s="112" t="str">
        <f t="shared" ca="1" si="22"/>
        <v>P</v>
      </c>
      <c r="T101" s="112" t="str">
        <f t="shared" ca="1" si="21"/>
        <v>P</v>
      </c>
      <c r="U101" s="112" t="str">
        <f t="shared" ca="1" si="21"/>
        <v>R</v>
      </c>
      <c r="V101" s="112" t="str">
        <f t="shared" ca="1" si="21"/>
        <v>P</v>
      </c>
      <c r="W101" s="112" t="str">
        <f t="shared" ca="1" si="21"/>
        <v>P</v>
      </c>
      <c r="X101" s="112" t="str">
        <f t="shared" ca="1" si="21"/>
        <v>P</v>
      </c>
      <c r="Y101" s="112" t="str">
        <f t="shared" ca="1" si="21"/>
        <v>P</v>
      </c>
      <c r="Z101" s="112" t="str">
        <f t="shared" ca="1" si="21"/>
        <v>P</v>
      </c>
      <c r="AA101" s="112" t="str">
        <f t="shared" ca="1" si="21"/>
        <v>P</v>
      </c>
      <c r="AB101" s="112" t="str">
        <f t="shared" ca="1" si="21"/>
        <v>P</v>
      </c>
      <c r="AC101" s="112" t="str">
        <f t="shared" ca="1" si="21"/>
        <v>P</v>
      </c>
      <c r="AD101" s="112" t="str">
        <f t="shared" ca="1" si="21"/>
        <v>R</v>
      </c>
      <c r="AE101" s="112" t="str">
        <f t="shared" ca="1" si="21"/>
        <v>P</v>
      </c>
      <c r="AF101" s="112" t="str">
        <f t="shared" ca="1" si="21"/>
        <v>P</v>
      </c>
      <c r="AG101" s="112" t="str">
        <f t="shared" ca="1" si="21"/>
        <v>R</v>
      </c>
      <c r="AH101" s="112" t="str">
        <f t="shared" ca="1" si="20"/>
        <v>P</v>
      </c>
      <c r="AI101" s="110">
        <f t="shared" si="16"/>
        <v>31</v>
      </c>
      <c r="AJ101" s="220">
        <f t="shared" ca="1" si="17"/>
        <v>26</v>
      </c>
      <c r="AK101" s="111">
        <f t="shared" ca="1" si="18"/>
        <v>5</v>
      </c>
    </row>
    <row r="102" spans="1:37" x14ac:dyDescent="0.25">
      <c r="A102" s="105">
        <v>1095</v>
      </c>
      <c r="B102" s="107" t="s">
        <v>334</v>
      </c>
      <c r="C102" s="103" t="s">
        <v>1115</v>
      </c>
      <c r="D102" s="112" t="str">
        <f t="shared" ca="1" si="22"/>
        <v>R</v>
      </c>
      <c r="E102" s="112" t="str">
        <f t="shared" ca="1" si="22"/>
        <v>P</v>
      </c>
      <c r="F102" s="112" t="str">
        <f t="shared" ca="1" si="22"/>
        <v>P</v>
      </c>
      <c r="G102" s="112" t="str">
        <f t="shared" ca="1" si="22"/>
        <v>P</v>
      </c>
      <c r="H102" s="112" t="str">
        <f t="shared" ca="1" si="22"/>
        <v>P</v>
      </c>
      <c r="I102" s="112" t="str">
        <f t="shared" ca="1" si="22"/>
        <v>P</v>
      </c>
      <c r="J102" s="112" t="str">
        <f t="shared" ca="1" si="22"/>
        <v>R</v>
      </c>
      <c r="K102" s="112" t="str">
        <f t="shared" ca="1" si="22"/>
        <v>P</v>
      </c>
      <c r="L102" s="112" t="str">
        <f t="shared" ca="1" si="22"/>
        <v>R</v>
      </c>
      <c r="M102" s="112" t="str">
        <f t="shared" ca="1" si="22"/>
        <v>P</v>
      </c>
      <c r="N102" s="112" t="str">
        <f t="shared" ca="1" si="22"/>
        <v>P</v>
      </c>
      <c r="O102" s="112" t="str">
        <f t="shared" ca="1" si="22"/>
        <v>P</v>
      </c>
      <c r="P102" s="112" t="str">
        <f t="shared" ca="1" si="22"/>
        <v>P</v>
      </c>
      <c r="Q102" s="112" t="str">
        <f t="shared" ca="1" si="22"/>
        <v>R</v>
      </c>
      <c r="R102" s="112" t="str">
        <f t="shared" ca="1" si="22"/>
        <v>P</v>
      </c>
      <c r="S102" s="112" t="str">
        <f t="shared" ca="1" si="22"/>
        <v>P</v>
      </c>
      <c r="T102" s="112" t="str">
        <f t="shared" ca="1" si="21"/>
        <v>P</v>
      </c>
      <c r="U102" s="112" t="str">
        <f t="shared" ca="1" si="21"/>
        <v>P</v>
      </c>
      <c r="V102" s="112" t="str">
        <f t="shared" ca="1" si="21"/>
        <v>P</v>
      </c>
      <c r="W102" s="112" t="str">
        <f t="shared" ca="1" si="21"/>
        <v>P</v>
      </c>
      <c r="X102" s="112" t="str">
        <f t="shared" ca="1" si="21"/>
        <v>P</v>
      </c>
      <c r="Y102" s="112" t="str">
        <f t="shared" ca="1" si="21"/>
        <v>P</v>
      </c>
      <c r="Z102" s="112" t="str">
        <f t="shared" ca="1" si="21"/>
        <v>P</v>
      </c>
      <c r="AA102" s="112" t="str">
        <f t="shared" ca="1" si="21"/>
        <v>P</v>
      </c>
      <c r="AB102" s="112" t="str">
        <f t="shared" ca="1" si="21"/>
        <v>P</v>
      </c>
      <c r="AC102" s="112" t="str">
        <f t="shared" ca="1" si="21"/>
        <v>P</v>
      </c>
      <c r="AD102" s="112" t="str">
        <f t="shared" ca="1" si="21"/>
        <v>P</v>
      </c>
      <c r="AE102" s="112" t="str">
        <f t="shared" ca="1" si="21"/>
        <v>P</v>
      </c>
      <c r="AF102" s="112" t="str">
        <f t="shared" ca="1" si="21"/>
        <v>R</v>
      </c>
      <c r="AG102" s="112" t="str">
        <f t="shared" ca="1" si="21"/>
        <v>P</v>
      </c>
      <c r="AH102" s="112" t="str">
        <f t="shared" ca="1" si="20"/>
        <v>P</v>
      </c>
      <c r="AI102" s="110">
        <f t="shared" si="16"/>
        <v>31</v>
      </c>
      <c r="AJ102" s="220">
        <f t="shared" ca="1" si="17"/>
        <v>24</v>
      </c>
      <c r="AK102" s="111">
        <f t="shared" ca="1" si="18"/>
        <v>7</v>
      </c>
    </row>
    <row r="103" spans="1:37" x14ac:dyDescent="0.25">
      <c r="A103" s="105">
        <v>1096</v>
      </c>
      <c r="B103" s="107" t="s">
        <v>340</v>
      </c>
      <c r="C103" s="103" t="s">
        <v>1106</v>
      </c>
      <c r="D103" s="112" t="str">
        <f t="shared" ca="1" si="22"/>
        <v>P</v>
      </c>
      <c r="E103" s="112" t="str">
        <f t="shared" ca="1" si="22"/>
        <v>P</v>
      </c>
      <c r="F103" s="112" t="str">
        <f t="shared" ca="1" si="22"/>
        <v>R</v>
      </c>
      <c r="G103" s="112" t="str">
        <f t="shared" ca="1" si="22"/>
        <v>P</v>
      </c>
      <c r="H103" s="112" t="str">
        <f t="shared" ca="1" si="22"/>
        <v>P</v>
      </c>
      <c r="I103" s="112" t="str">
        <f t="shared" ca="1" si="22"/>
        <v>P</v>
      </c>
      <c r="J103" s="112" t="str">
        <f t="shared" ca="1" si="22"/>
        <v>P</v>
      </c>
      <c r="K103" s="112" t="str">
        <f t="shared" ca="1" si="22"/>
        <v>P</v>
      </c>
      <c r="L103" s="112" t="str">
        <f t="shared" ca="1" si="22"/>
        <v>R</v>
      </c>
      <c r="M103" s="112" t="str">
        <f t="shared" ca="1" si="22"/>
        <v>P</v>
      </c>
      <c r="N103" s="112" t="str">
        <f t="shared" ca="1" si="22"/>
        <v>P</v>
      </c>
      <c r="O103" s="112" t="str">
        <f t="shared" ca="1" si="22"/>
        <v>R</v>
      </c>
      <c r="P103" s="112" t="str">
        <f t="shared" ca="1" si="22"/>
        <v>P</v>
      </c>
      <c r="Q103" s="112" t="str">
        <f t="shared" ca="1" si="22"/>
        <v>P</v>
      </c>
      <c r="R103" s="112" t="str">
        <f t="shared" ca="1" si="22"/>
        <v>P</v>
      </c>
      <c r="S103" s="112" t="str">
        <f t="shared" ref="S103:AG118" ca="1" si="23">IF(S$6="","",IF(RAND()&lt;0.8,"P","R"))</f>
        <v>P</v>
      </c>
      <c r="T103" s="112" t="str">
        <f t="shared" ca="1" si="23"/>
        <v>P</v>
      </c>
      <c r="U103" s="112" t="str">
        <f t="shared" ca="1" si="23"/>
        <v>P</v>
      </c>
      <c r="V103" s="112" t="str">
        <f t="shared" ca="1" si="23"/>
        <v>P</v>
      </c>
      <c r="W103" s="112" t="str">
        <f t="shared" ca="1" si="23"/>
        <v>R</v>
      </c>
      <c r="X103" s="112" t="str">
        <f t="shared" ca="1" si="23"/>
        <v>P</v>
      </c>
      <c r="Y103" s="112" t="str">
        <f t="shared" ca="1" si="23"/>
        <v>P</v>
      </c>
      <c r="Z103" s="112" t="str">
        <f t="shared" ca="1" si="23"/>
        <v>P</v>
      </c>
      <c r="AA103" s="112" t="str">
        <f t="shared" ca="1" si="23"/>
        <v>R</v>
      </c>
      <c r="AB103" s="112" t="str">
        <f t="shared" ca="1" si="23"/>
        <v>P</v>
      </c>
      <c r="AC103" s="112" t="str">
        <f t="shared" ca="1" si="23"/>
        <v>R</v>
      </c>
      <c r="AD103" s="112" t="str">
        <f t="shared" ca="1" si="23"/>
        <v>P</v>
      </c>
      <c r="AE103" s="112" t="str">
        <f t="shared" ca="1" si="23"/>
        <v>P</v>
      </c>
      <c r="AF103" s="112" t="str">
        <f t="shared" ca="1" si="23"/>
        <v>P</v>
      </c>
      <c r="AG103" s="112" t="str">
        <f t="shared" ca="1" si="23"/>
        <v>P</v>
      </c>
      <c r="AH103" s="112" t="str">
        <f t="shared" ca="1" si="20"/>
        <v>R</v>
      </c>
      <c r="AI103" s="110">
        <f t="shared" si="16"/>
        <v>31</v>
      </c>
      <c r="AJ103" s="220">
        <f t="shared" ca="1" si="17"/>
        <v>27</v>
      </c>
      <c r="AK103" s="111">
        <f t="shared" ca="1" si="18"/>
        <v>4</v>
      </c>
    </row>
    <row r="104" spans="1:37" x14ac:dyDescent="0.25">
      <c r="A104" s="105">
        <v>1097</v>
      </c>
      <c r="B104" s="107" t="s">
        <v>346</v>
      </c>
      <c r="C104" s="103" t="s">
        <v>1113</v>
      </c>
      <c r="D104" s="112" t="str">
        <f t="shared" ref="D104:S119" ca="1" si="24">IF(D$6="","",IF(RAND()&lt;0.8,"P","R"))</f>
        <v>P</v>
      </c>
      <c r="E104" s="112" t="str">
        <f t="shared" ca="1" si="24"/>
        <v>P</v>
      </c>
      <c r="F104" s="112" t="str">
        <f t="shared" ca="1" si="24"/>
        <v>P</v>
      </c>
      <c r="G104" s="112" t="str">
        <f t="shared" ca="1" si="24"/>
        <v>P</v>
      </c>
      <c r="H104" s="112" t="str">
        <f t="shared" ca="1" si="24"/>
        <v>P</v>
      </c>
      <c r="I104" s="112" t="str">
        <f t="shared" ca="1" si="24"/>
        <v>P</v>
      </c>
      <c r="J104" s="112" t="str">
        <f t="shared" ca="1" si="24"/>
        <v>P</v>
      </c>
      <c r="K104" s="112" t="str">
        <f t="shared" ca="1" si="24"/>
        <v>P</v>
      </c>
      <c r="L104" s="112" t="str">
        <f t="shared" ca="1" si="24"/>
        <v>R</v>
      </c>
      <c r="M104" s="112" t="str">
        <f t="shared" ca="1" si="24"/>
        <v>P</v>
      </c>
      <c r="N104" s="112" t="str">
        <f t="shared" ca="1" si="24"/>
        <v>P</v>
      </c>
      <c r="O104" s="112" t="str">
        <f t="shared" ca="1" si="24"/>
        <v>P</v>
      </c>
      <c r="P104" s="112" t="str">
        <f t="shared" ca="1" si="24"/>
        <v>P</v>
      </c>
      <c r="Q104" s="112" t="str">
        <f t="shared" ca="1" si="24"/>
        <v>P</v>
      </c>
      <c r="R104" s="112" t="str">
        <f t="shared" ca="1" si="24"/>
        <v>P</v>
      </c>
      <c r="S104" s="112" t="str">
        <f t="shared" ca="1" si="23"/>
        <v>P</v>
      </c>
      <c r="T104" s="112" t="str">
        <f t="shared" ca="1" si="23"/>
        <v>P</v>
      </c>
      <c r="U104" s="112" t="str">
        <f t="shared" ca="1" si="23"/>
        <v>R</v>
      </c>
      <c r="V104" s="112" t="str">
        <f t="shared" ca="1" si="23"/>
        <v>P</v>
      </c>
      <c r="W104" s="112" t="str">
        <f t="shared" ca="1" si="23"/>
        <v>R</v>
      </c>
      <c r="X104" s="112" t="str">
        <f t="shared" ca="1" si="23"/>
        <v>P</v>
      </c>
      <c r="Y104" s="112" t="str">
        <f t="shared" ca="1" si="23"/>
        <v>P</v>
      </c>
      <c r="Z104" s="112" t="str">
        <f t="shared" ca="1" si="23"/>
        <v>P</v>
      </c>
      <c r="AA104" s="112" t="str">
        <f t="shared" ca="1" si="23"/>
        <v>P</v>
      </c>
      <c r="AB104" s="112" t="str">
        <f t="shared" ca="1" si="23"/>
        <v>P</v>
      </c>
      <c r="AC104" s="112" t="str">
        <f t="shared" ca="1" si="23"/>
        <v>P</v>
      </c>
      <c r="AD104" s="112" t="str">
        <f t="shared" ca="1" si="23"/>
        <v>P</v>
      </c>
      <c r="AE104" s="112" t="str">
        <f t="shared" ca="1" si="23"/>
        <v>R</v>
      </c>
      <c r="AF104" s="112" t="str">
        <f t="shared" ca="1" si="23"/>
        <v>P</v>
      </c>
      <c r="AG104" s="112" t="str">
        <f t="shared" ca="1" si="23"/>
        <v>P</v>
      </c>
      <c r="AH104" s="112" t="str">
        <f t="shared" ca="1" si="20"/>
        <v>P</v>
      </c>
      <c r="AI104" s="110">
        <f t="shared" si="16"/>
        <v>31</v>
      </c>
      <c r="AJ104" s="220">
        <f t="shared" ca="1" si="17"/>
        <v>23</v>
      </c>
      <c r="AK104" s="111">
        <f t="shared" ca="1" si="18"/>
        <v>8</v>
      </c>
    </row>
    <row r="105" spans="1:37" x14ac:dyDescent="0.25">
      <c r="A105" s="105">
        <v>1098</v>
      </c>
      <c r="B105" s="107" t="s">
        <v>352</v>
      </c>
      <c r="C105" s="103" t="s">
        <v>1104</v>
      </c>
      <c r="D105" s="112" t="str">
        <f t="shared" ca="1" si="24"/>
        <v>R</v>
      </c>
      <c r="E105" s="112" t="str">
        <f t="shared" ca="1" si="24"/>
        <v>R</v>
      </c>
      <c r="F105" s="112" t="str">
        <f t="shared" ca="1" si="24"/>
        <v>P</v>
      </c>
      <c r="G105" s="112" t="str">
        <f t="shared" ca="1" si="24"/>
        <v>R</v>
      </c>
      <c r="H105" s="112" t="str">
        <f t="shared" ca="1" si="24"/>
        <v>P</v>
      </c>
      <c r="I105" s="112" t="str">
        <f t="shared" ca="1" si="24"/>
        <v>P</v>
      </c>
      <c r="J105" s="112" t="str">
        <f t="shared" ca="1" si="24"/>
        <v>P</v>
      </c>
      <c r="K105" s="112" t="str">
        <f t="shared" ca="1" si="24"/>
        <v>P</v>
      </c>
      <c r="L105" s="112" t="str">
        <f t="shared" ca="1" si="24"/>
        <v>P</v>
      </c>
      <c r="M105" s="112" t="str">
        <f t="shared" ca="1" si="24"/>
        <v>P</v>
      </c>
      <c r="N105" s="112" t="str">
        <f t="shared" ca="1" si="24"/>
        <v>R</v>
      </c>
      <c r="O105" s="112" t="str">
        <f t="shared" ca="1" si="24"/>
        <v>P</v>
      </c>
      <c r="P105" s="112" t="str">
        <f t="shared" ca="1" si="24"/>
        <v>P</v>
      </c>
      <c r="Q105" s="112" t="str">
        <f t="shared" ca="1" si="24"/>
        <v>P</v>
      </c>
      <c r="R105" s="112" t="str">
        <f t="shared" ca="1" si="24"/>
        <v>P</v>
      </c>
      <c r="S105" s="112" t="str">
        <f t="shared" ca="1" si="23"/>
        <v>R</v>
      </c>
      <c r="T105" s="112" t="str">
        <f t="shared" ca="1" si="23"/>
        <v>P</v>
      </c>
      <c r="U105" s="112" t="str">
        <f t="shared" ca="1" si="23"/>
        <v>R</v>
      </c>
      <c r="V105" s="112" t="str">
        <f t="shared" ca="1" si="23"/>
        <v>P</v>
      </c>
      <c r="W105" s="112" t="str">
        <f t="shared" ca="1" si="23"/>
        <v>P</v>
      </c>
      <c r="X105" s="112" t="str">
        <f t="shared" ca="1" si="23"/>
        <v>P</v>
      </c>
      <c r="Y105" s="112" t="str">
        <f t="shared" ca="1" si="23"/>
        <v>P</v>
      </c>
      <c r="Z105" s="112" t="str">
        <f t="shared" ca="1" si="23"/>
        <v>P</v>
      </c>
      <c r="AA105" s="112" t="str">
        <f t="shared" ca="1" si="23"/>
        <v>P</v>
      </c>
      <c r="AB105" s="112" t="str">
        <f t="shared" ca="1" si="23"/>
        <v>R</v>
      </c>
      <c r="AC105" s="112" t="str">
        <f t="shared" ca="1" si="23"/>
        <v>P</v>
      </c>
      <c r="AD105" s="112" t="str">
        <f t="shared" ca="1" si="23"/>
        <v>P</v>
      </c>
      <c r="AE105" s="112" t="str">
        <f t="shared" ca="1" si="23"/>
        <v>R</v>
      </c>
      <c r="AF105" s="112" t="str">
        <f t="shared" ca="1" si="23"/>
        <v>P</v>
      </c>
      <c r="AG105" s="112" t="str">
        <f t="shared" ca="1" si="23"/>
        <v>P</v>
      </c>
      <c r="AH105" s="112" t="str">
        <f t="shared" ca="1" si="20"/>
        <v>P</v>
      </c>
      <c r="AI105" s="110">
        <f t="shared" si="16"/>
        <v>31</v>
      </c>
      <c r="AJ105" s="220">
        <f t="shared" ca="1" si="17"/>
        <v>24</v>
      </c>
      <c r="AK105" s="111">
        <f t="shared" ca="1" si="18"/>
        <v>7</v>
      </c>
    </row>
    <row r="106" spans="1:37" x14ac:dyDescent="0.25">
      <c r="A106" s="105">
        <v>1099</v>
      </c>
      <c r="B106" s="107" t="s">
        <v>358</v>
      </c>
      <c r="C106" s="103" t="s">
        <v>1114</v>
      </c>
      <c r="D106" s="112" t="str">
        <f t="shared" ca="1" si="24"/>
        <v>P</v>
      </c>
      <c r="E106" s="112" t="str">
        <f t="shared" ca="1" si="24"/>
        <v>R</v>
      </c>
      <c r="F106" s="112" t="str">
        <f t="shared" ca="1" si="24"/>
        <v>R</v>
      </c>
      <c r="G106" s="112" t="str">
        <f t="shared" ca="1" si="24"/>
        <v>P</v>
      </c>
      <c r="H106" s="112" t="str">
        <f t="shared" ca="1" si="24"/>
        <v>P</v>
      </c>
      <c r="I106" s="112" t="str">
        <f t="shared" ca="1" si="24"/>
        <v>P</v>
      </c>
      <c r="J106" s="112" t="str">
        <f t="shared" ca="1" si="24"/>
        <v>P</v>
      </c>
      <c r="K106" s="112" t="str">
        <f t="shared" ca="1" si="24"/>
        <v>P</v>
      </c>
      <c r="L106" s="112" t="str">
        <f t="shared" ca="1" si="24"/>
        <v>P</v>
      </c>
      <c r="M106" s="112" t="str">
        <f t="shared" ca="1" si="24"/>
        <v>P</v>
      </c>
      <c r="N106" s="112" t="str">
        <f t="shared" ca="1" si="24"/>
        <v>P</v>
      </c>
      <c r="O106" s="112" t="str">
        <f t="shared" ca="1" si="24"/>
        <v>R</v>
      </c>
      <c r="P106" s="112" t="str">
        <f t="shared" ca="1" si="24"/>
        <v>R</v>
      </c>
      <c r="Q106" s="112" t="str">
        <f t="shared" ca="1" si="24"/>
        <v>P</v>
      </c>
      <c r="R106" s="112" t="str">
        <f t="shared" ca="1" si="24"/>
        <v>P</v>
      </c>
      <c r="S106" s="112" t="str">
        <f t="shared" ca="1" si="23"/>
        <v>R</v>
      </c>
      <c r="T106" s="112" t="str">
        <f t="shared" ca="1" si="23"/>
        <v>P</v>
      </c>
      <c r="U106" s="112" t="str">
        <f t="shared" ca="1" si="23"/>
        <v>P</v>
      </c>
      <c r="V106" s="112" t="str">
        <f t="shared" ca="1" si="23"/>
        <v>P</v>
      </c>
      <c r="W106" s="112" t="str">
        <f t="shared" ca="1" si="23"/>
        <v>P</v>
      </c>
      <c r="X106" s="112" t="str">
        <f t="shared" ca="1" si="23"/>
        <v>P</v>
      </c>
      <c r="Y106" s="112" t="str">
        <f t="shared" ca="1" si="23"/>
        <v>P</v>
      </c>
      <c r="Z106" s="112" t="str">
        <f t="shared" ca="1" si="23"/>
        <v>P</v>
      </c>
      <c r="AA106" s="112" t="str">
        <f t="shared" ca="1" si="23"/>
        <v>P</v>
      </c>
      <c r="AB106" s="112" t="str">
        <f t="shared" ca="1" si="23"/>
        <v>P</v>
      </c>
      <c r="AC106" s="112" t="str">
        <f t="shared" ca="1" si="23"/>
        <v>P</v>
      </c>
      <c r="AD106" s="112" t="str">
        <f t="shared" ca="1" si="23"/>
        <v>P</v>
      </c>
      <c r="AE106" s="112" t="str">
        <f t="shared" ca="1" si="23"/>
        <v>P</v>
      </c>
      <c r="AF106" s="112" t="str">
        <f t="shared" ca="1" si="23"/>
        <v>P</v>
      </c>
      <c r="AG106" s="112" t="str">
        <f t="shared" ca="1" si="23"/>
        <v>R</v>
      </c>
      <c r="AH106" s="112" t="str">
        <f t="shared" ca="1" si="20"/>
        <v>R</v>
      </c>
      <c r="AI106" s="110">
        <f t="shared" si="16"/>
        <v>31</v>
      </c>
      <c r="AJ106" s="220">
        <f ca="1">COUNTIF(D106:AH106,"P")</f>
        <v>24</v>
      </c>
      <c r="AK106" s="111">
        <f ca="1">COUNTIF(D106:AH106,"R")</f>
        <v>7</v>
      </c>
    </row>
    <row r="107" spans="1:37" x14ac:dyDescent="0.25">
      <c r="A107" s="105">
        <v>1100</v>
      </c>
      <c r="B107" s="107" t="s">
        <v>85</v>
      </c>
      <c r="C107" s="215" t="s">
        <v>1112</v>
      </c>
      <c r="D107" s="221" t="str">
        <f t="shared" ca="1" si="24"/>
        <v>P</v>
      </c>
      <c r="E107" s="112" t="str">
        <f t="shared" ca="1" si="24"/>
        <v>P</v>
      </c>
      <c r="F107" s="112" t="str">
        <f t="shared" ca="1" si="24"/>
        <v>P</v>
      </c>
      <c r="G107" s="112" t="str">
        <f t="shared" ca="1" si="24"/>
        <v>P</v>
      </c>
      <c r="H107" s="112" t="str">
        <f t="shared" ca="1" si="24"/>
        <v>P</v>
      </c>
      <c r="I107" s="112" t="str">
        <f t="shared" ca="1" si="24"/>
        <v>R</v>
      </c>
      <c r="J107" s="112" t="str">
        <f t="shared" ca="1" si="24"/>
        <v>R</v>
      </c>
      <c r="K107" s="112" t="str">
        <f t="shared" ca="1" si="24"/>
        <v>P</v>
      </c>
      <c r="L107" s="112" t="str">
        <f t="shared" ca="1" si="24"/>
        <v>R</v>
      </c>
      <c r="M107" s="112" t="str">
        <f t="shared" ca="1" si="24"/>
        <v>R</v>
      </c>
      <c r="N107" s="112" t="str">
        <f t="shared" ca="1" si="24"/>
        <v>P</v>
      </c>
      <c r="O107" s="112" t="str">
        <f t="shared" ca="1" si="24"/>
        <v>P</v>
      </c>
      <c r="P107" s="112" t="str">
        <f t="shared" ca="1" si="24"/>
        <v>P</v>
      </c>
      <c r="Q107" s="112" t="str">
        <f t="shared" ca="1" si="24"/>
        <v>P</v>
      </c>
      <c r="R107" s="112" t="str">
        <f t="shared" ca="1" si="24"/>
        <v>P</v>
      </c>
      <c r="S107" s="112" t="str">
        <f t="shared" ca="1" si="23"/>
        <v>P</v>
      </c>
      <c r="T107" s="112" t="str">
        <f t="shared" ca="1" si="23"/>
        <v>P</v>
      </c>
      <c r="U107" s="112" t="str">
        <f t="shared" ca="1" si="23"/>
        <v>P</v>
      </c>
      <c r="V107" s="112" t="str">
        <f t="shared" ca="1" si="23"/>
        <v>P</v>
      </c>
      <c r="W107" s="112" t="str">
        <f t="shared" ca="1" si="23"/>
        <v>R</v>
      </c>
      <c r="X107" s="112" t="str">
        <f t="shared" ca="1" si="23"/>
        <v>P</v>
      </c>
      <c r="Y107" s="112" t="str">
        <f t="shared" ca="1" si="23"/>
        <v>P</v>
      </c>
      <c r="Z107" s="112" t="str">
        <f t="shared" ca="1" si="23"/>
        <v>R</v>
      </c>
      <c r="AA107" s="112" t="str">
        <f t="shared" ca="1" si="23"/>
        <v>P</v>
      </c>
      <c r="AB107" s="112" t="str">
        <f t="shared" ca="1" si="23"/>
        <v>R</v>
      </c>
      <c r="AC107" s="112" t="str">
        <f t="shared" ca="1" si="23"/>
        <v>R</v>
      </c>
      <c r="AD107" s="112" t="str">
        <f t="shared" ca="1" si="23"/>
        <v>R</v>
      </c>
      <c r="AE107" s="112" t="str">
        <f t="shared" ca="1" si="23"/>
        <v>P</v>
      </c>
      <c r="AF107" s="112" t="str">
        <f t="shared" ca="1" si="23"/>
        <v>R</v>
      </c>
      <c r="AG107" s="112" t="str">
        <f t="shared" ca="1" si="23"/>
        <v>P</v>
      </c>
      <c r="AH107" s="222" t="str">
        <f t="shared" ca="1" si="20"/>
        <v>P</v>
      </c>
      <c r="AI107" s="224">
        <f t="shared" si="16"/>
        <v>31</v>
      </c>
      <c r="AJ107" s="220">
        <f t="shared" ref="AJ107:AJ111" ca="1" si="25">COUNTIF(D107:AH107,"P")</f>
        <v>21</v>
      </c>
      <c r="AK107" s="111">
        <f t="shared" ref="AK107:AK111" ca="1" si="26">COUNTIF(D107:AH107,"R")</f>
        <v>10</v>
      </c>
    </row>
    <row r="108" spans="1:37" x14ac:dyDescent="0.25">
      <c r="A108" s="105">
        <v>1101</v>
      </c>
      <c r="B108" s="107" t="s">
        <v>117</v>
      </c>
      <c r="C108" s="215" t="s">
        <v>1111</v>
      </c>
      <c r="D108" s="221" t="str">
        <f t="shared" ca="1" si="24"/>
        <v>P</v>
      </c>
      <c r="E108" s="112" t="str">
        <f t="shared" ca="1" si="24"/>
        <v>P</v>
      </c>
      <c r="F108" s="112" t="str">
        <f t="shared" ca="1" si="24"/>
        <v>P</v>
      </c>
      <c r="G108" s="112" t="str">
        <f t="shared" ca="1" si="24"/>
        <v>P</v>
      </c>
      <c r="H108" s="112" t="str">
        <f t="shared" ca="1" si="24"/>
        <v>R</v>
      </c>
      <c r="I108" s="112" t="str">
        <f t="shared" ca="1" si="24"/>
        <v>P</v>
      </c>
      <c r="J108" s="112" t="str">
        <f t="shared" ca="1" si="24"/>
        <v>P</v>
      </c>
      <c r="K108" s="112" t="str">
        <f t="shared" ca="1" si="24"/>
        <v>R</v>
      </c>
      <c r="L108" s="112" t="str">
        <f t="shared" ca="1" si="24"/>
        <v>P</v>
      </c>
      <c r="M108" s="112" t="str">
        <f t="shared" ca="1" si="24"/>
        <v>P</v>
      </c>
      <c r="N108" s="112" t="str">
        <f t="shared" ca="1" si="24"/>
        <v>R</v>
      </c>
      <c r="O108" s="112" t="str">
        <f t="shared" ca="1" si="24"/>
        <v>P</v>
      </c>
      <c r="P108" s="112" t="str">
        <f t="shared" ca="1" si="24"/>
        <v>P</v>
      </c>
      <c r="Q108" s="112" t="str">
        <f t="shared" ca="1" si="24"/>
        <v>P</v>
      </c>
      <c r="R108" s="112" t="str">
        <f t="shared" ca="1" si="24"/>
        <v>P</v>
      </c>
      <c r="S108" s="112" t="str">
        <f t="shared" ca="1" si="23"/>
        <v>P</v>
      </c>
      <c r="T108" s="112" t="str">
        <f t="shared" ca="1" si="23"/>
        <v>P</v>
      </c>
      <c r="U108" s="112" t="str">
        <f t="shared" ca="1" si="23"/>
        <v>P</v>
      </c>
      <c r="V108" s="112" t="str">
        <f t="shared" ca="1" si="23"/>
        <v>P</v>
      </c>
      <c r="W108" s="112" t="str">
        <f t="shared" ca="1" si="23"/>
        <v>R</v>
      </c>
      <c r="X108" s="112" t="str">
        <f t="shared" ca="1" si="23"/>
        <v>R</v>
      </c>
      <c r="Y108" s="112" t="str">
        <f t="shared" ca="1" si="23"/>
        <v>P</v>
      </c>
      <c r="Z108" s="112" t="str">
        <f t="shared" ca="1" si="23"/>
        <v>R</v>
      </c>
      <c r="AA108" s="112" t="str">
        <f t="shared" ca="1" si="23"/>
        <v>P</v>
      </c>
      <c r="AB108" s="112" t="str">
        <f t="shared" ca="1" si="23"/>
        <v>P</v>
      </c>
      <c r="AC108" s="112" t="str">
        <f t="shared" ca="1" si="23"/>
        <v>P</v>
      </c>
      <c r="AD108" s="112" t="str">
        <f t="shared" ca="1" si="23"/>
        <v>P</v>
      </c>
      <c r="AE108" s="112" t="str">
        <f t="shared" ca="1" si="23"/>
        <v>R</v>
      </c>
      <c r="AF108" s="112" t="str">
        <f t="shared" ca="1" si="23"/>
        <v>P</v>
      </c>
      <c r="AG108" s="112" t="str">
        <f t="shared" ca="1" si="23"/>
        <v>P</v>
      </c>
      <c r="AH108" s="222" t="str">
        <f t="shared" ca="1" si="20"/>
        <v>P</v>
      </c>
      <c r="AI108" s="224">
        <f t="shared" si="16"/>
        <v>31</v>
      </c>
      <c r="AJ108" s="220">
        <f t="shared" ca="1" si="25"/>
        <v>24</v>
      </c>
      <c r="AK108" s="111">
        <f t="shared" ca="1" si="26"/>
        <v>7</v>
      </c>
    </row>
    <row r="109" spans="1:37" x14ac:dyDescent="0.25">
      <c r="A109" s="105">
        <v>1102</v>
      </c>
      <c r="B109" s="107" t="s">
        <v>1116</v>
      </c>
      <c r="C109" s="215" t="s">
        <v>1108</v>
      </c>
      <c r="D109" s="221" t="str">
        <f t="shared" ca="1" si="24"/>
        <v>P</v>
      </c>
      <c r="E109" s="112" t="str">
        <f t="shared" ca="1" si="24"/>
        <v>P</v>
      </c>
      <c r="F109" s="112" t="str">
        <f t="shared" ca="1" si="24"/>
        <v>P</v>
      </c>
      <c r="G109" s="112" t="str">
        <f t="shared" ca="1" si="24"/>
        <v>P</v>
      </c>
      <c r="H109" s="112" t="str">
        <f t="shared" ca="1" si="24"/>
        <v>P</v>
      </c>
      <c r="I109" s="112" t="str">
        <f t="shared" ca="1" si="24"/>
        <v>P</v>
      </c>
      <c r="J109" s="112" t="str">
        <f t="shared" ca="1" si="24"/>
        <v>P</v>
      </c>
      <c r="K109" s="112" t="str">
        <f t="shared" ca="1" si="24"/>
        <v>P</v>
      </c>
      <c r="L109" s="112" t="str">
        <f t="shared" ca="1" si="24"/>
        <v>P</v>
      </c>
      <c r="M109" s="112" t="str">
        <f t="shared" ca="1" si="24"/>
        <v>P</v>
      </c>
      <c r="N109" s="112" t="str">
        <f t="shared" ca="1" si="24"/>
        <v>P</v>
      </c>
      <c r="O109" s="112" t="str">
        <f t="shared" ca="1" si="24"/>
        <v>P</v>
      </c>
      <c r="P109" s="112" t="str">
        <f t="shared" ca="1" si="24"/>
        <v>P</v>
      </c>
      <c r="Q109" s="112" t="str">
        <f t="shared" ca="1" si="24"/>
        <v>P</v>
      </c>
      <c r="R109" s="112" t="str">
        <f t="shared" ca="1" si="24"/>
        <v>P</v>
      </c>
      <c r="S109" s="112" t="str">
        <f t="shared" ca="1" si="23"/>
        <v>P</v>
      </c>
      <c r="T109" s="112" t="str">
        <f t="shared" ca="1" si="23"/>
        <v>P</v>
      </c>
      <c r="U109" s="112" t="str">
        <f t="shared" ca="1" si="23"/>
        <v>P</v>
      </c>
      <c r="V109" s="112" t="str">
        <f t="shared" ca="1" si="23"/>
        <v>P</v>
      </c>
      <c r="W109" s="112" t="str">
        <f t="shared" ca="1" si="23"/>
        <v>P</v>
      </c>
      <c r="X109" s="112" t="str">
        <f t="shared" ca="1" si="23"/>
        <v>P</v>
      </c>
      <c r="Y109" s="112" t="str">
        <f t="shared" ca="1" si="23"/>
        <v>R</v>
      </c>
      <c r="Z109" s="112" t="str">
        <f t="shared" ca="1" si="23"/>
        <v>P</v>
      </c>
      <c r="AA109" s="112" t="str">
        <f t="shared" ca="1" si="23"/>
        <v>P</v>
      </c>
      <c r="AB109" s="112" t="str">
        <f t="shared" ca="1" si="23"/>
        <v>P</v>
      </c>
      <c r="AC109" s="112" t="str">
        <f t="shared" ca="1" si="23"/>
        <v>P</v>
      </c>
      <c r="AD109" s="112" t="str">
        <f t="shared" ca="1" si="23"/>
        <v>P</v>
      </c>
      <c r="AE109" s="112" t="str">
        <f t="shared" ca="1" si="23"/>
        <v>P</v>
      </c>
      <c r="AF109" s="112" t="str">
        <f t="shared" ca="1" si="23"/>
        <v>P</v>
      </c>
      <c r="AG109" s="112" t="str">
        <f t="shared" ca="1" si="23"/>
        <v>P</v>
      </c>
      <c r="AH109" s="222" t="str">
        <f t="shared" ca="1" si="20"/>
        <v>P</v>
      </c>
      <c r="AI109" s="224">
        <f t="shared" si="16"/>
        <v>31</v>
      </c>
      <c r="AJ109" s="220">
        <f t="shared" ca="1" si="25"/>
        <v>30</v>
      </c>
      <c r="AK109" s="111">
        <f t="shared" ca="1" si="26"/>
        <v>1</v>
      </c>
    </row>
    <row r="110" spans="1:37" x14ac:dyDescent="0.25">
      <c r="A110" s="105">
        <v>1103</v>
      </c>
      <c r="B110" s="107" t="s">
        <v>1117</v>
      </c>
      <c r="C110" s="215" t="s">
        <v>1109</v>
      </c>
      <c r="D110" s="221" t="str">
        <f t="shared" ca="1" si="24"/>
        <v>P</v>
      </c>
      <c r="E110" s="112" t="str">
        <f t="shared" ca="1" si="24"/>
        <v>P</v>
      </c>
      <c r="F110" s="112" t="str">
        <f t="shared" ca="1" si="24"/>
        <v>P</v>
      </c>
      <c r="G110" s="112" t="str">
        <f t="shared" ca="1" si="24"/>
        <v>R</v>
      </c>
      <c r="H110" s="112" t="str">
        <f t="shared" ca="1" si="24"/>
        <v>P</v>
      </c>
      <c r="I110" s="112" t="str">
        <f t="shared" ca="1" si="24"/>
        <v>P</v>
      </c>
      <c r="J110" s="112" t="str">
        <f t="shared" ca="1" si="24"/>
        <v>P</v>
      </c>
      <c r="K110" s="112" t="str">
        <f t="shared" ca="1" si="24"/>
        <v>R</v>
      </c>
      <c r="L110" s="112" t="str">
        <f t="shared" ca="1" si="24"/>
        <v>P</v>
      </c>
      <c r="M110" s="112" t="str">
        <f t="shared" ca="1" si="24"/>
        <v>P</v>
      </c>
      <c r="N110" s="112" t="str">
        <f t="shared" ca="1" si="24"/>
        <v>P</v>
      </c>
      <c r="O110" s="112" t="str">
        <f t="shared" ca="1" si="24"/>
        <v>P</v>
      </c>
      <c r="P110" s="112" t="str">
        <f t="shared" ca="1" si="24"/>
        <v>P</v>
      </c>
      <c r="Q110" s="112" t="str">
        <f t="shared" ca="1" si="24"/>
        <v>R</v>
      </c>
      <c r="R110" s="112" t="str">
        <f t="shared" ca="1" si="24"/>
        <v>P</v>
      </c>
      <c r="S110" s="112" t="str">
        <f t="shared" ca="1" si="23"/>
        <v>P</v>
      </c>
      <c r="T110" s="112" t="str">
        <f t="shared" ca="1" si="23"/>
        <v>P</v>
      </c>
      <c r="U110" s="112" t="str">
        <f t="shared" ca="1" si="23"/>
        <v>P</v>
      </c>
      <c r="V110" s="112" t="str">
        <f t="shared" ca="1" si="23"/>
        <v>P</v>
      </c>
      <c r="W110" s="112" t="str">
        <f t="shared" ca="1" si="23"/>
        <v>P</v>
      </c>
      <c r="X110" s="112" t="str">
        <f t="shared" ca="1" si="23"/>
        <v>P</v>
      </c>
      <c r="Y110" s="112" t="str">
        <f t="shared" ca="1" si="23"/>
        <v>P</v>
      </c>
      <c r="Z110" s="112" t="str">
        <f t="shared" ca="1" si="23"/>
        <v>P</v>
      </c>
      <c r="AA110" s="112" t="str">
        <f t="shared" ca="1" si="23"/>
        <v>P</v>
      </c>
      <c r="AB110" s="112" t="str">
        <f t="shared" ca="1" si="23"/>
        <v>P</v>
      </c>
      <c r="AC110" s="112" t="str">
        <f t="shared" ca="1" si="23"/>
        <v>P</v>
      </c>
      <c r="AD110" s="112" t="str">
        <f t="shared" ca="1" si="23"/>
        <v>R</v>
      </c>
      <c r="AE110" s="112" t="str">
        <f t="shared" ca="1" si="23"/>
        <v>P</v>
      </c>
      <c r="AF110" s="112" t="str">
        <f t="shared" ca="1" si="23"/>
        <v>P</v>
      </c>
      <c r="AG110" s="112" t="str">
        <f t="shared" ca="1" si="23"/>
        <v>P</v>
      </c>
      <c r="AH110" s="222" t="str">
        <f t="shared" ca="1" si="20"/>
        <v>P</v>
      </c>
      <c r="AI110" s="224">
        <f t="shared" si="16"/>
        <v>31</v>
      </c>
      <c r="AJ110" s="220">
        <f t="shared" ca="1" si="25"/>
        <v>27</v>
      </c>
      <c r="AK110" s="111">
        <f t="shared" ca="1" si="26"/>
        <v>4</v>
      </c>
    </row>
    <row r="111" spans="1:37" x14ac:dyDescent="0.25">
      <c r="A111" s="105">
        <v>1104</v>
      </c>
      <c r="B111" s="107" t="s">
        <v>148</v>
      </c>
      <c r="C111" s="103" t="s">
        <v>1110</v>
      </c>
      <c r="D111" s="112" t="str">
        <f t="shared" ca="1" si="24"/>
        <v>P</v>
      </c>
      <c r="E111" s="112" t="str">
        <f t="shared" ca="1" si="24"/>
        <v>P</v>
      </c>
      <c r="F111" s="112" t="str">
        <f t="shared" ca="1" si="24"/>
        <v>R</v>
      </c>
      <c r="G111" s="112" t="str">
        <f t="shared" ca="1" si="24"/>
        <v>P</v>
      </c>
      <c r="H111" s="112" t="str">
        <f t="shared" ca="1" si="24"/>
        <v>P</v>
      </c>
      <c r="I111" s="112" t="str">
        <f t="shared" ca="1" si="24"/>
        <v>P</v>
      </c>
      <c r="J111" s="112" t="str">
        <f t="shared" ca="1" si="24"/>
        <v>P</v>
      </c>
      <c r="K111" s="112" t="str">
        <f t="shared" ca="1" si="24"/>
        <v>P</v>
      </c>
      <c r="L111" s="112" t="str">
        <f t="shared" ca="1" si="24"/>
        <v>R</v>
      </c>
      <c r="M111" s="112" t="str">
        <f t="shared" ca="1" si="24"/>
        <v>P</v>
      </c>
      <c r="N111" s="112" t="str">
        <f t="shared" ca="1" si="24"/>
        <v>R</v>
      </c>
      <c r="O111" s="112" t="str">
        <f t="shared" ca="1" si="24"/>
        <v>P</v>
      </c>
      <c r="P111" s="112" t="str">
        <f t="shared" ca="1" si="24"/>
        <v>P</v>
      </c>
      <c r="Q111" s="112" t="str">
        <f t="shared" ca="1" si="24"/>
        <v>P</v>
      </c>
      <c r="R111" s="112" t="str">
        <f t="shared" ca="1" si="24"/>
        <v>P</v>
      </c>
      <c r="S111" s="112" t="str">
        <f t="shared" ca="1" si="23"/>
        <v>P</v>
      </c>
      <c r="T111" s="112" t="str">
        <f t="shared" ca="1" si="23"/>
        <v>P</v>
      </c>
      <c r="U111" s="112" t="str">
        <f t="shared" ca="1" si="23"/>
        <v>P</v>
      </c>
      <c r="V111" s="112" t="str">
        <f t="shared" ca="1" si="23"/>
        <v>P</v>
      </c>
      <c r="W111" s="112" t="str">
        <f t="shared" ca="1" si="23"/>
        <v>P</v>
      </c>
      <c r="X111" s="112" t="str">
        <f t="shared" ca="1" si="23"/>
        <v>P</v>
      </c>
      <c r="Y111" s="112" t="str">
        <f t="shared" ca="1" si="23"/>
        <v>P</v>
      </c>
      <c r="Z111" s="112" t="str">
        <f t="shared" ca="1" si="23"/>
        <v>P</v>
      </c>
      <c r="AA111" s="112" t="str">
        <f t="shared" ca="1" si="23"/>
        <v>P</v>
      </c>
      <c r="AB111" s="112" t="str">
        <f t="shared" ca="1" si="23"/>
        <v>P</v>
      </c>
      <c r="AC111" s="112" t="str">
        <f t="shared" ca="1" si="23"/>
        <v>P</v>
      </c>
      <c r="AD111" s="112" t="str">
        <f t="shared" ca="1" si="23"/>
        <v>R</v>
      </c>
      <c r="AE111" s="112" t="str">
        <f t="shared" ca="1" si="23"/>
        <v>P</v>
      </c>
      <c r="AF111" s="112" t="str">
        <f t="shared" ca="1" si="23"/>
        <v>P</v>
      </c>
      <c r="AG111" s="112" t="str">
        <f t="shared" ca="1" si="23"/>
        <v>P</v>
      </c>
      <c r="AH111" s="222" t="str">
        <f t="shared" ca="1" si="20"/>
        <v>P</v>
      </c>
      <c r="AI111" s="224">
        <f t="shared" si="16"/>
        <v>31</v>
      </c>
      <c r="AJ111" s="220">
        <f t="shared" ca="1" si="25"/>
        <v>27</v>
      </c>
      <c r="AK111" s="111">
        <f t="shared" ca="1" si="26"/>
        <v>4</v>
      </c>
    </row>
    <row r="112" spans="1:37" x14ac:dyDescent="0.25">
      <c r="A112" s="216">
        <v>1105</v>
      </c>
      <c r="B112" s="217" t="s">
        <v>1118</v>
      </c>
      <c r="C112" s="218" t="s">
        <v>1112</v>
      </c>
      <c r="D112" s="219" t="str">
        <f t="shared" ca="1" si="24"/>
        <v>P</v>
      </c>
      <c r="E112" s="219" t="str">
        <f t="shared" ca="1" si="24"/>
        <v>P</v>
      </c>
      <c r="F112" s="219" t="str">
        <f t="shared" ca="1" si="24"/>
        <v>R</v>
      </c>
      <c r="G112" s="219" t="str">
        <f t="shared" ca="1" si="24"/>
        <v>P</v>
      </c>
      <c r="H112" s="219" t="str">
        <f t="shared" ca="1" si="24"/>
        <v>P</v>
      </c>
      <c r="I112" s="219" t="str">
        <f t="shared" ca="1" si="24"/>
        <v>P</v>
      </c>
      <c r="J112" s="219" t="str">
        <f t="shared" ca="1" si="24"/>
        <v>R</v>
      </c>
      <c r="K112" s="219" t="str">
        <f t="shared" ca="1" si="24"/>
        <v>P</v>
      </c>
      <c r="L112" s="219" t="str">
        <f t="shared" ca="1" si="24"/>
        <v>R</v>
      </c>
      <c r="M112" s="219" t="str">
        <f t="shared" ca="1" si="24"/>
        <v>P</v>
      </c>
      <c r="N112" s="219" t="str">
        <f t="shared" ca="1" si="24"/>
        <v>P</v>
      </c>
      <c r="O112" s="219" t="str">
        <f t="shared" ca="1" si="24"/>
        <v>P</v>
      </c>
      <c r="P112" s="219" t="str">
        <f t="shared" ca="1" si="24"/>
        <v>P</v>
      </c>
      <c r="Q112" s="219" t="str">
        <f t="shared" ca="1" si="24"/>
        <v>P</v>
      </c>
      <c r="R112" s="219" t="str">
        <f t="shared" ca="1" si="24"/>
        <v>P</v>
      </c>
      <c r="S112" s="219" t="str">
        <f t="shared" ca="1" si="23"/>
        <v>P</v>
      </c>
      <c r="T112" s="219" t="str">
        <f t="shared" ca="1" si="23"/>
        <v>R</v>
      </c>
      <c r="U112" s="219" t="str">
        <f t="shared" ca="1" si="23"/>
        <v>P</v>
      </c>
      <c r="V112" s="219" t="str">
        <f t="shared" ca="1" si="23"/>
        <v>R</v>
      </c>
      <c r="W112" s="219" t="str">
        <f t="shared" ca="1" si="23"/>
        <v>P</v>
      </c>
      <c r="X112" s="219" t="str">
        <f t="shared" ca="1" si="23"/>
        <v>P</v>
      </c>
      <c r="Y112" s="219" t="str">
        <f t="shared" ca="1" si="23"/>
        <v>R</v>
      </c>
      <c r="Z112" s="219" t="str">
        <f t="shared" ca="1" si="23"/>
        <v>P</v>
      </c>
      <c r="AA112" s="219" t="str">
        <f t="shared" ca="1" si="23"/>
        <v>P</v>
      </c>
      <c r="AB112" s="219" t="str">
        <f t="shared" ca="1" si="23"/>
        <v>R</v>
      </c>
      <c r="AC112" s="219" t="str">
        <f t="shared" ca="1" si="23"/>
        <v>P</v>
      </c>
      <c r="AD112" s="219" t="str">
        <f t="shared" ca="1" si="23"/>
        <v>P</v>
      </c>
      <c r="AE112" s="219" t="str">
        <f t="shared" ca="1" si="23"/>
        <v>P</v>
      </c>
      <c r="AF112" s="219" t="str">
        <f t="shared" ca="1" si="23"/>
        <v>P</v>
      </c>
      <c r="AG112" s="219" t="str">
        <f t="shared" ca="1" si="23"/>
        <v>P</v>
      </c>
      <c r="AH112" s="223" t="str">
        <f t="shared" ca="1" si="20"/>
        <v>P</v>
      </c>
      <c r="AI112" s="224">
        <f t="shared" si="16"/>
        <v>31</v>
      </c>
      <c r="AJ112" s="220">
        <f t="shared" ref="AJ112:AJ161" ca="1" si="27">COUNTIF(D112:AH112,"P")</f>
        <v>24</v>
      </c>
      <c r="AK112" s="111">
        <f t="shared" ref="AK112:AK161" ca="1" si="28">COUNTIF(D112:AH112,"R")</f>
        <v>7</v>
      </c>
    </row>
    <row r="113" spans="1:37" x14ac:dyDescent="0.25">
      <c r="A113" s="216">
        <v>1106</v>
      </c>
      <c r="B113" s="217" t="s">
        <v>124</v>
      </c>
      <c r="C113" s="218" t="s">
        <v>1114</v>
      </c>
      <c r="D113" s="219" t="str">
        <f t="shared" ca="1" si="24"/>
        <v>P</v>
      </c>
      <c r="E113" s="219" t="str">
        <f t="shared" ca="1" si="24"/>
        <v>R</v>
      </c>
      <c r="F113" s="219" t="str">
        <f t="shared" ca="1" si="24"/>
        <v>P</v>
      </c>
      <c r="G113" s="219" t="str">
        <f t="shared" ca="1" si="24"/>
        <v>R</v>
      </c>
      <c r="H113" s="219" t="str">
        <f t="shared" ca="1" si="24"/>
        <v>P</v>
      </c>
      <c r="I113" s="219" t="str">
        <f t="shared" ca="1" si="24"/>
        <v>P</v>
      </c>
      <c r="J113" s="219" t="str">
        <f t="shared" ca="1" si="24"/>
        <v>P</v>
      </c>
      <c r="K113" s="219" t="str">
        <f t="shared" ca="1" si="24"/>
        <v>P</v>
      </c>
      <c r="L113" s="219" t="str">
        <f t="shared" ca="1" si="24"/>
        <v>P</v>
      </c>
      <c r="M113" s="219" t="str">
        <f t="shared" ca="1" si="24"/>
        <v>P</v>
      </c>
      <c r="N113" s="219" t="str">
        <f t="shared" ca="1" si="24"/>
        <v>P</v>
      </c>
      <c r="O113" s="219" t="str">
        <f t="shared" ca="1" si="24"/>
        <v>P</v>
      </c>
      <c r="P113" s="219" t="str">
        <f t="shared" ca="1" si="24"/>
        <v>P</v>
      </c>
      <c r="Q113" s="219" t="str">
        <f t="shared" ca="1" si="24"/>
        <v>P</v>
      </c>
      <c r="R113" s="219" t="str">
        <f t="shared" ca="1" si="24"/>
        <v>P</v>
      </c>
      <c r="S113" s="219" t="str">
        <f t="shared" ca="1" si="23"/>
        <v>P</v>
      </c>
      <c r="T113" s="219" t="str">
        <f t="shared" ca="1" si="23"/>
        <v>P</v>
      </c>
      <c r="U113" s="219" t="str">
        <f t="shared" ca="1" si="23"/>
        <v>P</v>
      </c>
      <c r="V113" s="219" t="str">
        <f t="shared" ca="1" si="23"/>
        <v>P</v>
      </c>
      <c r="W113" s="219" t="str">
        <f t="shared" ca="1" si="23"/>
        <v>P</v>
      </c>
      <c r="X113" s="219" t="str">
        <f t="shared" ca="1" si="23"/>
        <v>R</v>
      </c>
      <c r="Y113" s="219" t="str">
        <f t="shared" ca="1" si="23"/>
        <v>P</v>
      </c>
      <c r="Z113" s="219" t="str">
        <f t="shared" ca="1" si="23"/>
        <v>R</v>
      </c>
      <c r="AA113" s="219" t="str">
        <f t="shared" ca="1" si="23"/>
        <v>P</v>
      </c>
      <c r="AB113" s="219" t="str">
        <f t="shared" ca="1" si="23"/>
        <v>R</v>
      </c>
      <c r="AC113" s="219" t="str">
        <f t="shared" ca="1" si="23"/>
        <v>P</v>
      </c>
      <c r="AD113" s="219" t="str">
        <f t="shared" ca="1" si="23"/>
        <v>P</v>
      </c>
      <c r="AE113" s="219" t="str">
        <f t="shared" ca="1" si="23"/>
        <v>P</v>
      </c>
      <c r="AF113" s="219" t="str">
        <f t="shared" ca="1" si="23"/>
        <v>P</v>
      </c>
      <c r="AG113" s="219" t="str">
        <f t="shared" ca="1" si="23"/>
        <v>P</v>
      </c>
      <c r="AH113" s="223" t="str">
        <f t="shared" ca="1" si="20"/>
        <v>P</v>
      </c>
      <c r="AI113" s="224">
        <f t="shared" si="16"/>
        <v>31</v>
      </c>
      <c r="AJ113" s="220">
        <f t="shared" ca="1" si="27"/>
        <v>26</v>
      </c>
      <c r="AK113" s="111">
        <f t="shared" ca="1" si="28"/>
        <v>5</v>
      </c>
    </row>
    <row r="114" spans="1:37" x14ac:dyDescent="0.25">
      <c r="A114" s="216">
        <v>1107</v>
      </c>
      <c r="B114" s="217" t="s">
        <v>1119</v>
      </c>
      <c r="C114" s="218" t="s">
        <v>1113</v>
      </c>
      <c r="D114" s="219" t="str">
        <f t="shared" ca="1" si="24"/>
        <v>P</v>
      </c>
      <c r="E114" s="219" t="str">
        <f t="shared" ca="1" si="24"/>
        <v>P</v>
      </c>
      <c r="F114" s="219" t="str">
        <f t="shared" ca="1" si="24"/>
        <v>P</v>
      </c>
      <c r="G114" s="219" t="str">
        <f t="shared" ca="1" si="24"/>
        <v>R</v>
      </c>
      <c r="H114" s="219" t="str">
        <f t="shared" ca="1" si="24"/>
        <v>P</v>
      </c>
      <c r="I114" s="219" t="str">
        <f t="shared" ca="1" si="24"/>
        <v>P</v>
      </c>
      <c r="J114" s="219" t="str">
        <f t="shared" ca="1" si="24"/>
        <v>P</v>
      </c>
      <c r="K114" s="219" t="str">
        <f t="shared" ca="1" si="24"/>
        <v>P</v>
      </c>
      <c r="L114" s="219" t="str">
        <f t="shared" ca="1" si="24"/>
        <v>P</v>
      </c>
      <c r="M114" s="219" t="str">
        <f t="shared" ca="1" si="24"/>
        <v>P</v>
      </c>
      <c r="N114" s="219" t="str">
        <f t="shared" ca="1" si="24"/>
        <v>P</v>
      </c>
      <c r="O114" s="219" t="str">
        <f t="shared" ca="1" si="24"/>
        <v>P</v>
      </c>
      <c r="P114" s="219" t="str">
        <f t="shared" ca="1" si="24"/>
        <v>R</v>
      </c>
      <c r="Q114" s="219" t="str">
        <f t="shared" ca="1" si="24"/>
        <v>P</v>
      </c>
      <c r="R114" s="219" t="str">
        <f t="shared" ca="1" si="24"/>
        <v>R</v>
      </c>
      <c r="S114" s="219" t="str">
        <f t="shared" ca="1" si="23"/>
        <v>R</v>
      </c>
      <c r="T114" s="219" t="str">
        <f t="shared" ca="1" si="23"/>
        <v>P</v>
      </c>
      <c r="U114" s="219" t="str">
        <f t="shared" ca="1" si="23"/>
        <v>P</v>
      </c>
      <c r="V114" s="219" t="str">
        <f t="shared" ca="1" si="23"/>
        <v>P</v>
      </c>
      <c r="W114" s="219" t="str">
        <f t="shared" ca="1" si="23"/>
        <v>P</v>
      </c>
      <c r="X114" s="219" t="str">
        <f t="shared" ca="1" si="23"/>
        <v>P</v>
      </c>
      <c r="Y114" s="219" t="str">
        <f t="shared" ca="1" si="23"/>
        <v>P</v>
      </c>
      <c r="Z114" s="219" t="str">
        <f t="shared" ca="1" si="23"/>
        <v>P</v>
      </c>
      <c r="AA114" s="219" t="str">
        <f t="shared" ca="1" si="23"/>
        <v>P</v>
      </c>
      <c r="AB114" s="219" t="str">
        <f t="shared" ca="1" si="23"/>
        <v>P</v>
      </c>
      <c r="AC114" s="219" t="str">
        <f t="shared" ca="1" si="23"/>
        <v>P</v>
      </c>
      <c r="AD114" s="219" t="str">
        <f t="shared" ca="1" si="23"/>
        <v>P</v>
      </c>
      <c r="AE114" s="219" t="str">
        <f t="shared" ca="1" si="23"/>
        <v>P</v>
      </c>
      <c r="AF114" s="219" t="str">
        <f t="shared" ca="1" si="23"/>
        <v>P</v>
      </c>
      <c r="AG114" s="219" t="str">
        <f t="shared" ca="1" si="23"/>
        <v>P</v>
      </c>
      <c r="AH114" s="223" t="str">
        <f t="shared" ca="1" si="20"/>
        <v>P</v>
      </c>
      <c r="AI114" s="224">
        <f t="shared" si="16"/>
        <v>31</v>
      </c>
      <c r="AJ114" s="220">
        <f t="shared" ca="1" si="27"/>
        <v>27</v>
      </c>
      <c r="AK114" s="111">
        <f t="shared" ca="1" si="28"/>
        <v>4</v>
      </c>
    </row>
    <row r="115" spans="1:37" x14ac:dyDescent="0.25">
      <c r="A115" s="216">
        <v>1108</v>
      </c>
      <c r="B115" s="217" t="s">
        <v>1120</v>
      </c>
      <c r="C115" s="218" t="s">
        <v>1103</v>
      </c>
      <c r="D115" s="219" t="str">
        <f t="shared" ca="1" si="24"/>
        <v>R</v>
      </c>
      <c r="E115" s="219" t="str">
        <f t="shared" ca="1" si="24"/>
        <v>P</v>
      </c>
      <c r="F115" s="219" t="str">
        <f t="shared" ca="1" si="24"/>
        <v>P</v>
      </c>
      <c r="G115" s="219" t="str">
        <f t="shared" ca="1" si="24"/>
        <v>P</v>
      </c>
      <c r="H115" s="219" t="str">
        <f t="shared" ca="1" si="24"/>
        <v>P</v>
      </c>
      <c r="I115" s="219" t="str">
        <f t="shared" ca="1" si="24"/>
        <v>P</v>
      </c>
      <c r="J115" s="219" t="str">
        <f t="shared" ca="1" si="24"/>
        <v>P</v>
      </c>
      <c r="K115" s="219" t="str">
        <f t="shared" ca="1" si="24"/>
        <v>P</v>
      </c>
      <c r="L115" s="219" t="str">
        <f t="shared" ca="1" si="24"/>
        <v>P</v>
      </c>
      <c r="M115" s="219" t="str">
        <f t="shared" ca="1" si="24"/>
        <v>P</v>
      </c>
      <c r="N115" s="219" t="str">
        <f t="shared" ca="1" si="24"/>
        <v>P</v>
      </c>
      <c r="O115" s="219" t="str">
        <f t="shared" ca="1" si="24"/>
        <v>P</v>
      </c>
      <c r="P115" s="219" t="str">
        <f t="shared" ca="1" si="24"/>
        <v>P</v>
      </c>
      <c r="Q115" s="219" t="str">
        <f t="shared" ca="1" si="24"/>
        <v>R</v>
      </c>
      <c r="R115" s="219" t="str">
        <f t="shared" ca="1" si="24"/>
        <v>P</v>
      </c>
      <c r="S115" s="219" t="str">
        <f t="shared" ca="1" si="23"/>
        <v>R</v>
      </c>
      <c r="T115" s="219" t="str">
        <f t="shared" ca="1" si="23"/>
        <v>P</v>
      </c>
      <c r="U115" s="219" t="str">
        <f t="shared" ca="1" si="23"/>
        <v>R</v>
      </c>
      <c r="V115" s="219" t="str">
        <f t="shared" ca="1" si="23"/>
        <v>R</v>
      </c>
      <c r="W115" s="219" t="str">
        <f t="shared" ca="1" si="23"/>
        <v>P</v>
      </c>
      <c r="X115" s="219" t="str">
        <f t="shared" ca="1" si="23"/>
        <v>P</v>
      </c>
      <c r="Y115" s="219" t="str">
        <f t="shared" ca="1" si="23"/>
        <v>R</v>
      </c>
      <c r="Z115" s="219" t="str">
        <f t="shared" ca="1" si="23"/>
        <v>R</v>
      </c>
      <c r="AA115" s="219" t="str">
        <f t="shared" ca="1" si="23"/>
        <v>P</v>
      </c>
      <c r="AB115" s="219" t="str">
        <f t="shared" ca="1" si="23"/>
        <v>P</v>
      </c>
      <c r="AC115" s="219" t="str">
        <f t="shared" ca="1" si="23"/>
        <v>P</v>
      </c>
      <c r="AD115" s="219" t="str">
        <f t="shared" ca="1" si="23"/>
        <v>R</v>
      </c>
      <c r="AE115" s="219" t="str">
        <f t="shared" ca="1" si="23"/>
        <v>P</v>
      </c>
      <c r="AF115" s="219" t="str">
        <f t="shared" ca="1" si="23"/>
        <v>P</v>
      </c>
      <c r="AG115" s="219" t="str">
        <f t="shared" ca="1" si="23"/>
        <v>P</v>
      </c>
      <c r="AH115" s="223" t="str">
        <f t="shared" ca="1" si="20"/>
        <v>P</v>
      </c>
      <c r="AI115" s="224">
        <f t="shared" si="16"/>
        <v>31</v>
      </c>
      <c r="AJ115" s="220">
        <f t="shared" ca="1" si="27"/>
        <v>23</v>
      </c>
      <c r="AK115" s="111">
        <f t="shared" ca="1" si="28"/>
        <v>8</v>
      </c>
    </row>
    <row r="116" spans="1:37" x14ac:dyDescent="0.25">
      <c r="A116" s="216">
        <v>1109</v>
      </c>
      <c r="B116" s="217" t="s">
        <v>1121</v>
      </c>
      <c r="C116" s="218" t="s">
        <v>1111</v>
      </c>
      <c r="D116" s="219" t="str">
        <f t="shared" ca="1" si="24"/>
        <v>P</v>
      </c>
      <c r="E116" s="219" t="str">
        <f t="shared" ca="1" si="24"/>
        <v>R</v>
      </c>
      <c r="F116" s="219" t="str">
        <f t="shared" ca="1" si="24"/>
        <v>R</v>
      </c>
      <c r="G116" s="219" t="str">
        <f t="shared" ca="1" si="24"/>
        <v>P</v>
      </c>
      <c r="H116" s="219" t="str">
        <f t="shared" ca="1" si="24"/>
        <v>P</v>
      </c>
      <c r="I116" s="219" t="str">
        <f t="shared" ca="1" si="24"/>
        <v>P</v>
      </c>
      <c r="J116" s="219" t="str">
        <f t="shared" ca="1" si="24"/>
        <v>P</v>
      </c>
      <c r="K116" s="219" t="str">
        <f t="shared" ca="1" si="24"/>
        <v>P</v>
      </c>
      <c r="L116" s="219" t="str">
        <f t="shared" ca="1" si="24"/>
        <v>P</v>
      </c>
      <c r="M116" s="219" t="str">
        <f t="shared" ca="1" si="24"/>
        <v>P</v>
      </c>
      <c r="N116" s="219" t="str">
        <f t="shared" ca="1" si="24"/>
        <v>P</v>
      </c>
      <c r="O116" s="219" t="str">
        <f t="shared" ca="1" si="24"/>
        <v>R</v>
      </c>
      <c r="P116" s="219" t="str">
        <f t="shared" ca="1" si="24"/>
        <v>R</v>
      </c>
      <c r="Q116" s="219" t="str">
        <f t="shared" ca="1" si="24"/>
        <v>R</v>
      </c>
      <c r="R116" s="219" t="str">
        <f t="shared" ca="1" si="24"/>
        <v>P</v>
      </c>
      <c r="S116" s="219" t="str">
        <f t="shared" ca="1" si="23"/>
        <v>P</v>
      </c>
      <c r="T116" s="219" t="str">
        <f t="shared" ca="1" si="23"/>
        <v>P</v>
      </c>
      <c r="U116" s="219" t="str">
        <f t="shared" ca="1" si="23"/>
        <v>P</v>
      </c>
      <c r="V116" s="219" t="str">
        <f t="shared" ca="1" si="23"/>
        <v>P</v>
      </c>
      <c r="W116" s="219" t="str">
        <f t="shared" ca="1" si="23"/>
        <v>P</v>
      </c>
      <c r="X116" s="219" t="str">
        <f t="shared" ca="1" si="23"/>
        <v>P</v>
      </c>
      <c r="Y116" s="219" t="str">
        <f t="shared" ca="1" si="23"/>
        <v>P</v>
      </c>
      <c r="Z116" s="219" t="str">
        <f t="shared" ca="1" si="23"/>
        <v>R</v>
      </c>
      <c r="AA116" s="219" t="str">
        <f t="shared" ca="1" si="23"/>
        <v>P</v>
      </c>
      <c r="AB116" s="219" t="str">
        <f t="shared" ca="1" si="23"/>
        <v>P</v>
      </c>
      <c r="AC116" s="219" t="str">
        <f t="shared" ca="1" si="23"/>
        <v>P</v>
      </c>
      <c r="AD116" s="219" t="str">
        <f t="shared" ca="1" si="23"/>
        <v>P</v>
      </c>
      <c r="AE116" s="219" t="str">
        <f t="shared" ca="1" si="23"/>
        <v>P</v>
      </c>
      <c r="AF116" s="219" t="str">
        <f t="shared" ca="1" si="23"/>
        <v>R</v>
      </c>
      <c r="AG116" s="219" t="str">
        <f t="shared" ca="1" si="23"/>
        <v>P</v>
      </c>
      <c r="AH116" s="223" t="str">
        <f t="shared" ca="1" si="20"/>
        <v>P</v>
      </c>
      <c r="AI116" s="224">
        <f t="shared" si="16"/>
        <v>31</v>
      </c>
      <c r="AJ116" s="220">
        <f t="shared" ca="1" si="27"/>
        <v>24</v>
      </c>
      <c r="AK116" s="111">
        <f t="shared" ca="1" si="28"/>
        <v>7</v>
      </c>
    </row>
    <row r="117" spans="1:37" x14ac:dyDescent="0.25">
      <c r="A117" s="216">
        <v>1110</v>
      </c>
      <c r="B117" s="217" t="s">
        <v>135</v>
      </c>
      <c r="C117" s="218" t="s">
        <v>1101</v>
      </c>
      <c r="D117" s="219" t="str">
        <f t="shared" ca="1" si="24"/>
        <v>P</v>
      </c>
      <c r="E117" s="219" t="str">
        <f t="shared" ca="1" si="24"/>
        <v>P</v>
      </c>
      <c r="F117" s="219" t="str">
        <f t="shared" ca="1" si="24"/>
        <v>P</v>
      </c>
      <c r="G117" s="219" t="str">
        <f t="shared" ca="1" si="24"/>
        <v>P</v>
      </c>
      <c r="H117" s="219" t="str">
        <f t="shared" ca="1" si="24"/>
        <v>P</v>
      </c>
      <c r="I117" s="219" t="str">
        <f t="shared" ca="1" si="24"/>
        <v>P</v>
      </c>
      <c r="J117" s="219" t="str">
        <f t="shared" ca="1" si="24"/>
        <v>P</v>
      </c>
      <c r="K117" s="219" t="str">
        <f t="shared" ca="1" si="24"/>
        <v>P</v>
      </c>
      <c r="L117" s="219" t="str">
        <f t="shared" ca="1" si="24"/>
        <v>P</v>
      </c>
      <c r="M117" s="219" t="str">
        <f t="shared" ca="1" si="24"/>
        <v>P</v>
      </c>
      <c r="N117" s="219" t="str">
        <f t="shared" ca="1" si="24"/>
        <v>P</v>
      </c>
      <c r="O117" s="219" t="str">
        <f t="shared" ca="1" si="24"/>
        <v>R</v>
      </c>
      <c r="P117" s="219" t="str">
        <f t="shared" ca="1" si="24"/>
        <v>P</v>
      </c>
      <c r="Q117" s="219" t="str">
        <f t="shared" ca="1" si="24"/>
        <v>P</v>
      </c>
      <c r="R117" s="219" t="str">
        <f t="shared" ca="1" si="24"/>
        <v>P</v>
      </c>
      <c r="S117" s="219" t="str">
        <f t="shared" ca="1" si="23"/>
        <v>P</v>
      </c>
      <c r="T117" s="219" t="str">
        <f t="shared" ca="1" si="23"/>
        <v>R</v>
      </c>
      <c r="U117" s="219" t="str">
        <f t="shared" ca="1" si="23"/>
        <v>P</v>
      </c>
      <c r="V117" s="219" t="str">
        <f t="shared" ca="1" si="23"/>
        <v>P</v>
      </c>
      <c r="W117" s="219" t="str">
        <f t="shared" ca="1" si="23"/>
        <v>P</v>
      </c>
      <c r="X117" s="219" t="str">
        <f t="shared" ca="1" si="23"/>
        <v>P</v>
      </c>
      <c r="Y117" s="219" t="str">
        <f t="shared" ca="1" si="23"/>
        <v>P</v>
      </c>
      <c r="Z117" s="219" t="str">
        <f t="shared" ca="1" si="23"/>
        <v>P</v>
      </c>
      <c r="AA117" s="219" t="str">
        <f t="shared" ca="1" si="23"/>
        <v>P</v>
      </c>
      <c r="AB117" s="219" t="str">
        <f t="shared" ca="1" si="23"/>
        <v>P</v>
      </c>
      <c r="AC117" s="219" t="str">
        <f t="shared" ca="1" si="23"/>
        <v>R</v>
      </c>
      <c r="AD117" s="219" t="str">
        <f t="shared" ca="1" si="23"/>
        <v>P</v>
      </c>
      <c r="AE117" s="219" t="str">
        <f t="shared" ca="1" si="23"/>
        <v>P</v>
      </c>
      <c r="AF117" s="219" t="str">
        <f t="shared" ca="1" si="23"/>
        <v>P</v>
      </c>
      <c r="AG117" s="219" t="str">
        <f t="shared" ca="1" si="23"/>
        <v>P</v>
      </c>
      <c r="AH117" s="223" t="str">
        <f t="shared" ca="1" si="20"/>
        <v>P</v>
      </c>
      <c r="AI117" s="224">
        <f t="shared" si="16"/>
        <v>31</v>
      </c>
      <c r="AJ117" s="220">
        <f t="shared" ca="1" si="27"/>
        <v>28</v>
      </c>
      <c r="AK117" s="111">
        <f t="shared" ca="1" si="28"/>
        <v>3</v>
      </c>
    </row>
    <row r="118" spans="1:37" x14ac:dyDescent="0.25">
      <c r="A118" s="216">
        <v>1111</v>
      </c>
      <c r="B118" s="217" t="s">
        <v>1122</v>
      </c>
      <c r="C118" s="218" t="s">
        <v>1108</v>
      </c>
      <c r="D118" s="219" t="str">
        <f t="shared" ca="1" si="24"/>
        <v>P</v>
      </c>
      <c r="E118" s="219" t="str">
        <f t="shared" ca="1" si="24"/>
        <v>R</v>
      </c>
      <c r="F118" s="219" t="str">
        <f t="shared" ca="1" si="24"/>
        <v>P</v>
      </c>
      <c r="G118" s="219" t="str">
        <f t="shared" ca="1" si="24"/>
        <v>R</v>
      </c>
      <c r="H118" s="219" t="str">
        <f t="shared" ca="1" si="24"/>
        <v>P</v>
      </c>
      <c r="I118" s="219" t="str">
        <f t="shared" ca="1" si="24"/>
        <v>R</v>
      </c>
      <c r="J118" s="219" t="str">
        <f t="shared" ca="1" si="24"/>
        <v>P</v>
      </c>
      <c r="K118" s="219" t="str">
        <f t="shared" ca="1" si="24"/>
        <v>P</v>
      </c>
      <c r="L118" s="219" t="str">
        <f t="shared" ca="1" si="24"/>
        <v>P</v>
      </c>
      <c r="M118" s="219" t="str">
        <f t="shared" ca="1" si="24"/>
        <v>P</v>
      </c>
      <c r="N118" s="219" t="str">
        <f t="shared" ca="1" si="24"/>
        <v>R</v>
      </c>
      <c r="O118" s="219" t="str">
        <f t="shared" ca="1" si="24"/>
        <v>P</v>
      </c>
      <c r="P118" s="219" t="str">
        <f t="shared" ca="1" si="24"/>
        <v>R</v>
      </c>
      <c r="Q118" s="219" t="str">
        <f t="shared" ca="1" si="24"/>
        <v>P</v>
      </c>
      <c r="R118" s="219" t="str">
        <f t="shared" ca="1" si="24"/>
        <v>P</v>
      </c>
      <c r="S118" s="219" t="str">
        <f t="shared" ca="1" si="23"/>
        <v>P</v>
      </c>
      <c r="T118" s="219" t="str">
        <f t="shared" ca="1" si="23"/>
        <v>P</v>
      </c>
      <c r="U118" s="219" t="str">
        <f t="shared" ca="1" si="23"/>
        <v>R</v>
      </c>
      <c r="V118" s="219" t="str">
        <f t="shared" ca="1" si="23"/>
        <v>P</v>
      </c>
      <c r="W118" s="219" t="str">
        <f t="shared" ca="1" si="23"/>
        <v>P</v>
      </c>
      <c r="X118" s="219" t="str">
        <f t="shared" ca="1" si="23"/>
        <v>R</v>
      </c>
      <c r="Y118" s="219" t="str">
        <f t="shared" ca="1" si="23"/>
        <v>P</v>
      </c>
      <c r="Z118" s="219" t="str">
        <f t="shared" ca="1" si="23"/>
        <v>P</v>
      </c>
      <c r="AA118" s="219" t="str">
        <f t="shared" ca="1" si="23"/>
        <v>P</v>
      </c>
      <c r="AB118" s="219" t="str">
        <f t="shared" ca="1" si="23"/>
        <v>P</v>
      </c>
      <c r="AC118" s="219" t="str">
        <f t="shared" ca="1" si="23"/>
        <v>P</v>
      </c>
      <c r="AD118" s="219" t="str">
        <f t="shared" ca="1" si="23"/>
        <v>P</v>
      </c>
      <c r="AE118" s="219" t="str">
        <f t="shared" ca="1" si="23"/>
        <v>P</v>
      </c>
      <c r="AF118" s="219" t="str">
        <f t="shared" ca="1" si="23"/>
        <v>P</v>
      </c>
      <c r="AG118" s="219" t="str">
        <f t="shared" ca="1" si="23"/>
        <v>P</v>
      </c>
      <c r="AH118" s="223" t="str">
        <f t="shared" ca="1" si="20"/>
        <v>P</v>
      </c>
      <c r="AI118" s="224">
        <f t="shared" si="16"/>
        <v>31</v>
      </c>
      <c r="AJ118" s="220">
        <f t="shared" ca="1" si="27"/>
        <v>24</v>
      </c>
      <c r="AK118" s="111">
        <f t="shared" ca="1" si="28"/>
        <v>7</v>
      </c>
    </row>
    <row r="119" spans="1:37" x14ac:dyDescent="0.25">
      <c r="A119" s="216">
        <v>1112</v>
      </c>
      <c r="B119" s="217" t="s">
        <v>104</v>
      </c>
      <c r="C119" s="218" t="s">
        <v>1106</v>
      </c>
      <c r="D119" s="219" t="str">
        <f t="shared" ca="1" si="24"/>
        <v>P</v>
      </c>
      <c r="E119" s="219" t="str">
        <f t="shared" ca="1" si="24"/>
        <v>R</v>
      </c>
      <c r="F119" s="219" t="str">
        <f t="shared" ca="1" si="24"/>
        <v>R</v>
      </c>
      <c r="G119" s="219" t="str">
        <f t="shared" ca="1" si="24"/>
        <v>P</v>
      </c>
      <c r="H119" s="219" t="str">
        <f t="shared" ca="1" si="24"/>
        <v>P</v>
      </c>
      <c r="I119" s="219" t="str">
        <f t="shared" ca="1" si="24"/>
        <v>P</v>
      </c>
      <c r="J119" s="219" t="str">
        <f t="shared" ca="1" si="24"/>
        <v>P</v>
      </c>
      <c r="K119" s="219" t="str">
        <f t="shared" ca="1" si="24"/>
        <v>P</v>
      </c>
      <c r="L119" s="219" t="str">
        <f t="shared" ca="1" si="24"/>
        <v>R</v>
      </c>
      <c r="M119" s="219" t="str">
        <f t="shared" ca="1" si="24"/>
        <v>R</v>
      </c>
      <c r="N119" s="219" t="str">
        <f t="shared" ca="1" si="24"/>
        <v>R</v>
      </c>
      <c r="O119" s="219" t="str">
        <f t="shared" ca="1" si="24"/>
        <v>P</v>
      </c>
      <c r="P119" s="219" t="str">
        <f t="shared" ca="1" si="24"/>
        <v>R</v>
      </c>
      <c r="Q119" s="219" t="str">
        <f t="shared" ca="1" si="24"/>
        <v>P</v>
      </c>
      <c r="R119" s="219" t="str">
        <f t="shared" ca="1" si="24"/>
        <v>R</v>
      </c>
      <c r="S119" s="219" t="str">
        <f t="shared" ca="1" si="24"/>
        <v>P</v>
      </c>
      <c r="T119" s="219" t="str">
        <f t="shared" ref="S119:AG136" ca="1" si="29">IF(T$6="","",IF(RAND()&lt;0.8,"P","R"))</f>
        <v>R</v>
      </c>
      <c r="U119" s="219" t="str">
        <f t="shared" ca="1" si="29"/>
        <v>P</v>
      </c>
      <c r="V119" s="219" t="str">
        <f t="shared" ca="1" si="29"/>
        <v>P</v>
      </c>
      <c r="W119" s="219" t="str">
        <f t="shared" ca="1" si="29"/>
        <v>P</v>
      </c>
      <c r="X119" s="219" t="str">
        <f t="shared" ca="1" si="29"/>
        <v>P</v>
      </c>
      <c r="Y119" s="219" t="str">
        <f t="shared" ca="1" si="29"/>
        <v>P</v>
      </c>
      <c r="Z119" s="219" t="str">
        <f t="shared" ca="1" si="29"/>
        <v>R</v>
      </c>
      <c r="AA119" s="219" t="str">
        <f t="shared" ca="1" si="29"/>
        <v>P</v>
      </c>
      <c r="AB119" s="219" t="str">
        <f t="shared" ca="1" si="29"/>
        <v>P</v>
      </c>
      <c r="AC119" s="219" t="str">
        <f t="shared" ca="1" si="29"/>
        <v>P</v>
      </c>
      <c r="AD119" s="219" t="str">
        <f t="shared" ca="1" si="29"/>
        <v>P</v>
      </c>
      <c r="AE119" s="219" t="str">
        <f t="shared" ca="1" si="29"/>
        <v>P</v>
      </c>
      <c r="AF119" s="219" t="str">
        <f t="shared" ca="1" si="29"/>
        <v>P</v>
      </c>
      <c r="AG119" s="219" t="str">
        <f t="shared" ca="1" si="29"/>
        <v>P</v>
      </c>
      <c r="AH119" s="223" t="str">
        <f t="shared" ca="1" si="20"/>
        <v>P</v>
      </c>
      <c r="AI119" s="224">
        <f t="shared" si="16"/>
        <v>31</v>
      </c>
      <c r="AJ119" s="220">
        <f t="shared" ca="1" si="27"/>
        <v>22</v>
      </c>
      <c r="AK119" s="111">
        <f t="shared" ca="1" si="28"/>
        <v>9</v>
      </c>
    </row>
    <row r="120" spans="1:37" x14ac:dyDescent="0.25">
      <c r="A120" s="216">
        <v>1113</v>
      </c>
      <c r="B120" s="217" t="s">
        <v>1123</v>
      </c>
      <c r="C120" s="218" t="s">
        <v>1107</v>
      </c>
      <c r="D120" s="219" t="str">
        <f t="shared" ref="D120:R136" ca="1" si="30">IF(D$6="","",IF(RAND()&lt;0.8,"P","R"))</f>
        <v>P</v>
      </c>
      <c r="E120" s="219" t="str">
        <f t="shared" ca="1" si="30"/>
        <v>R</v>
      </c>
      <c r="F120" s="219" t="str">
        <f t="shared" ca="1" si="30"/>
        <v>P</v>
      </c>
      <c r="G120" s="219" t="str">
        <f t="shared" ca="1" si="30"/>
        <v>P</v>
      </c>
      <c r="H120" s="219" t="str">
        <f t="shared" ca="1" si="30"/>
        <v>P</v>
      </c>
      <c r="I120" s="219" t="str">
        <f t="shared" ca="1" si="30"/>
        <v>P</v>
      </c>
      <c r="J120" s="219" t="str">
        <f t="shared" ca="1" si="30"/>
        <v>R</v>
      </c>
      <c r="K120" s="219" t="str">
        <f t="shared" ca="1" si="30"/>
        <v>P</v>
      </c>
      <c r="L120" s="219" t="str">
        <f t="shared" ca="1" si="30"/>
        <v>P</v>
      </c>
      <c r="M120" s="219" t="str">
        <f t="shared" ca="1" si="30"/>
        <v>P</v>
      </c>
      <c r="N120" s="219" t="str">
        <f t="shared" ca="1" si="30"/>
        <v>P</v>
      </c>
      <c r="O120" s="219" t="str">
        <f t="shared" ca="1" si="30"/>
        <v>P</v>
      </c>
      <c r="P120" s="219" t="str">
        <f t="shared" ca="1" si="30"/>
        <v>P</v>
      </c>
      <c r="Q120" s="219" t="str">
        <f t="shared" ca="1" si="30"/>
        <v>P</v>
      </c>
      <c r="R120" s="219" t="str">
        <f t="shared" ca="1" si="30"/>
        <v>R</v>
      </c>
      <c r="S120" s="219" t="str">
        <f t="shared" ca="1" si="29"/>
        <v>R</v>
      </c>
      <c r="T120" s="219" t="str">
        <f t="shared" ca="1" si="29"/>
        <v>P</v>
      </c>
      <c r="U120" s="219" t="str">
        <f t="shared" ca="1" si="29"/>
        <v>P</v>
      </c>
      <c r="V120" s="219" t="str">
        <f t="shared" ca="1" si="29"/>
        <v>R</v>
      </c>
      <c r="W120" s="219" t="str">
        <f t="shared" ca="1" si="29"/>
        <v>R</v>
      </c>
      <c r="X120" s="219" t="str">
        <f t="shared" ca="1" si="29"/>
        <v>P</v>
      </c>
      <c r="Y120" s="219" t="str">
        <f t="shared" ca="1" si="29"/>
        <v>R</v>
      </c>
      <c r="Z120" s="219" t="str">
        <f t="shared" ca="1" si="29"/>
        <v>P</v>
      </c>
      <c r="AA120" s="219" t="str">
        <f t="shared" ca="1" si="29"/>
        <v>P</v>
      </c>
      <c r="AB120" s="219" t="str">
        <f t="shared" ca="1" si="29"/>
        <v>P</v>
      </c>
      <c r="AC120" s="219" t="str">
        <f t="shared" ca="1" si="29"/>
        <v>P</v>
      </c>
      <c r="AD120" s="219" t="str">
        <f t="shared" ca="1" si="29"/>
        <v>P</v>
      </c>
      <c r="AE120" s="219" t="str">
        <f t="shared" ca="1" si="29"/>
        <v>P</v>
      </c>
      <c r="AF120" s="219" t="str">
        <f t="shared" ca="1" si="29"/>
        <v>P</v>
      </c>
      <c r="AG120" s="219" t="str">
        <f t="shared" ca="1" si="29"/>
        <v>R</v>
      </c>
      <c r="AH120" s="223" t="str">
        <f t="shared" ca="1" si="20"/>
        <v>P</v>
      </c>
      <c r="AI120" s="224">
        <f t="shared" si="16"/>
        <v>31</v>
      </c>
      <c r="AJ120" s="220">
        <f t="shared" ca="1" si="27"/>
        <v>23</v>
      </c>
      <c r="AK120" s="111">
        <f t="shared" ca="1" si="28"/>
        <v>8</v>
      </c>
    </row>
    <row r="121" spans="1:37" x14ac:dyDescent="0.25">
      <c r="A121" s="216">
        <v>1114</v>
      </c>
      <c r="B121" s="217" t="s">
        <v>142</v>
      </c>
      <c r="C121" s="218" t="s">
        <v>1109</v>
      </c>
      <c r="D121" s="219" t="str">
        <f t="shared" ca="1" si="30"/>
        <v>P</v>
      </c>
      <c r="E121" s="219" t="str">
        <f t="shared" ca="1" si="30"/>
        <v>P</v>
      </c>
      <c r="F121" s="219" t="str">
        <f t="shared" ca="1" si="30"/>
        <v>P</v>
      </c>
      <c r="G121" s="219" t="str">
        <f t="shared" ca="1" si="30"/>
        <v>P</v>
      </c>
      <c r="H121" s="219" t="str">
        <f t="shared" ca="1" si="30"/>
        <v>P</v>
      </c>
      <c r="I121" s="219" t="str">
        <f t="shared" ca="1" si="30"/>
        <v>P</v>
      </c>
      <c r="J121" s="219" t="str">
        <f t="shared" ca="1" si="30"/>
        <v>P</v>
      </c>
      <c r="K121" s="219" t="str">
        <f t="shared" ca="1" si="30"/>
        <v>P</v>
      </c>
      <c r="L121" s="219" t="str">
        <f t="shared" ca="1" si="30"/>
        <v>P</v>
      </c>
      <c r="M121" s="219" t="str">
        <f t="shared" ca="1" si="30"/>
        <v>P</v>
      </c>
      <c r="N121" s="219" t="str">
        <f t="shared" ca="1" si="30"/>
        <v>P</v>
      </c>
      <c r="O121" s="219" t="str">
        <f t="shared" ca="1" si="30"/>
        <v>P</v>
      </c>
      <c r="P121" s="219" t="str">
        <f t="shared" ca="1" si="30"/>
        <v>P</v>
      </c>
      <c r="Q121" s="219" t="str">
        <f t="shared" ca="1" si="30"/>
        <v>P</v>
      </c>
      <c r="R121" s="219" t="str">
        <f t="shared" ca="1" si="30"/>
        <v>R</v>
      </c>
      <c r="S121" s="219" t="str">
        <f t="shared" ca="1" si="29"/>
        <v>R</v>
      </c>
      <c r="T121" s="219" t="str">
        <f t="shared" ca="1" si="29"/>
        <v>P</v>
      </c>
      <c r="U121" s="219" t="str">
        <f t="shared" ca="1" si="29"/>
        <v>R</v>
      </c>
      <c r="V121" s="219" t="str">
        <f t="shared" ca="1" si="29"/>
        <v>P</v>
      </c>
      <c r="W121" s="219" t="str">
        <f t="shared" ca="1" si="29"/>
        <v>R</v>
      </c>
      <c r="X121" s="219" t="str">
        <f t="shared" ca="1" si="29"/>
        <v>P</v>
      </c>
      <c r="Y121" s="219" t="str">
        <f t="shared" ca="1" si="29"/>
        <v>R</v>
      </c>
      <c r="Z121" s="219" t="str">
        <f t="shared" ca="1" si="29"/>
        <v>R</v>
      </c>
      <c r="AA121" s="219" t="str">
        <f t="shared" ca="1" si="29"/>
        <v>R</v>
      </c>
      <c r="AB121" s="219" t="str">
        <f t="shared" ca="1" si="29"/>
        <v>P</v>
      </c>
      <c r="AC121" s="219" t="str">
        <f t="shared" ca="1" si="29"/>
        <v>P</v>
      </c>
      <c r="AD121" s="219" t="str">
        <f t="shared" ca="1" si="29"/>
        <v>P</v>
      </c>
      <c r="AE121" s="219" t="str">
        <f t="shared" ca="1" si="29"/>
        <v>R</v>
      </c>
      <c r="AF121" s="219" t="str">
        <f t="shared" ca="1" si="29"/>
        <v>P</v>
      </c>
      <c r="AG121" s="219" t="str">
        <f t="shared" ca="1" si="29"/>
        <v>R</v>
      </c>
      <c r="AH121" s="223" t="str">
        <f t="shared" ca="1" si="20"/>
        <v>P</v>
      </c>
      <c r="AI121" s="224">
        <f t="shared" si="16"/>
        <v>31</v>
      </c>
      <c r="AJ121" s="220">
        <f t="shared" ca="1" si="27"/>
        <v>22</v>
      </c>
      <c r="AK121" s="111">
        <f t="shared" ca="1" si="28"/>
        <v>9</v>
      </c>
    </row>
    <row r="122" spans="1:37" x14ac:dyDescent="0.25">
      <c r="A122" s="216">
        <v>1115</v>
      </c>
      <c r="B122" s="217" t="s">
        <v>1124</v>
      </c>
      <c r="C122" s="218" t="s">
        <v>1104</v>
      </c>
      <c r="D122" s="219" t="str">
        <f t="shared" ca="1" si="30"/>
        <v>P</v>
      </c>
      <c r="E122" s="219" t="str">
        <f t="shared" ca="1" si="30"/>
        <v>P</v>
      </c>
      <c r="F122" s="219" t="str">
        <f t="shared" ca="1" si="30"/>
        <v>P</v>
      </c>
      <c r="G122" s="219" t="str">
        <f t="shared" ca="1" si="30"/>
        <v>P</v>
      </c>
      <c r="H122" s="219" t="str">
        <f t="shared" ca="1" si="30"/>
        <v>P</v>
      </c>
      <c r="I122" s="219" t="str">
        <f t="shared" ca="1" si="30"/>
        <v>P</v>
      </c>
      <c r="J122" s="219" t="str">
        <f t="shared" ca="1" si="30"/>
        <v>P</v>
      </c>
      <c r="K122" s="219" t="str">
        <f t="shared" ca="1" si="30"/>
        <v>P</v>
      </c>
      <c r="L122" s="219" t="str">
        <f t="shared" ca="1" si="30"/>
        <v>P</v>
      </c>
      <c r="M122" s="219" t="str">
        <f t="shared" ca="1" si="30"/>
        <v>P</v>
      </c>
      <c r="N122" s="219" t="str">
        <f t="shared" ca="1" si="30"/>
        <v>P</v>
      </c>
      <c r="O122" s="219" t="str">
        <f t="shared" ca="1" si="30"/>
        <v>P</v>
      </c>
      <c r="P122" s="219" t="str">
        <f t="shared" ca="1" si="30"/>
        <v>P</v>
      </c>
      <c r="Q122" s="219" t="str">
        <f t="shared" ca="1" si="30"/>
        <v>P</v>
      </c>
      <c r="R122" s="219" t="str">
        <f t="shared" ca="1" si="30"/>
        <v>P</v>
      </c>
      <c r="S122" s="219" t="str">
        <f t="shared" ca="1" si="29"/>
        <v>P</v>
      </c>
      <c r="T122" s="219" t="str">
        <f t="shared" ca="1" si="29"/>
        <v>R</v>
      </c>
      <c r="U122" s="219" t="str">
        <f t="shared" ca="1" si="29"/>
        <v>P</v>
      </c>
      <c r="V122" s="219" t="str">
        <f t="shared" ca="1" si="29"/>
        <v>P</v>
      </c>
      <c r="W122" s="219" t="str">
        <f t="shared" ca="1" si="29"/>
        <v>P</v>
      </c>
      <c r="X122" s="219" t="str">
        <f t="shared" ca="1" si="29"/>
        <v>P</v>
      </c>
      <c r="Y122" s="219" t="str">
        <f t="shared" ca="1" si="29"/>
        <v>P</v>
      </c>
      <c r="Z122" s="219" t="str">
        <f t="shared" ca="1" si="29"/>
        <v>P</v>
      </c>
      <c r="AA122" s="219" t="str">
        <f t="shared" ca="1" si="29"/>
        <v>R</v>
      </c>
      <c r="AB122" s="219" t="str">
        <f t="shared" ca="1" si="29"/>
        <v>P</v>
      </c>
      <c r="AC122" s="219" t="str">
        <f t="shared" ca="1" si="29"/>
        <v>P</v>
      </c>
      <c r="AD122" s="219" t="str">
        <f t="shared" ca="1" si="29"/>
        <v>R</v>
      </c>
      <c r="AE122" s="219" t="str">
        <f t="shared" ca="1" si="29"/>
        <v>P</v>
      </c>
      <c r="AF122" s="219" t="str">
        <f t="shared" ca="1" si="29"/>
        <v>P</v>
      </c>
      <c r="AG122" s="219" t="str">
        <f t="shared" ca="1" si="29"/>
        <v>P</v>
      </c>
      <c r="AH122" s="223" t="str">
        <f t="shared" ca="1" si="20"/>
        <v>R</v>
      </c>
      <c r="AI122" s="224">
        <f t="shared" si="16"/>
        <v>31</v>
      </c>
      <c r="AJ122" s="220">
        <f t="shared" ca="1" si="27"/>
        <v>27</v>
      </c>
      <c r="AK122" s="111">
        <f t="shared" ca="1" si="28"/>
        <v>4</v>
      </c>
    </row>
    <row r="123" spans="1:37" x14ac:dyDescent="0.25">
      <c r="A123" s="216">
        <v>1116</v>
      </c>
      <c r="B123" s="217" t="s">
        <v>98</v>
      </c>
      <c r="C123" s="218" t="s">
        <v>1115</v>
      </c>
      <c r="D123" s="219" t="str">
        <f t="shared" ca="1" si="30"/>
        <v>P</v>
      </c>
      <c r="E123" s="219" t="str">
        <f t="shared" ca="1" si="30"/>
        <v>P</v>
      </c>
      <c r="F123" s="219" t="str">
        <f t="shared" ca="1" si="30"/>
        <v>R</v>
      </c>
      <c r="G123" s="219" t="str">
        <f t="shared" ca="1" si="30"/>
        <v>P</v>
      </c>
      <c r="H123" s="219" t="str">
        <f t="shared" ca="1" si="30"/>
        <v>R</v>
      </c>
      <c r="I123" s="219" t="str">
        <f t="shared" ca="1" si="30"/>
        <v>P</v>
      </c>
      <c r="J123" s="219" t="str">
        <f t="shared" ca="1" si="30"/>
        <v>R</v>
      </c>
      <c r="K123" s="219" t="str">
        <f t="shared" ca="1" si="30"/>
        <v>P</v>
      </c>
      <c r="L123" s="219" t="str">
        <f t="shared" ca="1" si="30"/>
        <v>P</v>
      </c>
      <c r="M123" s="219" t="str">
        <f t="shared" ca="1" si="30"/>
        <v>R</v>
      </c>
      <c r="N123" s="219" t="str">
        <f t="shared" ca="1" si="30"/>
        <v>P</v>
      </c>
      <c r="O123" s="219" t="str">
        <f t="shared" ca="1" si="30"/>
        <v>P</v>
      </c>
      <c r="P123" s="219" t="str">
        <f t="shared" ca="1" si="30"/>
        <v>P</v>
      </c>
      <c r="Q123" s="219" t="str">
        <f t="shared" ca="1" si="30"/>
        <v>P</v>
      </c>
      <c r="R123" s="219" t="str">
        <f t="shared" ca="1" si="30"/>
        <v>P</v>
      </c>
      <c r="S123" s="219" t="str">
        <f t="shared" ca="1" si="29"/>
        <v>P</v>
      </c>
      <c r="T123" s="219" t="str">
        <f t="shared" ca="1" si="29"/>
        <v>P</v>
      </c>
      <c r="U123" s="219" t="str">
        <f t="shared" ca="1" si="29"/>
        <v>P</v>
      </c>
      <c r="V123" s="219" t="str">
        <f t="shared" ca="1" si="29"/>
        <v>P</v>
      </c>
      <c r="W123" s="219" t="str">
        <f t="shared" ca="1" si="29"/>
        <v>P</v>
      </c>
      <c r="X123" s="219" t="str">
        <f t="shared" ca="1" si="29"/>
        <v>P</v>
      </c>
      <c r="Y123" s="219" t="str">
        <f t="shared" ca="1" si="29"/>
        <v>R</v>
      </c>
      <c r="Z123" s="219" t="str">
        <f t="shared" ca="1" si="29"/>
        <v>P</v>
      </c>
      <c r="AA123" s="219" t="str">
        <f t="shared" ca="1" si="29"/>
        <v>P</v>
      </c>
      <c r="AB123" s="219" t="str">
        <f t="shared" ca="1" si="29"/>
        <v>P</v>
      </c>
      <c r="AC123" s="219" t="str">
        <f t="shared" ca="1" si="29"/>
        <v>P</v>
      </c>
      <c r="AD123" s="219" t="str">
        <f t="shared" ca="1" si="29"/>
        <v>P</v>
      </c>
      <c r="AE123" s="219" t="str">
        <f t="shared" ca="1" si="29"/>
        <v>R</v>
      </c>
      <c r="AF123" s="219" t="str">
        <f t="shared" ca="1" si="29"/>
        <v>P</v>
      </c>
      <c r="AG123" s="219" t="str">
        <f t="shared" ca="1" si="29"/>
        <v>P</v>
      </c>
      <c r="AH123" s="223" t="str">
        <f t="shared" ca="1" si="20"/>
        <v>P</v>
      </c>
      <c r="AI123" s="224">
        <f t="shared" si="16"/>
        <v>31</v>
      </c>
      <c r="AJ123" s="220">
        <f t="shared" ca="1" si="27"/>
        <v>25</v>
      </c>
      <c r="AK123" s="111">
        <f t="shared" ca="1" si="28"/>
        <v>6</v>
      </c>
    </row>
    <row r="124" spans="1:37" x14ac:dyDescent="0.25">
      <c r="A124" s="216">
        <v>1117</v>
      </c>
      <c r="B124" s="217" t="s">
        <v>1125</v>
      </c>
      <c r="C124" s="218" t="s">
        <v>1112</v>
      </c>
      <c r="D124" s="219" t="str">
        <f t="shared" ca="1" si="30"/>
        <v>P</v>
      </c>
      <c r="E124" s="219" t="str">
        <f t="shared" ca="1" si="30"/>
        <v>R</v>
      </c>
      <c r="F124" s="219" t="str">
        <f t="shared" ca="1" si="30"/>
        <v>P</v>
      </c>
      <c r="G124" s="219" t="str">
        <f t="shared" ca="1" si="30"/>
        <v>P</v>
      </c>
      <c r="H124" s="219" t="str">
        <f t="shared" ca="1" si="30"/>
        <v>R</v>
      </c>
      <c r="I124" s="219" t="str">
        <f t="shared" ca="1" si="30"/>
        <v>R</v>
      </c>
      <c r="J124" s="219" t="str">
        <f t="shared" ca="1" si="30"/>
        <v>P</v>
      </c>
      <c r="K124" s="219" t="str">
        <f t="shared" ca="1" si="30"/>
        <v>P</v>
      </c>
      <c r="L124" s="219" t="str">
        <f t="shared" ca="1" si="30"/>
        <v>R</v>
      </c>
      <c r="M124" s="219" t="str">
        <f t="shared" ca="1" si="30"/>
        <v>R</v>
      </c>
      <c r="N124" s="219" t="str">
        <f t="shared" ca="1" si="30"/>
        <v>P</v>
      </c>
      <c r="O124" s="219" t="str">
        <f t="shared" ca="1" si="30"/>
        <v>P</v>
      </c>
      <c r="P124" s="219" t="str">
        <f t="shared" ca="1" si="30"/>
        <v>P</v>
      </c>
      <c r="Q124" s="219" t="str">
        <f t="shared" ca="1" si="30"/>
        <v>P</v>
      </c>
      <c r="R124" s="219" t="str">
        <f t="shared" ca="1" si="30"/>
        <v>P</v>
      </c>
      <c r="S124" s="219" t="str">
        <f t="shared" ca="1" si="29"/>
        <v>P</v>
      </c>
      <c r="T124" s="219" t="str">
        <f t="shared" ca="1" si="29"/>
        <v>P</v>
      </c>
      <c r="U124" s="219" t="str">
        <f t="shared" ca="1" si="29"/>
        <v>R</v>
      </c>
      <c r="V124" s="219" t="str">
        <f t="shared" ca="1" si="29"/>
        <v>P</v>
      </c>
      <c r="W124" s="219" t="str">
        <f t="shared" ca="1" si="29"/>
        <v>P</v>
      </c>
      <c r="X124" s="219" t="str">
        <f t="shared" ca="1" si="29"/>
        <v>P</v>
      </c>
      <c r="Y124" s="219" t="str">
        <f t="shared" ca="1" si="29"/>
        <v>P</v>
      </c>
      <c r="Z124" s="219" t="str">
        <f t="shared" ca="1" si="29"/>
        <v>P</v>
      </c>
      <c r="AA124" s="219" t="str">
        <f t="shared" ca="1" si="29"/>
        <v>P</v>
      </c>
      <c r="AB124" s="219" t="str">
        <f t="shared" ca="1" si="29"/>
        <v>P</v>
      </c>
      <c r="AC124" s="219" t="str">
        <f t="shared" ca="1" si="29"/>
        <v>P</v>
      </c>
      <c r="AD124" s="219" t="str">
        <f t="shared" ca="1" si="29"/>
        <v>P</v>
      </c>
      <c r="AE124" s="219" t="str">
        <f t="shared" ca="1" si="29"/>
        <v>P</v>
      </c>
      <c r="AF124" s="219" t="str">
        <f t="shared" ca="1" si="29"/>
        <v>P</v>
      </c>
      <c r="AG124" s="219" t="str">
        <f t="shared" ca="1" si="29"/>
        <v>P</v>
      </c>
      <c r="AH124" s="223" t="str">
        <f t="shared" ca="1" si="20"/>
        <v>P</v>
      </c>
      <c r="AI124" s="224">
        <f t="shared" si="16"/>
        <v>31</v>
      </c>
      <c r="AJ124" s="220">
        <f t="shared" ca="1" si="27"/>
        <v>25</v>
      </c>
      <c r="AK124" s="111">
        <f t="shared" ca="1" si="28"/>
        <v>6</v>
      </c>
    </row>
    <row r="125" spans="1:37" x14ac:dyDescent="0.25">
      <c r="A125" s="216">
        <v>1118</v>
      </c>
      <c r="B125" s="217" t="s">
        <v>1126</v>
      </c>
      <c r="C125" s="218" t="s">
        <v>1114</v>
      </c>
      <c r="D125" s="219" t="str">
        <f t="shared" ca="1" si="30"/>
        <v>P</v>
      </c>
      <c r="E125" s="219" t="str">
        <f t="shared" ca="1" si="30"/>
        <v>P</v>
      </c>
      <c r="F125" s="219" t="str">
        <f t="shared" ca="1" si="30"/>
        <v>P</v>
      </c>
      <c r="G125" s="219" t="str">
        <f t="shared" ca="1" si="30"/>
        <v>P</v>
      </c>
      <c r="H125" s="219" t="str">
        <f t="shared" ca="1" si="30"/>
        <v>P</v>
      </c>
      <c r="I125" s="219" t="str">
        <f t="shared" ca="1" si="30"/>
        <v>R</v>
      </c>
      <c r="J125" s="219" t="str">
        <f t="shared" ca="1" si="30"/>
        <v>P</v>
      </c>
      <c r="K125" s="219" t="str">
        <f t="shared" ca="1" si="30"/>
        <v>R</v>
      </c>
      <c r="L125" s="219" t="str">
        <f t="shared" ca="1" si="30"/>
        <v>R</v>
      </c>
      <c r="M125" s="219" t="str">
        <f t="shared" ca="1" si="30"/>
        <v>P</v>
      </c>
      <c r="N125" s="219" t="str">
        <f t="shared" ca="1" si="30"/>
        <v>P</v>
      </c>
      <c r="O125" s="219" t="str">
        <f t="shared" ca="1" si="30"/>
        <v>R</v>
      </c>
      <c r="P125" s="219" t="str">
        <f t="shared" ca="1" si="30"/>
        <v>P</v>
      </c>
      <c r="Q125" s="219" t="str">
        <f t="shared" ca="1" si="30"/>
        <v>P</v>
      </c>
      <c r="R125" s="219" t="str">
        <f t="shared" ca="1" si="30"/>
        <v>P</v>
      </c>
      <c r="S125" s="219" t="str">
        <f t="shared" ca="1" si="29"/>
        <v>R</v>
      </c>
      <c r="T125" s="219" t="str">
        <f t="shared" ca="1" si="29"/>
        <v>P</v>
      </c>
      <c r="U125" s="219" t="str">
        <f t="shared" ca="1" si="29"/>
        <v>P</v>
      </c>
      <c r="V125" s="219" t="str">
        <f t="shared" ca="1" si="29"/>
        <v>R</v>
      </c>
      <c r="W125" s="219" t="str">
        <f t="shared" ca="1" si="29"/>
        <v>P</v>
      </c>
      <c r="X125" s="219" t="str">
        <f t="shared" ca="1" si="29"/>
        <v>R</v>
      </c>
      <c r="Y125" s="219" t="str">
        <f t="shared" ca="1" si="29"/>
        <v>P</v>
      </c>
      <c r="Z125" s="219" t="str">
        <f t="shared" ca="1" si="29"/>
        <v>P</v>
      </c>
      <c r="AA125" s="219" t="str">
        <f t="shared" ca="1" si="29"/>
        <v>P</v>
      </c>
      <c r="AB125" s="219" t="str">
        <f t="shared" ca="1" si="29"/>
        <v>P</v>
      </c>
      <c r="AC125" s="219" t="str">
        <f t="shared" ca="1" si="29"/>
        <v>P</v>
      </c>
      <c r="AD125" s="219" t="str">
        <f t="shared" ca="1" si="29"/>
        <v>P</v>
      </c>
      <c r="AE125" s="219" t="str">
        <f t="shared" ca="1" si="29"/>
        <v>R</v>
      </c>
      <c r="AF125" s="219" t="str">
        <f t="shared" ca="1" si="29"/>
        <v>P</v>
      </c>
      <c r="AG125" s="219" t="str">
        <f t="shared" ca="1" si="29"/>
        <v>R</v>
      </c>
      <c r="AH125" s="223" t="str">
        <f t="shared" ca="1" si="20"/>
        <v>P</v>
      </c>
      <c r="AI125" s="224">
        <f t="shared" si="16"/>
        <v>31</v>
      </c>
      <c r="AJ125" s="220">
        <f t="shared" ca="1" si="27"/>
        <v>22</v>
      </c>
      <c r="AK125" s="111">
        <f t="shared" ca="1" si="28"/>
        <v>9</v>
      </c>
    </row>
    <row r="126" spans="1:37" x14ac:dyDescent="0.25">
      <c r="A126" s="216">
        <v>1119</v>
      </c>
      <c r="B126" s="217" t="s">
        <v>1127</v>
      </c>
      <c r="C126" s="218" t="s">
        <v>1113</v>
      </c>
      <c r="D126" s="219" t="str">
        <f t="shared" ca="1" si="30"/>
        <v>R</v>
      </c>
      <c r="E126" s="219" t="str">
        <f t="shared" ca="1" si="30"/>
        <v>R</v>
      </c>
      <c r="F126" s="219" t="str">
        <f t="shared" ca="1" si="30"/>
        <v>R</v>
      </c>
      <c r="G126" s="219" t="str">
        <f t="shared" ca="1" si="30"/>
        <v>R</v>
      </c>
      <c r="H126" s="219" t="str">
        <f t="shared" ca="1" si="30"/>
        <v>P</v>
      </c>
      <c r="I126" s="219" t="str">
        <f t="shared" ca="1" si="30"/>
        <v>P</v>
      </c>
      <c r="J126" s="219" t="str">
        <f t="shared" ca="1" si="30"/>
        <v>P</v>
      </c>
      <c r="K126" s="219" t="str">
        <f t="shared" ca="1" si="30"/>
        <v>P</v>
      </c>
      <c r="L126" s="219" t="str">
        <f t="shared" ca="1" si="30"/>
        <v>R</v>
      </c>
      <c r="M126" s="219" t="str">
        <f t="shared" ca="1" si="30"/>
        <v>P</v>
      </c>
      <c r="N126" s="219" t="str">
        <f t="shared" ca="1" si="30"/>
        <v>P</v>
      </c>
      <c r="O126" s="219" t="str">
        <f t="shared" ca="1" si="30"/>
        <v>P</v>
      </c>
      <c r="P126" s="219" t="str">
        <f t="shared" ca="1" si="30"/>
        <v>R</v>
      </c>
      <c r="Q126" s="219" t="str">
        <f t="shared" ca="1" si="30"/>
        <v>P</v>
      </c>
      <c r="R126" s="219" t="str">
        <f t="shared" ca="1" si="30"/>
        <v>P</v>
      </c>
      <c r="S126" s="219" t="str">
        <f t="shared" ca="1" si="29"/>
        <v>P</v>
      </c>
      <c r="T126" s="219" t="str">
        <f t="shared" ca="1" si="29"/>
        <v>R</v>
      </c>
      <c r="U126" s="219" t="str">
        <f t="shared" ca="1" si="29"/>
        <v>P</v>
      </c>
      <c r="V126" s="219" t="str">
        <f t="shared" ca="1" si="29"/>
        <v>R</v>
      </c>
      <c r="W126" s="219" t="str">
        <f t="shared" ca="1" si="29"/>
        <v>P</v>
      </c>
      <c r="X126" s="219" t="str">
        <f t="shared" ca="1" si="29"/>
        <v>P</v>
      </c>
      <c r="Y126" s="219" t="str">
        <f t="shared" ca="1" si="29"/>
        <v>P</v>
      </c>
      <c r="Z126" s="219" t="str">
        <f t="shared" ca="1" si="29"/>
        <v>P</v>
      </c>
      <c r="AA126" s="219" t="str">
        <f t="shared" ca="1" si="29"/>
        <v>P</v>
      </c>
      <c r="AB126" s="219" t="str">
        <f t="shared" ca="1" si="29"/>
        <v>R</v>
      </c>
      <c r="AC126" s="219" t="str">
        <f t="shared" ca="1" si="29"/>
        <v>P</v>
      </c>
      <c r="AD126" s="219" t="str">
        <f t="shared" ca="1" si="29"/>
        <v>P</v>
      </c>
      <c r="AE126" s="219" t="str">
        <f t="shared" ca="1" si="29"/>
        <v>P</v>
      </c>
      <c r="AF126" s="219" t="str">
        <f t="shared" ca="1" si="29"/>
        <v>P</v>
      </c>
      <c r="AG126" s="219" t="str">
        <f t="shared" ca="1" si="29"/>
        <v>P</v>
      </c>
      <c r="AH126" s="223" t="str">
        <f t="shared" ca="1" si="20"/>
        <v>P</v>
      </c>
      <c r="AI126" s="224">
        <f t="shared" si="16"/>
        <v>31</v>
      </c>
      <c r="AJ126" s="220">
        <f t="shared" ca="1" si="27"/>
        <v>22</v>
      </c>
      <c r="AK126" s="111">
        <f t="shared" ca="1" si="28"/>
        <v>9</v>
      </c>
    </row>
    <row r="127" spans="1:37" x14ac:dyDescent="0.25">
      <c r="A127" s="216">
        <v>1120</v>
      </c>
      <c r="B127" s="217" t="s">
        <v>281</v>
      </c>
      <c r="C127" s="218" t="s">
        <v>1103</v>
      </c>
      <c r="D127" s="219" t="str">
        <f t="shared" ca="1" si="30"/>
        <v>P</v>
      </c>
      <c r="E127" s="219" t="str">
        <f t="shared" ca="1" si="30"/>
        <v>P</v>
      </c>
      <c r="F127" s="219" t="str">
        <f t="shared" ca="1" si="30"/>
        <v>P</v>
      </c>
      <c r="G127" s="219" t="str">
        <f t="shared" ca="1" si="30"/>
        <v>P</v>
      </c>
      <c r="H127" s="219" t="str">
        <f t="shared" ca="1" si="30"/>
        <v>P</v>
      </c>
      <c r="I127" s="219" t="str">
        <f t="shared" ca="1" si="30"/>
        <v>P</v>
      </c>
      <c r="J127" s="219" t="str">
        <f t="shared" ca="1" si="30"/>
        <v>P</v>
      </c>
      <c r="K127" s="219" t="str">
        <f t="shared" ca="1" si="30"/>
        <v>P</v>
      </c>
      <c r="L127" s="219" t="str">
        <f t="shared" ca="1" si="30"/>
        <v>P</v>
      </c>
      <c r="M127" s="219" t="str">
        <f t="shared" ca="1" si="30"/>
        <v>P</v>
      </c>
      <c r="N127" s="219" t="str">
        <f t="shared" ca="1" si="30"/>
        <v>P</v>
      </c>
      <c r="O127" s="219" t="str">
        <f t="shared" ca="1" si="30"/>
        <v>P</v>
      </c>
      <c r="P127" s="219" t="str">
        <f t="shared" ca="1" si="30"/>
        <v>R</v>
      </c>
      <c r="Q127" s="219" t="str">
        <f t="shared" ca="1" si="30"/>
        <v>P</v>
      </c>
      <c r="R127" s="219" t="str">
        <f t="shared" ca="1" si="30"/>
        <v>P</v>
      </c>
      <c r="S127" s="219" t="str">
        <f t="shared" ca="1" si="29"/>
        <v>P</v>
      </c>
      <c r="T127" s="219" t="str">
        <f t="shared" ca="1" si="29"/>
        <v>R</v>
      </c>
      <c r="U127" s="219" t="str">
        <f t="shared" ca="1" si="29"/>
        <v>P</v>
      </c>
      <c r="V127" s="219" t="str">
        <f t="shared" ca="1" si="29"/>
        <v>P</v>
      </c>
      <c r="W127" s="219" t="str">
        <f t="shared" ca="1" si="29"/>
        <v>P</v>
      </c>
      <c r="X127" s="219" t="str">
        <f t="shared" ca="1" si="29"/>
        <v>P</v>
      </c>
      <c r="Y127" s="219" t="str">
        <f t="shared" ca="1" si="29"/>
        <v>P</v>
      </c>
      <c r="Z127" s="219" t="str">
        <f t="shared" ca="1" si="29"/>
        <v>P</v>
      </c>
      <c r="AA127" s="219" t="str">
        <f t="shared" ca="1" si="29"/>
        <v>P</v>
      </c>
      <c r="AB127" s="219" t="str">
        <f t="shared" ca="1" si="29"/>
        <v>P</v>
      </c>
      <c r="AC127" s="219" t="str">
        <f t="shared" ca="1" si="29"/>
        <v>P</v>
      </c>
      <c r="AD127" s="219" t="str">
        <f t="shared" ca="1" si="29"/>
        <v>R</v>
      </c>
      <c r="AE127" s="219" t="str">
        <f t="shared" ca="1" si="29"/>
        <v>P</v>
      </c>
      <c r="AF127" s="219" t="str">
        <f t="shared" ca="1" si="29"/>
        <v>P</v>
      </c>
      <c r="AG127" s="219" t="str">
        <f t="shared" ca="1" si="29"/>
        <v>R</v>
      </c>
      <c r="AH127" s="223" t="str">
        <f t="shared" ca="1" si="20"/>
        <v>P</v>
      </c>
      <c r="AI127" s="224">
        <f t="shared" si="16"/>
        <v>31</v>
      </c>
      <c r="AJ127" s="220">
        <f t="shared" ca="1" si="27"/>
        <v>27</v>
      </c>
      <c r="AK127" s="111">
        <f t="shared" ca="1" si="28"/>
        <v>4</v>
      </c>
    </row>
    <row r="128" spans="1:37" x14ac:dyDescent="0.25">
      <c r="A128" s="216">
        <v>1121</v>
      </c>
      <c r="B128" s="217" t="s">
        <v>1128</v>
      </c>
      <c r="C128" s="218" t="s">
        <v>1111</v>
      </c>
      <c r="D128" s="219" t="str">
        <f t="shared" ca="1" si="30"/>
        <v>P</v>
      </c>
      <c r="E128" s="219" t="str">
        <f t="shared" ca="1" si="30"/>
        <v>P</v>
      </c>
      <c r="F128" s="219" t="str">
        <f t="shared" ca="1" si="30"/>
        <v>P</v>
      </c>
      <c r="G128" s="219" t="str">
        <f t="shared" ca="1" si="30"/>
        <v>P</v>
      </c>
      <c r="H128" s="219" t="str">
        <f t="shared" ca="1" si="30"/>
        <v>R</v>
      </c>
      <c r="I128" s="219" t="str">
        <f t="shared" ca="1" si="30"/>
        <v>P</v>
      </c>
      <c r="J128" s="219" t="str">
        <f t="shared" ca="1" si="30"/>
        <v>P</v>
      </c>
      <c r="K128" s="219" t="str">
        <f t="shared" ca="1" si="30"/>
        <v>P</v>
      </c>
      <c r="L128" s="219" t="str">
        <f t="shared" ca="1" si="30"/>
        <v>P</v>
      </c>
      <c r="M128" s="219" t="str">
        <f t="shared" ca="1" si="30"/>
        <v>P</v>
      </c>
      <c r="N128" s="219" t="str">
        <f t="shared" ca="1" si="30"/>
        <v>P</v>
      </c>
      <c r="O128" s="219" t="str">
        <f t="shared" ca="1" si="30"/>
        <v>P</v>
      </c>
      <c r="P128" s="219" t="str">
        <f t="shared" ca="1" si="30"/>
        <v>P</v>
      </c>
      <c r="Q128" s="219" t="str">
        <f t="shared" ca="1" si="30"/>
        <v>P</v>
      </c>
      <c r="R128" s="219" t="str">
        <f t="shared" ca="1" si="30"/>
        <v>P</v>
      </c>
      <c r="S128" s="219" t="str">
        <f t="shared" ca="1" si="29"/>
        <v>P</v>
      </c>
      <c r="T128" s="219" t="str">
        <f t="shared" ca="1" si="29"/>
        <v>P</v>
      </c>
      <c r="U128" s="219" t="str">
        <f t="shared" ca="1" si="29"/>
        <v>P</v>
      </c>
      <c r="V128" s="219" t="str">
        <f t="shared" ca="1" si="29"/>
        <v>R</v>
      </c>
      <c r="W128" s="219" t="str">
        <f t="shared" ca="1" si="29"/>
        <v>P</v>
      </c>
      <c r="X128" s="219" t="str">
        <f t="shared" ca="1" si="29"/>
        <v>R</v>
      </c>
      <c r="Y128" s="219" t="str">
        <f t="shared" ca="1" si="29"/>
        <v>P</v>
      </c>
      <c r="Z128" s="219" t="str">
        <f t="shared" ca="1" si="29"/>
        <v>P</v>
      </c>
      <c r="AA128" s="219" t="str">
        <f t="shared" ca="1" si="29"/>
        <v>P</v>
      </c>
      <c r="AB128" s="219" t="str">
        <f t="shared" ca="1" si="29"/>
        <v>R</v>
      </c>
      <c r="AC128" s="219" t="str">
        <f t="shared" ca="1" si="29"/>
        <v>P</v>
      </c>
      <c r="AD128" s="219" t="str">
        <f t="shared" ca="1" si="29"/>
        <v>P</v>
      </c>
      <c r="AE128" s="219" t="str">
        <f t="shared" ca="1" si="29"/>
        <v>P</v>
      </c>
      <c r="AF128" s="219" t="str">
        <f t="shared" ca="1" si="29"/>
        <v>P</v>
      </c>
      <c r="AG128" s="219" t="str">
        <f t="shared" ca="1" si="29"/>
        <v>R</v>
      </c>
      <c r="AH128" s="223" t="str">
        <f t="shared" ca="1" si="20"/>
        <v>P</v>
      </c>
      <c r="AI128" s="224">
        <f t="shared" si="16"/>
        <v>31</v>
      </c>
      <c r="AJ128" s="220">
        <f t="shared" ca="1" si="27"/>
        <v>26</v>
      </c>
      <c r="AK128" s="111">
        <f t="shared" ca="1" si="28"/>
        <v>5</v>
      </c>
    </row>
    <row r="129" spans="1:37" x14ac:dyDescent="0.25">
      <c r="A129" s="216">
        <v>1122</v>
      </c>
      <c r="B129" s="217" t="s">
        <v>1129</v>
      </c>
      <c r="C129" s="218" t="s">
        <v>1101</v>
      </c>
      <c r="D129" s="219" t="str">
        <f t="shared" ca="1" si="30"/>
        <v>P</v>
      </c>
      <c r="E129" s="219" t="str">
        <f t="shared" ca="1" si="30"/>
        <v>P</v>
      </c>
      <c r="F129" s="219" t="str">
        <f t="shared" ca="1" si="30"/>
        <v>P</v>
      </c>
      <c r="G129" s="219" t="str">
        <f t="shared" ca="1" si="30"/>
        <v>P</v>
      </c>
      <c r="H129" s="219" t="str">
        <f t="shared" ca="1" si="30"/>
        <v>P</v>
      </c>
      <c r="I129" s="219" t="str">
        <f t="shared" ca="1" si="30"/>
        <v>P</v>
      </c>
      <c r="J129" s="219" t="str">
        <f t="shared" ca="1" si="30"/>
        <v>P</v>
      </c>
      <c r="K129" s="219" t="str">
        <f t="shared" ca="1" si="30"/>
        <v>P</v>
      </c>
      <c r="L129" s="219" t="str">
        <f t="shared" ca="1" si="30"/>
        <v>R</v>
      </c>
      <c r="M129" s="219" t="str">
        <f t="shared" ca="1" si="30"/>
        <v>P</v>
      </c>
      <c r="N129" s="219" t="str">
        <f t="shared" ca="1" si="30"/>
        <v>P</v>
      </c>
      <c r="O129" s="219" t="str">
        <f t="shared" ca="1" si="30"/>
        <v>P</v>
      </c>
      <c r="P129" s="219" t="str">
        <f t="shared" ca="1" si="30"/>
        <v>P</v>
      </c>
      <c r="Q129" s="219" t="str">
        <f t="shared" ca="1" si="30"/>
        <v>P</v>
      </c>
      <c r="R129" s="219" t="str">
        <f t="shared" ca="1" si="30"/>
        <v>P</v>
      </c>
      <c r="S129" s="219" t="str">
        <f t="shared" ca="1" si="29"/>
        <v>P</v>
      </c>
      <c r="T129" s="219" t="str">
        <f t="shared" ca="1" si="29"/>
        <v>R</v>
      </c>
      <c r="U129" s="219" t="str">
        <f t="shared" ca="1" si="29"/>
        <v>P</v>
      </c>
      <c r="V129" s="219" t="str">
        <f t="shared" ca="1" si="29"/>
        <v>R</v>
      </c>
      <c r="W129" s="219" t="str">
        <f t="shared" ca="1" si="29"/>
        <v>R</v>
      </c>
      <c r="X129" s="219" t="str">
        <f t="shared" ca="1" si="29"/>
        <v>P</v>
      </c>
      <c r="Y129" s="219" t="str">
        <f t="shared" ca="1" si="29"/>
        <v>P</v>
      </c>
      <c r="Z129" s="219" t="str">
        <f t="shared" ca="1" si="29"/>
        <v>P</v>
      </c>
      <c r="AA129" s="219" t="str">
        <f t="shared" ca="1" si="29"/>
        <v>P</v>
      </c>
      <c r="AB129" s="219" t="str">
        <f t="shared" ca="1" si="29"/>
        <v>R</v>
      </c>
      <c r="AC129" s="219" t="str">
        <f t="shared" ca="1" si="29"/>
        <v>P</v>
      </c>
      <c r="AD129" s="219" t="str">
        <f t="shared" ca="1" si="29"/>
        <v>P</v>
      </c>
      <c r="AE129" s="219" t="str">
        <f t="shared" ca="1" si="29"/>
        <v>P</v>
      </c>
      <c r="AF129" s="219" t="str">
        <f t="shared" ca="1" si="29"/>
        <v>P</v>
      </c>
      <c r="AG129" s="219" t="str">
        <f t="shared" ca="1" si="29"/>
        <v>P</v>
      </c>
      <c r="AH129" s="223" t="str">
        <f t="shared" ca="1" si="20"/>
        <v>P</v>
      </c>
      <c r="AI129" s="224">
        <f t="shared" si="16"/>
        <v>31</v>
      </c>
      <c r="AJ129" s="220">
        <f t="shared" ca="1" si="27"/>
        <v>26</v>
      </c>
      <c r="AK129" s="111">
        <f t="shared" ca="1" si="28"/>
        <v>5</v>
      </c>
    </row>
    <row r="130" spans="1:37" x14ac:dyDescent="0.25">
      <c r="A130" s="216">
        <v>1123</v>
      </c>
      <c r="B130" s="217" t="s">
        <v>1130</v>
      </c>
      <c r="C130" s="218" t="s">
        <v>1108</v>
      </c>
      <c r="D130" s="219" t="str">
        <f t="shared" ca="1" si="30"/>
        <v>P</v>
      </c>
      <c r="E130" s="219" t="str">
        <f t="shared" ca="1" si="30"/>
        <v>P</v>
      </c>
      <c r="F130" s="219" t="str">
        <f t="shared" ca="1" si="30"/>
        <v>P</v>
      </c>
      <c r="G130" s="219" t="str">
        <f t="shared" ca="1" si="30"/>
        <v>P</v>
      </c>
      <c r="H130" s="219" t="str">
        <f t="shared" ca="1" si="30"/>
        <v>P</v>
      </c>
      <c r="I130" s="219" t="str">
        <f t="shared" ca="1" si="30"/>
        <v>P</v>
      </c>
      <c r="J130" s="219" t="str">
        <f t="shared" ca="1" si="30"/>
        <v>P</v>
      </c>
      <c r="K130" s="219" t="str">
        <f t="shared" ca="1" si="30"/>
        <v>P</v>
      </c>
      <c r="L130" s="219" t="str">
        <f t="shared" ca="1" si="30"/>
        <v>P</v>
      </c>
      <c r="M130" s="219" t="str">
        <f t="shared" ca="1" si="30"/>
        <v>R</v>
      </c>
      <c r="N130" s="219" t="str">
        <f t="shared" ca="1" si="30"/>
        <v>P</v>
      </c>
      <c r="O130" s="219" t="str">
        <f t="shared" ca="1" si="30"/>
        <v>P</v>
      </c>
      <c r="P130" s="219" t="str">
        <f t="shared" ca="1" si="30"/>
        <v>P</v>
      </c>
      <c r="Q130" s="219" t="str">
        <f t="shared" ca="1" si="30"/>
        <v>P</v>
      </c>
      <c r="R130" s="219" t="str">
        <f t="shared" ca="1" si="30"/>
        <v>P</v>
      </c>
      <c r="S130" s="219" t="str">
        <f t="shared" ca="1" si="29"/>
        <v>P</v>
      </c>
      <c r="T130" s="219" t="str">
        <f t="shared" ca="1" si="29"/>
        <v>R</v>
      </c>
      <c r="U130" s="219" t="str">
        <f t="shared" ca="1" si="29"/>
        <v>P</v>
      </c>
      <c r="V130" s="219" t="str">
        <f t="shared" ca="1" si="29"/>
        <v>P</v>
      </c>
      <c r="W130" s="219" t="str">
        <f t="shared" ca="1" si="29"/>
        <v>P</v>
      </c>
      <c r="X130" s="219" t="str">
        <f t="shared" ca="1" si="29"/>
        <v>P</v>
      </c>
      <c r="Y130" s="219" t="str">
        <f t="shared" ca="1" si="29"/>
        <v>P</v>
      </c>
      <c r="Z130" s="219" t="str">
        <f t="shared" ca="1" si="29"/>
        <v>P</v>
      </c>
      <c r="AA130" s="219" t="str">
        <f t="shared" ca="1" si="29"/>
        <v>P</v>
      </c>
      <c r="AB130" s="219" t="str">
        <f t="shared" ca="1" si="29"/>
        <v>P</v>
      </c>
      <c r="AC130" s="219" t="str">
        <f t="shared" ca="1" si="29"/>
        <v>P</v>
      </c>
      <c r="AD130" s="219" t="str">
        <f t="shared" ca="1" si="29"/>
        <v>P</v>
      </c>
      <c r="AE130" s="219" t="str">
        <f t="shared" ca="1" si="29"/>
        <v>P</v>
      </c>
      <c r="AF130" s="219" t="str">
        <f t="shared" ca="1" si="29"/>
        <v>R</v>
      </c>
      <c r="AG130" s="219" t="str">
        <f t="shared" ca="1" si="29"/>
        <v>P</v>
      </c>
      <c r="AH130" s="223" t="str">
        <f t="shared" ca="1" si="20"/>
        <v>P</v>
      </c>
      <c r="AI130" s="224">
        <f t="shared" si="16"/>
        <v>31</v>
      </c>
      <c r="AJ130" s="220">
        <f t="shared" ca="1" si="27"/>
        <v>28</v>
      </c>
      <c r="AK130" s="111">
        <f t="shared" ca="1" si="28"/>
        <v>3</v>
      </c>
    </row>
    <row r="131" spans="1:37" x14ac:dyDescent="0.25">
      <c r="A131" s="216">
        <v>1124</v>
      </c>
      <c r="B131" s="217" t="s">
        <v>317</v>
      </c>
      <c r="C131" s="218" t="s">
        <v>1106</v>
      </c>
      <c r="D131" s="219" t="str">
        <f t="shared" ca="1" si="30"/>
        <v>P</v>
      </c>
      <c r="E131" s="219" t="str">
        <f t="shared" ca="1" si="30"/>
        <v>R</v>
      </c>
      <c r="F131" s="219" t="str">
        <f t="shared" ca="1" si="30"/>
        <v>P</v>
      </c>
      <c r="G131" s="219" t="str">
        <f t="shared" ca="1" si="30"/>
        <v>P</v>
      </c>
      <c r="H131" s="219" t="str">
        <f t="shared" ca="1" si="30"/>
        <v>P</v>
      </c>
      <c r="I131" s="219" t="str">
        <f t="shared" ca="1" si="30"/>
        <v>P</v>
      </c>
      <c r="J131" s="219" t="str">
        <f t="shared" ca="1" si="30"/>
        <v>P</v>
      </c>
      <c r="K131" s="219" t="str">
        <f t="shared" ca="1" si="30"/>
        <v>P</v>
      </c>
      <c r="L131" s="219" t="str">
        <f t="shared" ca="1" si="30"/>
        <v>P</v>
      </c>
      <c r="M131" s="219" t="str">
        <f t="shared" ca="1" si="30"/>
        <v>P</v>
      </c>
      <c r="N131" s="219" t="str">
        <f t="shared" ca="1" si="30"/>
        <v>P</v>
      </c>
      <c r="O131" s="219" t="str">
        <f t="shared" ca="1" si="30"/>
        <v>P</v>
      </c>
      <c r="P131" s="219" t="str">
        <f t="shared" ca="1" si="30"/>
        <v>P</v>
      </c>
      <c r="Q131" s="219" t="str">
        <f t="shared" ca="1" si="30"/>
        <v>P</v>
      </c>
      <c r="R131" s="219" t="str">
        <f t="shared" ca="1" si="30"/>
        <v>P</v>
      </c>
      <c r="S131" s="219" t="str">
        <f t="shared" ca="1" si="29"/>
        <v>R</v>
      </c>
      <c r="T131" s="219" t="str">
        <f t="shared" ca="1" si="29"/>
        <v>P</v>
      </c>
      <c r="U131" s="219" t="str">
        <f t="shared" ca="1" si="29"/>
        <v>P</v>
      </c>
      <c r="V131" s="219" t="str">
        <f t="shared" ca="1" si="29"/>
        <v>P</v>
      </c>
      <c r="W131" s="219" t="str">
        <f t="shared" ca="1" si="29"/>
        <v>P</v>
      </c>
      <c r="X131" s="219" t="str">
        <f t="shared" ca="1" si="29"/>
        <v>P</v>
      </c>
      <c r="Y131" s="219" t="str">
        <f t="shared" ca="1" si="29"/>
        <v>P</v>
      </c>
      <c r="Z131" s="219" t="str">
        <f t="shared" ca="1" si="29"/>
        <v>R</v>
      </c>
      <c r="AA131" s="219" t="str">
        <f t="shared" ca="1" si="29"/>
        <v>R</v>
      </c>
      <c r="AB131" s="219" t="str">
        <f t="shared" ca="1" si="29"/>
        <v>P</v>
      </c>
      <c r="AC131" s="219" t="str">
        <f t="shared" ca="1" si="29"/>
        <v>R</v>
      </c>
      <c r="AD131" s="219" t="str">
        <f t="shared" ca="1" si="29"/>
        <v>R</v>
      </c>
      <c r="AE131" s="219" t="str">
        <f t="shared" ca="1" si="29"/>
        <v>P</v>
      </c>
      <c r="AF131" s="219" t="str">
        <f t="shared" ca="1" si="29"/>
        <v>P</v>
      </c>
      <c r="AG131" s="219" t="str">
        <f t="shared" ca="1" si="29"/>
        <v>P</v>
      </c>
      <c r="AH131" s="223" t="str">
        <f t="shared" ca="1" si="20"/>
        <v>P</v>
      </c>
      <c r="AI131" s="224">
        <f t="shared" si="16"/>
        <v>31</v>
      </c>
      <c r="AJ131" s="220">
        <f t="shared" ca="1" si="27"/>
        <v>25</v>
      </c>
      <c r="AK131" s="111">
        <f t="shared" ca="1" si="28"/>
        <v>6</v>
      </c>
    </row>
    <row r="132" spans="1:37" x14ac:dyDescent="0.25">
      <c r="A132" s="216">
        <v>1125</v>
      </c>
      <c r="B132" s="217" t="s">
        <v>153</v>
      </c>
      <c r="C132" s="218" t="s">
        <v>1107</v>
      </c>
      <c r="D132" s="219" t="str">
        <f t="shared" ca="1" si="30"/>
        <v>P</v>
      </c>
      <c r="E132" s="219" t="str">
        <f t="shared" ca="1" si="30"/>
        <v>P</v>
      </c>
      <c r="F132" s="219" t="str">
        <f t="shared" ca="1" si="30"/>
        <v>P</v>
      </c>
      <c r="G132" s="219" t="str">
        <f t="shared" ca="1" si="30"/>
        <v>P</v>
      </c>
      <c r="H132" s="219" t="str">
        <f t="shared" ca="1" si="30"/>
        <v>P</v>
      </c>
      <c r="I132" s="219" t="str">
        <f t="shared" ca="1" si="30"/>
        <v>P</v>
      </c>
      <c r="J132" s="219" t="str">
        <f t="shared" ca="1" si="30"/>
        <v>P</v>
      </c>
      <c r="K132" s="219" t="str">
        <f t="shared" ca="1" si="30"/>
        <v>R</v>
      </c>
      <c r="L132" s="219" t="str">
        <f t="shared" ca="1" si="30"/>
        <v>P</v>
      </c>
      <c r="M132" s="219" t="str">
        <f t="shared" ca="1" si="30"/>
        <v>P</v>
      </c>
      <c r="N132" s="219" t="str">
        <f t="shared" ca="1" si="30"/>
        <v>P</v>
      </c>
      <c r="O132" s="219" t="str">
        <f t="shared" ca="1" si="30"/>
        <v>P</v>
      </c>
      <c r="P132" s="219" t="str">
        <f t="shared" ca="1" si="30"/>
        <v>P</v>
      </c>
      <c r="Q132" s="219" t="str">
        <f t="shared" ca="1" si="30"/>
        <v>P</v>
      </c>
      <c r="R132" s="219" t="str">
        <f t="shared" ca="1" si="30"/>
        <v>P</v>
      </c>
      <c r="S132" s="219" t="str">
        <f t="shared" ca="1" si="29"/>
        <v>R</v>
      </c>
      <c r="T132" s="219" t="str">
        <f t="shared" ca="1" si="29"/>
        <v>P</v>
      </c>
      <c r="U132" s="219" t="str">
        <f t="shared" ca="1" si="29"/>
        <v>P</v>
      </c>
      <c r="V132" s="219" t="str">
        <f t="shared" ca="1" si="29"/>
        <v>P</v>
      </c>
      <c r="W132" s="219" t="str">
        <f t="shared" ca="1" si="29"/>
        <v>P</v>
      </c>
      <c r="X132" s="219" t="str">
        <f t="shared" ca="1" si="29"/>
        <v>R</v>
      </c>
      <c r="Y132" s="219" t="str">
        <f t="shared" ca="1" si="29"/>
        <v>P</v>
      </c>
      <c r="Z132" s="219" t="str">
        <f t="shared" ca="1" si="29"/>
        <v>P</v>
      </c>
      <c r="AA132" s="219" t="str">
        <f t="shared" ca="1" si="29"/>
        <v>P</v>
      </c>
      <c r="AB132" s="219" t="str">
        <f t="shared" ca="1" si="29"/>
        <v>P</v>
      </c>
      <c r="AC132" s="219" t="str">
        <f t="shared" ca="1" si="29"/>
        <v>R</v>
      </c>
      <c r="AD132" s="219" t="str">
        <f t="shared" ca="1" si="29"/>
        <v>R</v>
      </c>
      <c r="AE132" s="219" t="str">
        <f t="shared" ca="1" si="29"/>
        <v>P</v>
      </c>
      <c r="AF132" s="219" t="str">
        <f t="shared" ca="1" si="29"/>
        <v>P</v>
      </c>
      <c r="AG132" s="219" t="str">
        <f t="shared" ca="1" si="29"/>
        <v>R</v>
      </c>
      <c r="AH132" s="223" t="str">
        <f t="shared" ca="1" si="20"/>
        <v>P</v>
      </c>
      <c r="AI132" s="224">
        <f t="shared" si="16"/>
        <v>31</v>
      </c>
      <c r="AJ132" s="220">
        <f t="shared" ca="1" si="27"/>
        <v>25</v>
      </c>
      <c r="AK132" s="111">
        <f t="shared" ca="1" si="28"/>
        <v>6</v>
      </c>
    </row>
    <row r="133" spans="1:37" x14ac:dyDescent="0.25">
      <c r="A133" s="216">
        <v>1126</v>
      </c>
      <c r="B133" s="217" t="s">
        <v>1131</v>
      </c>
      <c r="C133" s="218" t="s">
        <v>1109</v>
      </c>
      <c r="D133" s="219" t="str">
        <f t="shared" ca="1" si="30"/>
        <v>R</v>
      </c>
      <c r="E133" s="219" t="str">
        <f t="shared" ca="1" si="30"/>
        <v>R</v>
      </c>
      <c r="F133" s="219" t="str">
        <f t="shared" ca="1" si="30"/>
        <v>P</v>
      </c>
      <c r="G133" s="219" t="str">
        <f t="shared" ca="1" si="30"/>
        <v>P</v>
      </c>
      <c r="H133" s="219" t="str">
        <f t="shared" ca="1" si="30"/>
        <v>P</v>
      </c>
      <c r="I133" s="219" t="str">
        <f t="shared" ca="1" si="30"/>
        <v>P</v>
      </c>
      <c r="J133" s="219" t="str">
        <f t="shared" ca="1" si="30"/>
        <v>P</v>
      </c>
      <c r="K133" s="219" t="str">
        <f t="shared" ca="1" si="30"/>
        <v>P</v>
      </c>
      <c r="L133" s="219" t="str">
        <f t="shared" ca="1" si="30"/>
        <v>P</v>
      </c>
      <c r="M133" s="219" t="str">
        <f t="shared" ca="1" si="30"/>
        <v>P</v>
      </c>
      <c r="N133" s="219" t="str">
        <f t="shared" ca="1" si="30"/>
        <v>R</v>
      </c>
      <c r="O133" s="219" t="str">
        <f t="shared" ca="1" si="30"/>
        <v>P</v>
      </c>
      <c r="P133" s="219" t="str">
        <f t="shared" ca="1" si="30"/>
        <v>R</v>
      </c>
      <c r="Q133" s="219" t="str">
        <f t="shared" ca="1" si="30"/>
        <v>P</v>
      </c>
      <c r="R133" s="219" t="str">
        <f t="shared" ca="1" si="30"/>
        <v>P</v>
      </c>
      <c r="S133" s="219" t="str">
        <f t="shared" ca="1" si="29"/>
        <v>P</v>
      </c>
      <c r="T133" s="219" t="str">
        <f t="shared" ca="1" si="29"/>
        <v>R</v>
      </c>
      <c r="U133" s="219" t="str">
        <f t="shared" ca="1" si="29"/>
        <v>P</v>
      </c>
      <c r="V133" s="219" t="str">
        <f t="shared" ca="1" si="29"/>
        <v>P</v>
      </c>
      <c r="W133" s="219" t="str">
        <f t="shared" ca="1" si="29"/>
        <v>P</v>
      </c>
      <c r="X133" s="219" t="str">
        <f t="shared" ca="1" si="29"/>
        <v>P</v>
      </c>
      <c r="Y133" s="219" t="str">
        <f t="shared" ca="1" si="29"/>
        <v>P</v>
      </c>
      <c r="Z133" s="219" t="str">
        <f t="shared" ca="1" si="29"/>
        <v>P</v>
      </c>
      <c r="AA133" s="219" t="str">
        <f t="shared" ca="1" si="29"/>
        <v>P</v>
      </c>
      <c r="AB133" s="219" t="str">
        <f t="shared" ca="1" si="29"/>
        <v>P</v>
      </c>
      <c r="AC133" s="219" t="str">
        <f t="shared" ca="1" si="29"/>
        <v>R</v>
      </c>
      <c r="AD133" s="219" t="str">
        <f t="shared" ca="1" si="29"/>
        <v>P</v>
      </c>
      <c r="AE133" s="219" t="str">
        <f t="shared" ca="1" si="29"/>
        <v>R</v>
      </c>
      <c r="AF133" s="219" t="str">
        <f t="shared" ca="1" si="29"/>
        <v>P</v>
      </c>
      <c r="AG133" s="219" t="str">
        <f t="shared" ca="1" si="29"/>
        <v>P</v>
      </c>
      <c r="AH133" s="223" t="str">
        <f t="shared" ca="1" si="20"/>
        <v>P</v>
      </c>
      <c r="AI133" s="224">
        <f t="shared" si="16"/>
        <v>31</v>
      </c>
      <c r="AJ133" s="220">
        <f t="shared" ca="1" si="27"/>
        <v>24</v>
      </c>
      <c r="AK133" s="111">
        <f t="shared" ca="1" si="28"/>
        <v>7</v>
      </c>
    </row>
    <row r="134" spans="1:37" x14ac:dyDescent="0.25">
      <c r="A134" s="216">
        <v>1127</v>
      </c>
      <c r="B134" s="217" t="s">
        <v>294</v>
      </c>
      <c r="C134" s="218" t="s">
        <v>1104</v>
      </c>
      <c r="D134" s="219" t="str">
        <f t="shared" ca="1" si="30"/>
        <v>P</v>
      </c>
      <c r="E134" s="219" t="str">
        <f t="shared" ca="1" si="30"/>
        <v>P</v>
      </c>
      <c r="F134" s="219" t="str">
        <f t="shared" ca="1" si="30"/>
        <v>P</v>
      </c>
      <c r="G134" s="219" t="str">
        <f t="shared" ca="1" si="30"/>
        <v>P</v>
      </c>
      <c r="H134" s="219" t="str">
        <f t="shared" ca="1" si="30"/>
        <v>R</v>
      </c>
      <c r="I134" s="219" t="str">
        <f t="shared" ca="1" si="30"/>
        <v>P</v>
      </c>
      <c r="J134" s="219" t="str">
        <f t="shared" ca="1" si="30"/>
        <v>R</v>
      </c>
      <c r="K134" s="219" t="str">
        <f t="shared" ca="1" si="30"/>
        <v>P</v>
      </c>
      <c r="L134" s="219" t="str">
        <f t="shared" ca="1" si="30"/>
        <v>P</v>
      </c>
      <c r="M134" s="219" t="str">
        <f t="shared" ca="1" si="30"/>
        <v>P</v>
      </c>
      <c r="N134" s="219" t="str">
        <f t="shared" ca="1" si="30"/>
        <v>P</v>
      </c>
      <c r="O134" s="219" t="str">
        <f t="shared" ca="1" si="30"/>
        <v>P</v>
      </c>
      <c r="P134" s="219" t="str">
        <f t="shared" ca="1" si="30"/>
        <v>P</v>
      </c>
      <c r="Q134" s="219" t="str">
        <f t="shared" ca="1" si="30"/>
        <v>P</v>
      </c>
      <c r="R134" s="219" t="str">
        <f t="shared" ca="1" si="30"/>
        <v>P</v>
      </c>
      <c r="S134" s="219" t="str">
        <f t="shared" ca="1" si="29"/>
        <v>P</v>
      </c>
      <c r="T134" s="219" t="str">
        <f t="shared" ca="1" si="29"/>
        <v>P</v>
      </c>
      <c r="U134" s="219" t="str">
        <f t="shared" ca="1" si="29"/>
        <v>P</v>
      </c>
      <c r="V134" s="219" t="str">
        <f t="shared" ca="1" si="29"/>
        <v>P</v>
      </c>
      <c r="W134" s="219" t="str">
        <f t="shared" ca="1" si="29"/>
        <v>P</v>
      </c>
      <c r="X134" s="219" t="str">
        <f t="shared" ca="1" si="29"/>
        <v>P</v>
      </c>
      <c r="Y134" s="219" t="str">
        <f t="shared" ca="1" si="29"/>
        <v>P</v>
      </c>
      <c r="Z134" s="219" t="str">
        <f t="shared" ca="1" si="29"/>
        <v>P</v>
      </c>
      <c r="AA134" s="219" t="str">
        <f t="shared" ca="1" si="29"/>
        <v>P</v>
      </c>
      <c r="AB134" s="219" t="str">
        <f t="shared" ca="1" si="29"/>
        <v>R</v>
      </c>
      <c r="AC134" s="219" t="str">
        <f t="shared" ca="1" si="29"/>
        <v>P</v>
      </c>
      <c r="AD134" s="219" t="str">
        <f t="shared" ca="1" si="29"/>
        <v>P</v>
      </c>
      <c r="AE134" s="219" t="str">
        <f t="shared" ca="1" si="29"/>
        <v>R</v>
      </c>
      <c r="AF134" s="219" t="str">
        <f t="shared" ca="1" si="29"/>
        <v>P</v>
      </c>
      <c r="AG134" s="219" t="str">
        <f t="shared" ca="1" si="29"/>
        <v>P</v>
      </c>
      <c r="AH134" s="223" t="str">
        <f t="shared" ca="1" si="20"/>
        <v>P</v>
      </c>
      <c r="AI134" s="224">
        <f t="shared" si="16"/>
        <v>31</v>
      </c>
      <c r="AJ134" s="220">
        <f t="shared" ca="1" si="27"/>
        <v>27</v>
      </c>
      <c r="AK134" s="111">
        <f t="shared" ca="1" si="28"/>
        <v>4</v>
      </c>
    </row>
    <row r="135" spans="1:37" x14ac:dyDescent="0.25">
      <c r="A135" s="216">
        <v>1128</v>
      </c>
      <c r="B135" s="217" t="s">
        <v>1132</v>
      </c>
      <c r="C135" s="218" t="s">
        <v>1115</v>
      </c>
      <c r="D135" s="219" t="str">
        <f t="shared" ca="1" si="30"/>
        <v>P</v>
      </c>
      <c r="E135" s="219" t="str">
        <f t="shared" ca="1" si="30"/>
        <v>P</v>
      </c>
      <c r="F135" s="219" t="str">
        <f t="shared" ca="1" si="30"/>
        <v>P</v>
      </c>
      <c r="G135" s="219" t="str">
        <f t="shared" ca="1" si="30"/>
        <v>P</v>
      </c>
      <c r="H135" s="219" t="str">
        <f t="shared" ca="1" si="30"/>
        <v>P</v>
      </c>
      <c r="I135" s="219" t="str">
        <f t="shared" ca="1" si="30"/>
        <v>R</v>
      </c>
      <c r="J135" s="219" t="str">
        <f t="shared" ca="1" si="30"/>
        <v>P</v>
      </c>
      <c r="K135" s="219" t="str">
        <f t="shared" ca="1" si="30"/>
        <v>P</v>
      </c>
      <c r="L135" s="219" t="str">
        <f t="shared" ca="1" si="30"/>
        <v>R</v>
      </c>
      <c r="M135" s="219" t="str">
        <f t="shared" ca="1" si="30"/>
        <v>P</v>
      </c>
      <c r="N135" s="219" t="str">
        <f t="shared" ca="1" si="30"/>
        <v>P</v>
      </c>
      <c r="O135" s="219" t="str">
        <f t="shared" ca="1" si="30"/>
        <v>P</v>
      </c>
      <c r="P135" s="219" t="str">
        <f t="shared" ca="1" si="30"/>
        <v>P</v>
      </c>
      <c r="Q135" s="219" t="str">
        <f t="shared" ca="1" si="30"/>
        <v>P</v>
      </c>
      <c r="R135" s="219" t="str">
        <f t="shared" ca="1" si="30"/>
        <v>P</v>
      </c>
      <c r="S135" s="219" t="str">
        <f t="shared" ca="1" si="29"/>
        <v>P</v>
      </c>
      <c r="T135" s="219" t="str">
        <f t="shared" ca="1" si="29"/>
        <v>P</v>
      </c>
      <c r="U135" s="219" t="str">
        <f t="shared" ca="1" si="29"/>
        <v>P</v>
      </c>
      <c r="V135" s="219" t="str">
        <f t="shared" ca="1" si="29"/>
        <v>P</v>
      </c>
      <c r="W135" s="219" t="str">
        <f t="shared" ca="1" si="29"/>
        <v>P</v>
      </c>
      <c r="X135" s="219" t="str">
        <f t="shared" ca="1" si="29"/>
        <v>P</v>
      </c>
      <c r="Y135" s="219" t="str">
        <f t="shared" ca="1" si="29"/>
        <v>P</v>
      </c>
      <c r="Z135" s="219" t="str">
        <f t="shared" ca="1" si="29"/>
        <v>P</v>
      </c>
      <c r="AA135" s="219" t="str">
        <f t="shared" ca="1" si="29"/>
        <v>P</v>
      </c>
      <c r="AB135" s="219" t="str">
        <f t="shared" ca="1" si="29"/>
        <v>P</v>
      </c>
      <c r="AC135" s="219" t="str">
        <f t="shared" ca="1" si="29"/>
        <v>P</v>
      </c>
      <c r="AD135" s="219" t="str">
        <f t="shared" ca="1" si="29"/>
        <v>P</v>
      </c>
      <c r="AE135" s="219" t="str">
        <f t="shared" ca="1" si="29"/>
        <v>P</v>
      </c>
      <c r="AF135" s="219" t="str">
        <f t="shared" ca="1" si="29"/>
        <v>P</v>
      </c>
      <c r="AG135" s="219" t="str">
        <f t="shared" ca="1" si="29"/>
        <v>P</v>
      </c>
      <c r="AH135" s="223" t="str">
        <f t="shared" ca="1" si="20"/>
        <v>P</v>
      </c>
      <c r="AI135" s="224">
        <f t="shared" ref="AI135:AI198" si="31">DAY($X$4)</f>
        <v>31</v>
      </c>
      <c r="AJ135" s="220">
        <f t="shared" ca="1" si="27"/>
        <v>29</v>
      </c>
      <c r="AK135" s="111">
        <f t="shared" ca="1" si="28"/>
        <v>2</v>
      </c>
    </row>
    <row r="136" spans="1:37" x14ac:dyDescent="0.25">
      <c r="A136" s="216">
        <v>1129</v>
      </c>
      <c r="B136" s="217" t="s">
        <v>159</v>
      </c>
      <c r="C136" s="218" t="s">
        <v>1112</v>
      </c>
      <c r="D136" s="219" t="str">
        <f t="shared" ca="1" si="30"/>
        <v>P</v>
      </c>
      <c r="E136" s="219" t="str">
        <f t="shared" ca="1" si="30"/>
        <v>P</v>
      </c>
      <c r="F136" s="219" t="str">
        <f t="shared" ca="1" si="30"/>
        <v>P</v>
      </c>
      <c r="G136" s="219" t="str">
        <f t="shared" ca="1" si="30"/>
        <v>P</v>
      </c>
      <c r="H136" s="219" t="str">
        <f t="shared" ca="1" si="30"/>
        <v>R</v>
      </c>
      <c r="I136" s="219" t="str">
        <f t="shared" ca="1" si="30"/>
        <v>P</v>
      </c>
      <c r="J136" s="219" t="str">
        <f t="shared" ca="1" si="30"/>
        <v>P</v>
      </c>
      <c r="K136" s="219" t="str">
        <f t="shared" ca="1" si="30"/>
        <v>R</v>
      </c>
      <c r="L136" s="219" t="str">
        <f t="shared" ca="1" si="30"/>
        <v>P</v>
      </c>
      <c r="M136" s="219" t="str">
        <f t="shared" ca="1" si="30"/>
        <v>P</v>
      </c>
      <c r="N136" s="219" t="str">
        <f t="shared" ca="1" si="30"/>
        <v>P</v>
      </c>
      <c r="O136" s="219" t="str">
        <f t="shared" ca="1" si="30"/>
        <v>P</v>
      </c>
      <c r="P136" s="219" t="str">
        <f t="shared" ca="1" si="30"/>
        <v>P</v>
      </c>
      <c r="Q136" s="219" t="str">
        <f t="shared" ca="1" si="30"/>
        <v>P</v>
      </c>
      <c r="R136" s="219" t="str">
        <f t="shared" ca="1" si="30"/>
        <v>P</v>
      </c>
      <c r="S136" s="219" t="str">
        <f t="shared" ca="1" si="29"/>
        <v>P</v>
      </c>
      <c r="T136" s="219" t="str">
        <f t="shared" ref="S136:AH152" ca="1" si="32">IF(T$6="","",IF(RAND()&lt;0.8,"P","R"))</f>
        <v>P</v>
      </c>
      <c r="U136" s="219" t="str">
        <f t="shared" ca="1" si="32"/>
        <v>P</v>
      </c>
      <c r="V136" s="219" t="str">
        <f t="shared" ca="1" si="32"/>
        <v>P</v>
      </c>
      <c r="W136" s="219" t="str">
        <f t="shared" ca="1" si="32"/>
        <v>P</v>
      </c>
      <c r="X136" s="219" t="str">
        <f t="shared" ca="1" si="32"/>
        <v>R</v>
      </c>
      <c r="Y136" s="219" t="str">
        <f t="shared" ca="1" si="32"/>
        <v>P</v>
      </c>
      <c r="Z136" s="219" t="str">
        <f t="shared" ca="1" si="32"/>
        <v>P</v>
      </c>
      <c r="AA136" s="219" t="str">
        <f t="shared" ca="1" si="32"/>
        <v>R</v>
      </c>
      <c r="AB136" s="219" t="str">
        <f t="shared" ca="1" si="32"/>
        <v>R</v>
      </c>
      <c r="AC136" s="219" t="str">
        <f t="shared" ca="1" si="32"/>
        <v>R</v>
      </c>
      <c r="AD136" s="219" t="str">
        <f t="shared" ca="1" si="32"/>
        <v>P</v>
      </c>
      <c r="AE136" s="219" t="str">
        <f t="shared" ca="1" si="32"/>
        <v>R</v>
      </c>
      <c r="AF136" s="219" t="str">
        <f t="shared" ca="1" si="32"/>
        <v>P</v>
      </c>
      <c r="AG136" s="219" t="str">
        <f t="shared" ca="1" si="32"/>
        <v>P</v>
      </c>
      <c r="AH136" s="223" t="str">
        <f t="shared" ca="1" si="20"/>
        <v>P</v>
      </c>
      <c r="AI136" s="224">
        <f t="shared" si="31"/>
        <v>31</v>
      </c>
      <c r="AJ136" s="220">
        <f t="shared" ca="1" si="27"/>
        <v>24</v>
      </c>
      <c r="AK136" s="111">
        <f t="shared" ca="1" si="28"/>
        <v>7</v>
      </c>
    </row>
    <row r="137" spans="1:37" x14ac:dyDescent="0.25">
      <c r="A137" s="216">
        <v>1130</v>
      </c>
      <c r="B137" s="217" t="s">
        <v>1133</v>
      </c>
      <c r="C137" s="218" t="s">
        <v>1114</v>
      </c>
      <c r="D137" s="219" t="str">
        <f t="shared" ref="D137:R153" ca="1" si="33">IF(D$6="","",IF(RAND()&lt;0.8,"P","R"))</f>
        <v>P</v>
      </c>
      <c r="E137" s="219" t="str">
        <f t="shared" ca="1" si="33"/>
        <v>P</v>
      </c>
      <c r="F137" s="219" t="str">
        <f t="shared" ca="1" si="33"/>
        <v>P</v>
      </c>
      <c r="G137" s="219" t="str">
        <f t="shared" ca="1" si="33"/>
        <v>P</v>
      </c>
      <c r="H137" s="219" t="str">
        <f t="shared" ca="1" si="33"/>
        <v>P</v>
      </c>
      <c r="I137" s="219" t="str">
        <f t="shared" ca="1" si="33"/>
        <v>P</v>
      </c>
      <c r="J137" s="219" t="str">
        <f t="shared" ca="1" si="33"/>
        <v>P</v>
      </c>
      <c r="K137" s="219" t="str">
        <f t="shared" ca="1" si="33"/>
        <v>P</v>
      </c>
      <c r="L137" s="219" t="str">
        <f t="shared" ca="1" si="33"/>
        <v>R</v>
      </c>
      <c r="M137" s="219" t="str">
        <f t="shared" ca="1" si="33"/>
        <v>P</v>
      </c>
      <c r="N137" s="219" t="str">
        <f t="shared" ca="1" si="33"/>
        <v>P</v>
      </c>
      <c r="O137" s="219" t="str">
        <f t="shared" ca="1" si="33"/>
        <v>P</v>
      </c>
      <c r="P137" s="219" t="str">
        <f t="shared" ca="1" si="33"/>
        <v>P</v>
      </c>
      <c r="Q137" s="219" t="str">
        <f t="shared" ca="1" si="33"/>
        <v>P</v>
      </c>
      <c r="R137" s="219" t="str">
        <f t="shared" ca="1" si="33"/>
        <v>P</v>
      </c>
      <c r="S137" s="219" t="str">
        <f t="shared" ca="1" si="32"/>
        <v>R</v>
      </c>
      <c r="T137" s="219" t="str">
        <f t="shared" ca="1" si="32"/>
        <v>P</v>
      </c>
      <c r="U137" s="219" t="str">
        <f t="shared" ca="1" si="32"/>
        <v>P</v>
      </c>
      <c r="V137" s="219" t="str">
        <f t="shared" ca="1" si="32"/>
        <v>P</v>
      </c>
      <c r="W137" s="219" t="str">
        <f t="shared" ca="1" si="32"/>
        <v>P</v>
      </c>
      <c r="X137" s="219" t="str">
        <f t="shared" ca="1" si="32"/>
        <v>P</v>
      </c>
      <c r="Y137" s="219" t="str">
        <f t="shared" ca="1" si="32"/>
        <v>P</v>
      </c>
      <c r="Z137" s="219" t="str">
        <f t="shared" ca="1" si="32"/>
        <v>R</v>
      </c>
      <c r="AA137" s="219" t="str">
        <f t="shared" ca="1" si="32"/>
        <v>P</v>
      </c>
      <c r="AB137" s="219" t="str">
        <f t="shared" ca="1" si="32"/>
        <v>P</v>
      </c>
      <c r="AC137" s="219" t="str">
        <f t="shared" ca="1" si="32"/>
        <v>P</v>
      </c>
      <c r="AD137" s="219" t="str">
        <f t="shared" ca="1" si="32"/>
        <v>P</v>
      </c>
      <c r="AE137" s="219" t="str">
        <f t="shared" ca="1" si="32"/>
        <v>P</v>
      </c>
      <c r="AF137" s="219" t="str">
        <f t="shared" ca="1" si="32"/>
        <v>P</v>
      </c>
      <c r="AG137" s="219" t="str">
        <f t="shared" ca="1" si="32"/>
        <v>R</v>
      </c>
      <c r="AH137" s="223" t="str">
        <f t="shared" ca="1" si="20"/>
        <v>R</v>
      </c>
      <c r="AI137" s="224">
        <f t="shared" si="31"/>
        <v>31</v>
      </c>
      <c r="AJ137" s="220">
        <f t="shared" ca="1" si="27"/>
        <v>26</v>
      </c>
      <c r="AK137" s="111">
        <f t="shared" ca="1" si="28"/>
        <v>5</v>
      </c>
    </row>
    <row r="138" spans="1:37" x14ac:dyDescent="0.25">
      <c r="A138" s="216">
        <v>1131</v>
      </c>
      <c r="B138" s="217" t="s">
        <v>1134</v>
      </c>
      <c r="C138" s="218" t="s">
        <v>1113</v>
      </c>
      <c r="D138" s="219" t="str">
        <f t="shared" ca="1" si="33"/>
        <v>P</v>
      </c>
      <c r="E138" s="219" t="str">
        <f t="shared" ca="1" si="33"/>
        <v>R</v>
      </c>
      <c r="F138" s="219" t="str">
        <f t="shared" ca="1" si="33"/>
        <v>P</v>
      </c>
      <c r="G138" s="219" t="str">
        <f t="shared" ca="1" si="33"/>
        <v>R</v>
      </c>
      <c r="H138" s="219" t="str">
        <f t="shared" ca="1" si="33"/>
        <v>R</v>
      </c>
      <c r="I138" s="219" t="str">
        <f t="shared" ca="1" si="33"/>
        <v>P</v>
      </c>
      <c r="J138" s="219" t="str">
        <f t="shared" ca="1" si="33"/>
        <v>R</v>
      </c>
      <c r="K138" s="219" t="str">
        <f t="shared" ca="1" si="33"/>
        <v>P</v>
      </c>
      <c r="L138" s="219" t="str">
        <f t="shared" ca="1" si="33"/>
        <v>R</v>
      </c>
      <c r="M138" s="219" t="str">
        <f t="shared" ca="1" si="33"/>
        <v>R</v>
      </c>
      <c r="N138" s="219" t="str">
        <f t="shared" ca="1" si="33"/>
        <v>P</v>
      </c>
      <c r="O138" s="219" t="str">
        <f t="shared" ca="1" si="33"/>
        <v>P</v>
      </c>
      <c r="P138" s="219" t="str">
        <f t="shared" ca="1" si="33"/>
        <v>P</v>
      </c>
      <c r="Q138" s="219" t="str">
        <f t="shared" ca="1" si="33"/>
        <v>P</v>
      </c>
      <c r="R138" s="219" t="str">
        <f t="shared" ca="1" si="33"/>
        <v>P</v>
      </c>
      <c r="S138" s="219" t="str">
        <f t="shared" ca="1" si="32"/>
        <v>P</v>
      </c>
      <c r="T138" s="219" t="str">
        <f t="shared" ca="1" si="32"/>
        <v>P</v>
      </c>
      <c r="U138" s="219" t="str">
        <f t="shared" ca="1" si="32"/>
        <v>R</v>
      </c>
      <c r="V138" s="219" t="str">
        <f t="shared" ca="1" si="32"/>
        <v>P</v>
      </c>
      <c r="W138" s="219" t="str">
        <f t="shared" ca="1" si="32"/>
        <v>R</v>
      </c>
      <c r="X138" s="219" t="str">
        <f t="shared" ca="1" si="32"/>
        <v>R</v>
      </c>
      <c r="Y138" s="219" t="str">
        <f t="shared" ca="1" si="32"/>
        <v>P</v>
      </c>
      <c r="Z138" s="219" t="str">
        <f t="shared" ca="1" si="32"/>
        <v>R</v>
      </c>
      <c r="AA138" s="219" t="str">
        <f t="shared" ca="1" si="32"/>
        <v>P</v>
      </c>
      <c r="AB138" s="219" t="str">
        <f t="shared" ca="1" si="32"/>
        <v>R</v>
      </c>
      <c r="AC138" s="219" t="str">
        <f t="shared" ca="1" si="32"/>
        <v>P</v>
      </c>
      <c r="AD138" s="219" t="str">
        <f t="shared" ca="1" si="32"/>
        <v>P</v>
      </c>
      <c r="AE138" s="219" t="str">
        <f t="shared" ca="1" si="32"/>
        <v>P</v>
      </c>
      <c r="AF138" s="219" t="str">
        <f t="shared" ca="1" si="32"/>
        <v>P</v>
      </c>
      <c r="AG138" s="219" t="str">
        <f t="shared" ca="1" si="32"/>
        <v>P</v>
      </c>
      <c r="AH138" s="223" t="str">
        <f t="shared" ca="1" si="20"/>
        <v>P</v>
      </c>
      <c r="AI138" s="224">
        <f t="shared" si="31"/>
        <v>31</v>
      </c>
      <c r="AJ138" s="220">
        <f t="shared" ca="1" si="27"/>
        <v>20</v>
      </c>
      <c r="AK138" s="111">
        <f t="shared" ca="1" si="28"/>
        <v>11</v>
      </c>
    </row>
    <row r="139" spans="1:37" x14ac:dyDescent="0.25">
      <c r="A139" s="216">
        <v>1132</v>
      </c>
      <c r="B139" s="217" t="s">
        <v>1135</v>
      </c>
      <c r="C139" s="218" t="s">
        <v>1103</v>
      </c>
      <c r="D139" s="219" t="str">
        <f t="shared" ca="1" si="33"/>
        <v>P</v>
      </c>
      <c r="E139" s="219" t="str">
        <f t="shared" ca="1" si="33"/>
        <v>P</v>
      </c>
      <c r="F139" s="219" t="str">
        <f t="shared" ca="1" si="33"/>
        <v>P</v>
      </c>
      <c r="G139" s="219" t="str">
        <f t="shared" ca="1" si="33"/>
        <v>P</v>
      </c>
      <c r="H139" s="219" t="str">
        <f t="shared" ca="1" si="33"/>
        <v>P</v>
      </c>
      <c r="I139" s="219" t="str">
        <f t="shared" ca="1" si="33"/>
        <v>P</v>
      </c>
      <c r="J139" s="219" t="str">
        <f t="shared" ca="1" si="33"/>
        <v>P</v>
      </c>
      <c r="K139" s="219" t="str">
        <f t="shared" ca="1" si="33"/>
        <v>P</v>
      </c>
      <c r="L139" s="219" t="str">
        <f t="shared" ca="1" si="33"/>
        <v>P</v>
      </c>
      <c r="M139" s="219" t="str">
        <f t="shared" ca="1" si="33"/>
        <v>P</v>
      </c>
      <c r="N139" s="219" t="str">
        <f t="shared" ca="1" si="33"/>
        <v>P</v>
      </c>
      <c r="O139" s="219" t="str">
        <f t="shared" ca="1" si="33"/>
        <v>P</v>
      </c>
      <c r="P139" s="219" t="str">
        <f t="shared" ca="1" si="33"/>
        <v>P</v>
      </c>
      <c r="Q139" s="219" t="str">
        <f t="shared" ca="1" si="33"/>
        <v>P</v>
      </c>
      <c r="R139" s="219" t="str">
        <f t="shared" ca="1" si="33"/>
        <v>P</v>
      </c>
      <c r="S139" s="219" t="str">
        <f t="shared" ca="1" si="32"/>
        <v>P</v>
      </c>
      <c r="T139" s="219" t="str">
        <f t="shared" ca="1" si="32"/>
        <v>P</v>
      </c>
      <c r="U139" s="219" t="str">
        <f t="shared" ca="1" si="32"/>
        <v>P</v>
      </c>
      <c r="V139" s="219" t="str">
        <f t="shared" ca="1" si="32"/>
        <v>R</v>
      </c>
      <c r="W139" s="219" t="str">
        <f t="shared" ca="1" si="32"/>
        <v>P</v>
      </c>
      <c r="X139" s="219" t="str">
        <f t="shared" ca="1" si="32"/>
        <v>P</v>
      </c>
      <c r="Y139" s="219" t="str">
        <f t="shared" ca="1" si="32"/>
        <v>P</v>
      </c>
      <c r="Z139" s="219" t="str">
        <f t="shared" ca="1" si="32"/>
        <v>P</v>
      </c>
      <c r="AA139" s="219" t="str">
        <f t="shared" ca="1" si="32"/>
        <v>P</v>
      </c>
      <c r="AB139" s="219" t="str">
        <f t="shared" ca="1" si="32"/>
        <v>R</v>
      </c>
      <c r="AC139" s="219" t="str">
        <f t="shared" ca="1" si="32"/>
        <v>P</v>
      </c>
      <c r="AD139" s="219" t="str">
        <f t="shared" ca="1" si="32"/>
        <v>P</v>
      </c>
      <c r="AE139" s="219" t="str">
        <f t="shared" ca="1" si="32"/>
        <v>P</v>
      </c>
      <c r="AF139" s="219" t="str">
        <f t="shared" ca="1" si="32"/>
        <v>R</v>
      </c>
      <c r="AG139" s="219" t="str">
        <f t="shared" ca="1" si="32"/>
        <v>R</v>
      </c>
      <c r="AH139" s="223" t="str">
        <f t="shared" ca="1" si="20"/>
        <v>R</v>
      </c>
      <c r="AI139" s="224">
        <f t="shared" si="31"/>
        <v>31</v>
      </c>
      <c r="AJ139" s="220">
        <f t="shared" ca="1" si="27"/>
        <v>26</v>
      </c>
      <c r="AK139" s="111">
        <f t="shared" ca="1" si="28"/>
        <v>5</v>
      </c>
    </row>
    <row r="140" spans="1:37" x14ac:dyDescent="0.25">
      <c r="A140" s="216">
        <v>1133</v>
      </c>
      <c r="B140" s="217" t="s">
        <v>1136</v>
      </c>
      <c r="C140" s="218" t="s">
        <v>1111</v>
      </c>
      <c r="D140" s="219" t="str">
        <f t="shared" ca="1" si="33"/>
        <v>P</v>
      </c>
      <c r="E140" s="219" t="str">
        <f t="shared" ca="1" si="33"/>
        <v>P</v>
      </c>
      <c r="F140" s="219" t="str">
        <f t="shared" ca="1" si="33"/>
        <v>P</v>
      </c>
      <c r="G140" s="219" t="str">
        <f t="shared" ca="1" si="33"/>
        <v>P</v>
      </c>
      <c r="H140" s="219" t="str">
        <f t="shared" ca="1" si="33"/>
        <v>P</v>
      </c>
      <c r="I140" s="219" t="str">
        <f t="shared" ca="1" si="33"/>
        <v>R</v>
      </c>
      <c r="J140" s="219" t="str">
        <f t="shared" ca="1" si="33"/>
        <v>R</v>
      </c>
      <c r="K140" s="219" t="str">
        <f t="shared" ca="1" si="33"/>
        <v>P</v>
      </c>
      <c r="L140" s="219" t="str">
        <f t="shared" ca="1" si="33"/>
        <v>P</v>
      </c>
      <c r="M140" s="219" t="str">
        <f t="shared" ca="1" si="33"/>
        <v>P</v>
      </c>
      <c r="N140" s="219" t="str">
        <f t="shared" ca="1" si="33"/>
        <v>R</v>
      </c>
      <c r="O140" s="219" t="str">
        <f t="shared" ca="1" si="33"/>
        <v>P</v>
      </c>
      <c r="P140" s="219" t="str">
        <f t="shared" ca="1" si="33"/>
        <v>R</v>
      </c>
      <c r="Q140" s="219" t="str">
        <f t="shared" ca="1" si="33"/>
        <v>P</v>
      </c>
      <c r="R140" s="219" t="str">
        <f t="shared" ca="1" si="33"/>
        <v>P</v>
      </c>
      <c r="S140" s="219" t="str">
        <f t="shared" ca="1" si="32"/>
        <v>P</v>
      </c>
      <c r="T140" s="219" t="str">
        <f t="shared" ca="1" si="32"/>
        <v>P</v>
      </c>
      <c r="U140" s="219" t="str">
        <f t="shared" ca="1" si="32"/>
        <v>P</v>
      </c>
      <c r="V140" s="219" t="str">
        <f t="shared" ca="1" si="32"/>
        <v>P</v>
      </c>
      <c r="W140" s="219" t="str">
        <f t="shared" ca="1" si="32"/>
        <v>R</v>
      </c>
      <c r="X140" s="219" t="str">
        <f t="shared" ca="1" si="32"/>
        <v>P</v>
      </c>
      <c r="Y140" s="219" t="str">
        <f t="shared" ca="1" si="32"/>
        <v>P</v>
      </c>
      <c r="Z140" s="219" t="str">
        <f t="shared" ca="1" si="32"/>
        <v>P</v>
      </c>
      <c r="AA140" s="219" t="str">
        <f t="shared" ca="1" si="32"/>
        <v>R</v>
      </c>
      <c r="AB140" s="219" t="str">
        <f t="shared" ca="1" si="32"/>
        <v>R</v>
      </c>
      <c r="AC140" s="219" t="str">
        <f t="shared" ca="1" si="32"/>
        <v>P</v>
      </c>
      <c r="AD140" s="219" t="str">
        <f t="shared" ca="1" si="32"/>
        <v>R</v>
      </c>
      <c r="AE140" s="219" t="str">
        <f t="shared" ca="1" si="32"/>
        <v>P</v>
      </c>
      <c r="AF140" s="219" t="str">
        <f t="shared" ca="1" si="32"/>
        <v>P</v>
      </c>
      <c r="AG140" s="219" t="str">
        <f t="shared" ca="1" si="32"/>
        <v>P</v>
      </c>
      <c r="AH140" s="223" t="str">
        <f t="shared" ca="1" si="20"/>
        <v>P</v>
      </c>
      <c r="AI140" s="224">
        <f t="shared" si="31"/>
        <v>31</v>
      </c>
      <c r="AJ140" s="220">
        <f t="shared" ca="1" si="27"/>
        <v>23</v>
      </c>
      <c r="AK140" s="111">
        <f t="shared" ca="1" si="28"/>
        <v>8</v>
      </c>
    </row>
    <row r="141" spans="1:37" x14ac:dyDescent="0.25">
      <c r="A141" s="216">
        <v>1134</v>
      </c>
      <c r="B141" s="217" t="s">
        <v>1137</v>
      </c>
      <c r="C141" s="218" t="s">
        <v>1101</v>
      </c>
      <c r="D141" s="219" t="str">
        <f t="shared" ca="1" si="33"/>
        <v>P</v>
      </c>
      <c r="E141" s="219" t="str">
        <f t="shared" ca="1" si="33"/>
        <v>P</v>
      </c>
      <c r="F141" s="219" t="str">
        <f t="shared" ca="1" si="33"/>
        <v>R</v>
      </c>
      <c r="G141" s="219" t="str">
        <f t="shared" ca="1" si="33"/>
        <v>P</v>
      </c>
      <c r="H141" s="219" t="str">
        <f t="shared" ca="1" si="33"/>
        <v>P</v>
      </c>
      <c r="I141" s="219" t="str">
        <f t="shared" ca="1" si="33"/>
        <v>P</v>
      </c>
      <c r="J141" s="219" t="str">
        <f t="shared" ca="1" si="33"/>
        <v>P</v>
      </c>
      <c r="K141" s="219" t="str">
        <f t="shared" ca="1" si="33"/>
        <v>P</v>
      </c>
      <c r="L141" s="219" t="str">
        <f t="shared" ca="1" si="33"/>
        <v>P</v>
      </c>
      <c r="M141" s="219" t="str">
        <f t="shared" ca="1" si="33"/>
        <v>P</v>
      </c>
      <c r="N141" s="219" t="str">
        <f t="shared" ca="1" si="33"/>
        <v>P</v>
      </c>
      <c r="O141" s="219" t="str">
        <f t="shared" ca="1" si="33"/>
        <v>P</v>
      </c>
      <c r="P141" s="219" t="str">
        <f t="shared" ca="1" si="33"/>
        <v>P</v>
      </c>
      <c r="Q141" s="219" t="str">
        <f t="shared" ca="1" si="33"/>
        <v>P</v>
      </c>
      <c r="R141" s="219" t="str">
        <f t="shared" ca="1" si="33"/>
        <v>P</v>
      </c>
      <c r="S141" s="219" t="str">
        <f t="shared" ca="1" si="32"/>
        <v>P</v>
      </c>
      <c r="T141" s="219" t="str">
        <f t="shared" ca="1" si="32"/>
        <v>P</v>
      </c>
      <c r="U141" s="219" t="str">
        <f t="shared" ca="1" si="32"/>
        <v>R</v>
      </c>
      <c r="V141" s="219" t="str">
        <f t="shared" ca="1" si="32"/>
        <v>P</v>
      </c>
      <c r="W141" s="219" t="str">
        <f t="shared" ca="1" si="32"/>
        <v>P</v>
      </c>
      <c r="X141" s="219" t="str">
        <f t="shared" ca="1" si="32"/>
        <v>P</v>
      </c>
      <c r="Y141" s="219" t="str">
        <f t="shared" ca="1" si="32"/>
        <v>P</v>
      </c>
      <c r="Z141" s="219" t="str">
        <f t="shared" ca="1" si="32"/>
        <v>R</v>
      </c>
      <c r="AA141" s="219" t="str">
        <f t="shared" ca="1" si="32"/>
        <v>P</v>
      </c>
      <c r="AB141" s="219" t="str">
        <f t="shared" ca="1" si="32"/>
        <v>P</v>
      </c>
      <c r="AC141" s="219" t="str">
        <f t="shared" ca="1" si="32"/>
        <v>P</v>
      </c>
      <c r="AD141" s="219" t="str">
        <f t="shared" ca="1" si="32"/>
        <v>P</v>
      </c>
      <c r="AE141" s="219" t="str">
        <f t="shared" ca="1" si="32"/>
        <v>P</v>
      </c>
      <c r="AF141" s="219" t="str">
        <f t="shared" ca="1" si="32"/>
        <v>P</v>
      </c>
      <c r="AG141" s="219" t="str">
        <f t="shared" ca="1" si="32"/>
        <v>P</v>
      </c>
      <c r="AH141" s="223" t="str">
        <f t="shared" ca="1" si="20"/>
        <v>P</v>
      </c>
      <c r="AI141" s="224">
        <f t="shared" si="31"/>
        <v>31</v>
      </c>
      <c r="AJ141" s="220">
        <f t="shared" ca="1" si="27"/>
        <v>28</v>
      </c>
      <c r="AK141" s="111">
        <f t="shared" ca="1" si="28"/>
        <v>3</v>
      </c>
    </row>
    <row r="142" spans="1:37" x14ac:dyDescent="0.25">
      <c r="A142" s="216">
        <v>1135</v>
      </c>
      <c r="B142" s="217" t="s">
        <v>1138</v>
      </c>
      <c r="C142" s="218" t="s">
        <v>1108</v>
      </c>
      <c r="D142" s="219" t="str">
        <f t="shared" ca="1" si="33"/>
        <v>P</v>
      </c>
      <c r="E142" s="219" t="str">
        <f t="shared" ca="1" si="33"/>
        <v>P</v>
      </c>
      <c r="F142" s="219" t="str">
        <f t="shared" ca="1" si="33"/>
        <v>P</v>
      </c>
      <c r="G142" s="219" t="str">
        <f t="shared" ca="1" si="33"/>
        <v>P</v>
      </c>
      <c r="H142" s="219" t="str">
        <f t="shared" ca="1" si="33"/>
        <v>R</v>
      </c>
      <c r="I142" s="219" t="str">
        <f t="shared" ca="1" si="33"/>
        <v>P</v>
      </c>
      <c r="J142" s="219" t="str">
        <f t="shared" ca="1" si="33"/>
        <v>P</v>
      </c>
      <c r="K142" s="219" t="str">
        <f t="shared" ca="1" si="33"/>
        <v>R</v>
      </c>
      <c r="L142" s="219" t="str">
        <f t="shared" ca="1" si="33"/>
        <v>P</v>
      </c>
      <c r="M142" s="219" t="str">
        <f t="shared" ca="1" si="33"/>
        <v>R</v>
      </c>
      <c r="N142" s="219" t="str">
        <f t="shared" ca="1" si="33"/>
        <v>P</v>
      </c>
      <c r="O142" s="219" t="str">
        <f t="shared" ca="1" si="33"/>
        <v>P</v>
      </c>
      <c r="P142" s="219" t="str">
        <f t="shared" ca="1" si="33"/>
        <v>P</v>
      </c>
      <c r="Q142" s="219" t="str">
        <f t="shared" ca="1" si="33"/>
        <v>P</v>
      </c>
      <c r="R142" s="219" t="str">
        <f t="shared" ca="1" si="33"/>
        <v>P</v>
      </c>
      <c r="S142" s="219" t="str">
        <f t="shared" ca="1" si="32"/>
        <v>P</v>
      </c>
      <c r="T142" s="219" t="str">
        <f t="shared" ca="1" si="32"/>
        <v>P</v>
      </c>
      <c r="U142" s="219" t="str">
        <f t="shared" ca="1" si="32"/>
        <v>P</v>
      </c>
      <c r="V142" s="219" t="str">
        <f t="shared" ca="1" si="32"/>
        <v>P</v>
      </c>
      <c r="W142" s="219" t="str">
        <f t="shared" ca="1" si="32"/>
        <v>P</v>
      </c>
      <c r="X142" s="219" t="str">
        <f t="shared" ca="1" si="32"/>
        <v>P</v>
      </c>
      <c r="Y142" s="219" t="str">
        <f t="shared" ca="1" si="32"/>
        <v>P</v>
      </c>
      <c r="Z142" s="219" t="str">
        <f t="shared" ca="1" si="32"/>
        <v>P</v>
      </c>
      <c r="AA142" s="219" t="str">
        <f t="shared" ca="1" si="32"/>
        <v>P</v>
      </c>
      <c r="AB142" s="219" t="str">
        <f t="shared" ca="1" si="32"/>
        <v>P</v>
      </c>
      <c r="AC142" s="219" t="str">
        <f t="shared" ca="1" si="32"/>
        <v>P</v>
      </c>
      <c r="AD142" s="219" t="str">
        <f t="shared" ca="1" si="32"/>
        <v>P</v>
      </c>
      <c r="AE142" s="219" t="str">
        <f t="shared" ca="1" si="32"/>
        <v>R</v>
      </c>
      <c r="AF142" s="219" t="str">
        <f t="shared" ca="1" si="32"/>
        <v>P</v>
      </c>
      <c r="AG142" s="219" t="str">
        <f t="shared" ca="1" si="32"/>
        <v>P</v>
      </c>
      <c r="AH142" s="223" t="str">
        <f t="shared" ca="1" si="20"/>
        <v>P</v>
      </c>
      <c r="AI142" s="224">
        <f t="shared" si="31"/>
        <v>31</v>
      </c>
      <c r="AJ142" s="220">
        <f t="shared" ca="1" si="27"/>
        <v>27</v>
      </c>
      <c r="AK142" s="111">
        <f t="shared" ca="1" si="28"/>
        <v>4</v>
      </c>
    </row>
    <row r="143" spans="1:37" x14ac:dyDescent="0.25">
      <c r="A143" s="216">
        <v>1136</v>
      </c>
      <c r="B143" s="217" t="s">
        <v>1139</v>
      </c>
      <c r="C143" s="218" t="s">
        <v>1106</v>
      </c>
      <c r="D143" s="219" t="str">
        <f t="shared" ca="1" si="33"/>
        <v>P</v>
      </c>
      <c r="E143" s="219" t="str">
        <f t="shared" ca="1" si="33"/>
        <v>P</v>
      </c>
      <c r="F143" s="219" t="str">
        <f t="shared" ca="1" si="33"/>
        <v>P</v>
      </c>
      <c r="G143" s="219" t="str">
        <f t="shared" ca="1" si="33"/>
        <v>P</v>
      </c>
      <c r="H143" s="219" t="str">
        <f t="shared" ca="1" si="33"/>
        <v>R</v>
      </c>
      <c r="I143" s="219" t="str">
        <f t="shared" ca="1" si="33"/>
        <v>P</v>
      </c>
      <c r="J143" s="219" t="str">
        <f t="shared" ca="1" si="33"/>
        <v>P</v>
      </c>
      <c r="K143" s="219" t="str">
        <f t="shared" ca="1" si="33"/>
        <v>R</v>
      </c>
      <c r="L143" s="219" t="str">
        <f t="shared" ca="1" si="33"/>
        <v>P</v>
      </c>
      <c r="M143" s="219" t="str">
        <f t="shared" ca="1" si="33"/>
        <v>R</v>
      </c>
      <c r="N143" s="219" t="str">
        <f t="shared" ca="1" si="33"/>
        <v>P</v>
      </c>
      <c r="O143" s="219" t="str">
        <f t="shared" ca="1" si="33"/>
        <v>R</v>
      </c>
      <c r="P143" s="219" t="str">
        <f t="shared" ca="1" si="33"/>
        <v>P</v>
      </c>
      <c r="Q143" s="219" t="str">
        <f t="shared" ca="1" si="33"/>
        <v>R</v>
      </c>
      <c r="R143" s="219" t="str">
        <f t="shared" ca="1" si="33"/>
        <v>R</v>
      </c>
      <c r="S143" s="219" t="str">
        <f t="shared" ca="1" si="32"/>
        <v>P</v>
      </c>
      <c r="T143" s="219" t="str">
        <f t="shared" ca="1" si="32"/>
        <v>P</v>
      </c>
      <c r="U143" s="219" t="str">
        <f t="shared" ca="1" si="32"/>
        <v>P</v>
      </c>
      <c r="V143" s="219" t="str">
        <f t="shared" ca="1" si="32"/>
        <v>R</v>
      </c>
      <c r="W143" s="219" t="str">
        <f t="shared" ca="1" si="32"/>
        <v>P</v>
      </c>
      <c r="X143" s="219" t="str">
        <f t="shared" ca="1" si="32"/>
        <v>P</v>
      </c>
      <c r="Y143" s="219" t="str">
        <f t="shared" ca="1" si="32"/>
        <v>R</v>
      </c>
      <c r="Z143" s="219" t="str">
        <f t="shared" ca="1" si="32"/>
        <v>P</v>
      </c>
      <c r="AA143" s="219" t="str">
        <f t="shared" ca="1" si="32"/>
        <v>P</v>
      </c>
      <c r="AB143" s="219" t="str">
        <f t="shared" ca="1" si="32"/>
        <v>P</v>
      </c>
      <c r="AC143" s="219" t="str">
        <f t="shared" ca="1" si="32"/>
        <v>P</v>
      </c>
      <c r="AD143" s="219" t="str">
        <f t="shared" ca="1" si="32"/>
        <v>P</v>
      </c>
      <c r="AE143" s="219" t="str">
        <f t="shared" ca="1" si="32"/>
        <v>P</v>
      </c>
      <c r="AF143" s="219" t="str">
        <f t="shared" ca="1" si="32"/>
        <v>P</v>
      </c>
      <c r="AG143" s="219" t="str">
        <f t="shared" ca="1" si="32"/>
        <v>P</v>
      </c>
      <c r="AH143" s="223" t="str">
        <f t="shared" ca="1" si="20"/>
        <v>P</v>
      </c>
      <c r="AI143" s="224">
        <f t="shared" si="31"/>
        <v>31</v>
      </c>
      <c r="AJ143" s="220">
        <f t="shared" ca="1" si="27"/>
        <v>23</v>
      </c>
      <c r="AK143" s="111">
        <f t="shared" ca="1" si="28"/>
        <v>8</v>
      </c>
    </row>
    <row r="144" spans="1:37" x14ac:dyDescent="0.25">
      <c r="A144" s="216">
        <v>1137</v>
      </c>
      <c r="B144" s="217" t="s">
        <v>1140</v>
      </c>
      <c r="C144" s="218" t="s">
        <v>1107</v>
      </c>
      <c r="D144" s="219" t="str">
        <f t="shared" ca="1" si="33"/>
        <v>P</v>
      </c>
      <c r="E144" s="219" t="str">
        <f t="shared" ca="1" si="33"/>
        <v>P</v>
      </c>
      <c r="F144" s="219" t="str">
        <f t="shared" ca="1" si="33"/>
        <v>R</v>
      </c>
      <c r="G144" s="219" t="str">
        <f t="shared" ca="1" si="33"/>
        <v>P</v>
      </c>
      <c r="H144" s="219" t="str">
        <f t="shared" ca="1" si="33"/>
        <v>R</v>
      </c>
      <c r="I144" s="219" t="str">
        <f t="shared" ca="1" si="33"/>
        <v>P</v>
      </c>
      <c r="J144" s="219" t="str">
        <f t="shared" ca="1" si="33"/>
        <v>P</v>
      </c>
      <c r="K144" s="219" t="str">
        <f t="shared" ca="1" si="33"/>
        <v>P</v>
      </c>
      <c r="L144" s="219" t="str">
        <f t="shared" ca="1" si="33"/>
        <v>P</v>
      </c>
      <c r="M144" s="219" t="str">
        <f t="shared" ca="1" si="33"/>
        <v>P</v>
      </c>
      <c r="N144" s="219" t="str">
        <f t="shared" ca="1" si="33"/>
        <v>P</v>
      </c>
      <c r="O144" s="219" t="str">
        <f t="shared" ca="1" si="33"/>
        <v>P</v>
      </c>
      <c r="P144" s="219" t="str">
        <f t="shared" ca="1" si="33"/>
        <v>P</v>
      </c>
      <c r="Q144" s="219" t="str">
        <f t="shared" ca="1" si="33"/>
        <v>P</v>
      </c>
      <c r="R144" s="219" t="str">
        <f t="shared" ca="1" si="33"/>
        <v>P</v>
      </c>
      <c r="S144" s="219" t="str">
        <f t="shared" ca="1" si="32"/>
        <v>R</v>
      </c>
      <c r="T144" s="219" t="str">
        <f t="shared" ca="1" si="32"/>
        <v>P</v>
      </c>
      <c r="U144" s="219" t="str">
        <f t="shared" ca="1" si="32"/>
        <v>R</v>
      </c>
      <c r="V144" s="219" t="str">
        <f t="shared" ca="1" si="32"/>
        <v>P</v>
      </c>
      <c r="W144" s="219" t="str">
        <f t="shared" ca="1" si="32"/>
        <v>P</v>
      </c>
      <c r="X144" s="219" t="str">
        <f t="shared" ca="1" si="32"/>
        <v>P</v>
      </c>
      <c r="Y144" s="219" t="str">
        <f t="shared" ca="1" si="32"/>
        <v>P</v>
      </c>
      <c r="Z144" s="219" t="str">
        <f t="shared" ca="1" si="32"/>
        <v>P</v>
      </c>
      <c r="AA144" s="219" t="str">
        <f t="shared" ca="1" si="32"/>
        <v>R</v>
      </c>
      <c r="AB144" s="219" t="str">
        <f t="shared" ca="1" si="32"/>
        <v>P</v>
      </c>
      <c r="AC144" s="219" t="str">
        <f t="shared" ca="1" si="32"/>
        <v>P</v>
      </c>
      <c r="AD144" s="219" t="str">
        <f t="shared" ca="1" si="32"/>
        <v>P</v>
      </c>
      <c r="AE144" s="219" t="str">
        <f t="shared" ca="1" si="32"/>
        <v>P</v>
      </c>
      <c r="AF144" s="219" t="str">
        <f t="shared" ca="1" si="32"/>
        <v>P</v>
      </c>
      <c r="AG144" s="219" t="str">
        <f t="shared" ca="1" si="32"/>
        <v>P</v>
      </c>
      <c r="AH144" s="223" t="str">
        <f t="shared" ca="1" si="20"/>
        <v>P</v>
      </c>
      <c r="AI144" s="224">
        <f t="shared" si="31"/>
        <v>31</v>
      </c>
      <c r="AJ144" s="220">
        <f t="shared" ca="1" si="27"/>
        <v>26</v>
      </c>
      <c r="AK144" s="111">
        <f t="shared" ca="1" si="28"/>
        <v>5</v>
      </c>
    </row>
    <row r="145" spans="1:37" x14ac:dyDescent="0.25">
      <c r="A145" s="216">
        <v>1138</v>
      </c>
      <c r="B145" s="217" t="s">
        <v>1141</v>
      </c>
      <c r="C145" s="218" t="s">
        <v>1109</v>
      </c>
      <c r="D145" s="219" t="str">
        <f t="shared" ca="1" si="33"/>
        <v>P</v>
      </c>
      <c r="E145" s="219" t="str">
        <f t="shared" ca="1" si="33"/>
        <v>P</v>
      </c>
      <c r="F145" s="219" t="str">
        <f t="shared" ca="1" si="33"/>
        <v>P</v>
      </c>
      <c r="G145" s="219" t="str">
        <f t="shared" ca="1" si="33"/>
        <v>P</v>
      </c>
      <c r="H145" s="219" t="str">
        <f t="shared" ca="1" si="33"/>
        <v>R</v>
      </c>
      <c r="I145" s="219" t="str">
        <f t="shared" ca="1" si="33"/>
        <v>P</v>
      </c>
      <c r="J145" s="219" t="str">
        <f t="shared" ca="1" si="33"/>
        <v>R</v>
      </c>
      <c r="K145" s="219" t="str">
        <f t="shared" ca="1" si="33"/>
        <v>P</v>
      </c>
      <c r="L145" s="219" t="str">
        <f t="shared" ca="1" si="33"/>
        <v>P</v>
      </c>
      <c r="M145" s="219" t="str">
        <f t="shared" ca="1" si="33"/>
        <v>R</v>
      </c>
      <c r="N145" s="219" t="str">
        <f t="shared" ca="1" si="33"/>
        <v>P</v>
      </c>
      <c r="O145" s="219" t="str">
        <f t="shared" ca="1" si="33"/>
        <v>P</v>
      </c>
      <c r="P145" s="219" t="str">
        <f t="shared" ca="1" si="33"/>
        <v>R</v>
      </c>
      <c r="Q145" s="219" t="str">
        <f t="shared" ca="1" si="33"/>
        <v>R</v>
      </c>
      <c r="R145" s="219" t="str">
        <f t="shared" ca="1" si="33"/>
        <v>P</v>
      </c>
      <c r="S145" s="219" t="str">
        <f t="shared" ca="1" si="32"/>
        <v>P</v>
      </c>
      <c r="T145" s="219" t="str">
        <f t="shared" ca="1" si="32"/>
        <v>P</v>
      </c>
      <c r="U145" s="219" t="str">
        <f t="shared" ca="1" si="32"/>
        <v>P</v>
      </c>
      <c r="V145" s="219" t="str">
        <f t="shared" ca="1" si="32"/>
        <v>P</v>
      </c>
      <c r="W145" s="219" t="str">
        <f t="shared" ca="1" si="32"/>
        <v>P</v>
      </c>
      <c r="X145" s="219" t="str">
        <f t="shared" ca="1" si="32"/>
        <v>P</v>
      </c>
      <c r="Y145" s="219" t="str">
        <f t="shared" ca="1" si="32"/>
        <v>P</v>
      </c>
      <c r="Z145" s="219" t="str">
        <f t="shared" ca="1" si="32"/>
        <v>P</v>
      </c>
      <c r="AA145" s="219" t="str">
        <f t="shared" ca="1" si="32"/>
        <v>P</v>
      </c>
      <c r="AB145" s="219" t="str">
        <f t="shared" ca="1" si="32"/>
        <v>P</v>
      </c>
      <c r="AC145" s="219" t="str">
        <f t="shared" ca="1" si="32"/>
        <v>R</v>
      </c>
      <c r="AD145" s="219" t="str">
        <f t="shared" ca="1" si="32"/>
        <v>P</v>
      </c>
      <c r="AE145" s="219" t="str">
        <f t="shared" ca="1" si="32"/>
        <v>P</v>
      </c>
      <c r="AF145" s="219" t="str">
        <f t="shared" ca="1" si="32"/>
        <v>R</v>
      </c>
      <c r="AG145" s="219" t="str">
        <f t="shared" ca="1" si="32"/>
        <v>P</v>
      </c>
      <c r="AH145" s="223" t="str">
        <f t="shared" ca="1" si="20"/>
        <v>P</v>
      </c>
      <c r="AI145" s="224">
        <f t="shared" si="31"/>
        <v>31</v>
      </c>
      <c r="AJ145" s="220">
        <f t="shared" ca="1" si="27"/>
        <v>24</v>
      </c>
      <c r="AK145" s="111">
        <f t="shared" ca="1" si="28"/>
        <v>7</v>
      </c>
    </row>
    <row r="146" spans="1:37" x14ac:dyDescent="0.25">
      <c r="A146" s="216">
        <v>1139</v>
      </c>
      <c r="B146" s="217" t="s">
        <v>300</v>
      </c>
      <c r="C146" s="218" t="s">
        <v>1104</v>
      </c>
      <c r="D146" s="219" t="str">
        <f t="shared" ca="1" si="33"/>
        <v>P</v>
      </c>
      <c r="E146" s="219" t="str">
        <f t="shared" ca="1" si="33"/>
        <v>P</v>
      </c>
      <c r="F146" s="219" t="str">
        <f t="shared" ca="1" si="33"/>
        <v>P</v>
      </c>
      <c r="G146" s="219" t="str">
        <f t="shared" ca="1" si="33"/>
        <v>P</v>
      </c>
      <c r="H146" s="219" t="str">
        <f t="shared" ca="1" si="33"/>
        <v>P</v>
      </c>
      <c r="I146" s="219" t="str">
        <f t="shared" ca="1" si="33"/>
        <v>P</v>
      </c>
      <c r="J146" s="219" t="str">
        <f t="shared" ca="1" si="33"/>
        <v>P</v>
      </c>
      <c r="K146" s="219" t="str">
        <f t="shared" ca="1" si="33"/>
        <v>P</v>
      </c>
      <c r="L146" s="219" t="str">
        <f t="shared" ca="1" si="33"/>
        <v>R</v>
      </c>
      <c r="M146" s="219" t="str">
        <f t="shared" ca="1" si="33"/>
        <v>P</v>
      </c>
      <c r="N146" s="219" t="str">
        <f t="shared" ca="1" si="33"/>
        <v>R</v>
      </c>
      <c r="O146" s="219" t="str">
        <f t="shared" ca="1" si="33"/>
        <v>R</v>
      </c>
      <c r="P146" s="219" t="str">
        <f t="shared" ca="1" si="33"/>
        <v>P</v>
      </c>
      <c r="Q146" s="219" t="str">
        <f t="shared" ca="1" si="33"/>
        <v>R</v>
      </c>
      <c r="R146" s="219" t="str">
        <f t="shared" ca="1" si="33"/>
        <v>P</v>
      </c>
      <c r="S146" s="219" t="str">
        <f t="shared" ca="1" si="32"/>
        <v>P</v>
      </c>
      <c r="T146" s="219" t="str">
        <f t="shared" ca="1" si="32"/>
        <v>P</v>
      </c>
      <c r="U146" s="219" t="str">
        <f t="shared" ca="1" si="32"/>
        <v>P</v>
      </c>
      <c r="V146" s="219" t="str">
        <f t="shared" ca="1" si="32"/>
        <v>P</v>
      </c>
      <c r="W146" s="219" t="str">
        <f t="shared" ca="1" si="32"/>
        <v>P</v>
      </c>
      <c r="X146" s="219" t="str">
        <f t="shared" ca="1" si="32"/>
        <v>R</v>
      </c>
      <c r="Y146" s="219" t="str">
        <f t="shared" ca="1" si="32"/>
        <v>P</v>
      </c>
      <c r="Z146" s="219" t="str">
        <f t="shared" ca="1" si="32"/>
        <v>R</v>
      </c>
      <c r="AA146" s="219" t="str">
        <f t="shared" ca="1" si="32"/>
        <v>P</v>
      </c>
      <c r="AB146" s="219" t="str">
        <f t="shared" ca="1" si="32"/>
        <v>P</v>
      </c>
      <c r="AC146" s="219" t="str">
        <f t="shared" ca="1" si="32"/>
        <v>R</v>
      </c>
      <c r="AD146" s="219" t="str">
        <f t="shared" ca="1" si="32"/>
        <v>R</v>
      </c>
      <c r="AE146" s="219" t="str">
        <f t="shared" ca="1" si="32"/>
        <v>P</v>
      </c>
      <c r="AF146" s="219" t="str">
        <f t="shared" ca="1" si="32"/>
        <v>P</v>
      </c>
      <c r="AG146" s="219" t="str">
        <f t="shared" ca="1" si="32"/>
        <v>P</v>
      </c>
      <c r="AH146" s="223" t="str">
        <f t="shared" ca="1" si="20"/>
        <v>P</v>
      </c>
      <c r="AI146" s="224">
        <f t="shared" si="31"/>
        <v>31</v>
      </c>
      <c r="AJ146" s="220">
        <f t="shared" ca="1" si="27"/>
        <v>23</v>
      </c>
      <c r="AK146" s="111">
        <f t="shared" ca="1" si="28"/>
        <v>8</v>
      </c>
    </row>
    <row r="147" spans="1:37" x14ac:dyDescent="0.25">
      <c r="A147" s="216">
        <v>1140</v>
      </c>
      <c r="B147" s="217" t="s">
        <v>1142</v>
      </c>
      <c r="C147" s="218" t="s">
        <v>1115</v>
      </c>
      <c r="D147" s="219" t="str">
        <f t="shared" ca="1" si="33"/>
        <v>P</v>
      </c>
      <c r="E147" s="219" t="str">
        <f t="shared" ca="1" si="33"/>
        <v>P</v>
      </c>
      <c r="F147" s="219" t="str">
        <f t="shared" ca="1" si="33"/>
        <v>P</v>
      </c>
      <c r="G147" s="219" t="str">
        <f t="shared" ca="1" si="33"/>
        <v>P</v>
      </c>
      <c r="H147" s="219" t="str">
        <f t="shared" ca="1" si="33"/>
        <v>P</v>
      </c>
      <c r="I147" s="219" t="str">
        <f t="shared" ca="1" si="33"/>
        <v>R</v>
      </c>
      <c r="J147" s="219" t="str">
        <f t="shared" ca="1" si="33"/>
        <v>P</v>
      </c>
      <c r="K147" s="219" t="str">
        <f t="shared" ca="1" si="33"/>
        <v>P</v>
      </c>
      <c r="L147" s="219" t="str">
        <f t="shared" ca="1" si="33"/>
        <v>P</v>
      </c>
      <c r="M147" s="219" t="str">
        <f t="shared" ca="1" si="33"/>
        <v>P</v>
      </c>
      <c r="N147" s="219" t="str">
        <f t="shared" ca="1" si="33"/>
        <v>R</v>
      </c>
      <c r="O147" s="219" t="str">
        <f t="shared" ca="1" si="33"/>
        <v>R</v>
      </c>
      <c r="P147" s="219" t="str">
        <f t="shared" ca="1" si="33"/>
        <v>P</v>
      </c>
      <c r="Q147" s="219" t="str">
        <f t="shared" ca="1" si="33"/>
        <v>P</v>
      </c>
      <c r="R147" s="219" t="str">
        <f t="shared" ca="1" si="33"/>
        <v>P</v>
      </c>
      <c r="S147" s="219" t="str">
        <f t="shared" ca="1" si="32"/>
        <v>P</v>
      </c>
      <c r="T147" s="219" t="str">
        <f t="shared" ca="1" si="32"/>
        <v>P</v>
      </c>
      <c r="U147" s="219" t="str">
        <f t="shared" ca="1" si="32"/>
        <v>P</v>
      </c>
      <c r="V147" s="219" t="str">
        <f t="shared" ca="1" si="32"/>
        <v>P</v>
      </c>
      <c r="W147" s="219" t="str">
        <f t="shared" ca="1" si="32"/>
        <v>P</v>
      </c>
      <c r="X147" s="219" t="str">
        <f t="shared" ca="1" si="32"/>
        <v>P</v>
      </c>
      <c r="Y147" s="219" t="str">
        <f t="shared" ca="1" si="32"/>
        <v>P</v>
      </c>
      <c r="Z147" s="219" t="str">
        <f t="shared" ca="1" si="32"/>
        <v>P</v>
      </c>
      <c r="AA147" s="219" t="str">
        <f t="shared" ca="1" si="32"/>
        <v>P</v>
      </c>
      <c r="AB147" s="219" t="str">
        <f t="shared" ca="1" si="32"/>
        <v>P</v>
      </c>
      <c r="AC147" s="219" t="str">
        <f t="shared" ca="1" si="32"/>
        <v>P</v>
      </c>
      <c r="AD147" s="219" t="str">
        <f t="shared" ca="1" si="32"/>
        <v>P</v>
      </c>
      <c r="AE147" s="219" t="str">
        <f t="shared" ca="1" si="32"/>
        <v>R</v>
      </c>
      <c r="AF147" s="219" t="str">
        <f t="shared" ca="1" si="32"/>
        <v>R</v>
      </c>
      <c r="AG147" s="219" t="str">
        <f t="shared" ca="1" si="32"/>
        <v>P</v>
      </c>
      <c r="AH147" s="223" t="str">
        <f t="shared" ca="1" si="20"/>
        <v>P</v>
      </c>
      <c r="AI147" s="224">
        <f t="shared" si="31"/>
        <v>31</v>
      </c>
      <c r="AJ147" s="220">
        <f t="shared" ca="1" si="27"/>
        <v>26</v>
      </c>
      <c r="AK147" s="111">
        <f t="shared" ca="1" si="28"/>
        <v>5</v>
      </c>
    </row>
    <row r="148" spans="1:37" x14ac:dyDescent="0.25">
      <c r="A148" s="216">
        <v>1141</v>
      </c>
      <c r="B148" s="217" t="s">
        <v>288</v>
      </c>
      <c r="C148" s="218" t="s">
        <v>1112</v>
      </c>
      <c r="D148" s="219" t="str">
        <f t="shared" ca="1" si="33"/>
        <v>R</v>
      </c>
      <c r="E148" s="219" t="str">
        <f t="shared" ca="1" si="33"/>
        <v>R</v>
      </c>
      <c r="F148" s="219" t="str">
        <f t="shared" ca="1" si="33"/>
        <v>P</v>
      </c>
      <c r="G148" s="219" t="str">
        <f t="shared" ca="1" si="33"/>
        <v>P</v>
      </c>
      <c r="H148" s="219" t="str">
        <f t="shared" ca="1" si="33"/>
        <v>P</v>
      </c>
      <c r="I148" s="219" t="str">
        <f t="shared" ca="1" si="33"/>
        <v>P</v>
      </c>
      <c r="J148" s="219" t="str">
        <f t="shared" ca="1" si="33"/>
        <v>P</v>
      </c>
      <c r="K148" s="219" t="str">
        <f t="shared" ca="1" si="33"/>
        <v>P</v>
      </c>
      <c r="L148" s="219" t="str">
        <f t="shared" ca="1" si="33"/>
        <v>P</v>
      </c>
      <c r="M148" s="219" t="str">
        <f t="shared" ca="1" si="33"/>
        <v>P</v>
      </c>
      <c r="N148" s="219" t="str">
        <f t="shared" ca="1" si="33"/>
        <v>R</v>
      </c>
      <c r="O148" s="219" t="str">
        <f t="shared" ca="1" si="33"/>
        <v>P</v>
      </c>
      <c r="P148" s="219" t="str">
        <f t="shared" ca="1" si="33"/>
        <v>P</v>
      </c>
      <c r="Q148" s="219" t="str">
        <f t="shared" ca="1" si="33"/>
        <v>P</v>
      </c>
      <c r="R148" s="219" t="str">
        <f t="shared" ca="1" si="33"/>
        <v>R</v>
      </c>
      <c r="S148" s="219" t="str">
        <f t="shared" ca="1" si="32"/>
        <v>P</v>
      </c>
      <c r="T148" s="219" t="str">
        <f t="shared" ca="1" si="32"/>
        <v>R</v>
      </c>
      <c r="U148" s="219" t="str">
        <f t="shared" ca="1" si="32"/>
        <v>R</v>
      </c>
      <c r="V148" s="219" t="str">
        <f t="shared" ca="1" si="32"/>
        <v>P</v>
      </c>
      <c r="W148" s="219" t="str">
        <f t="shared" ca="1" si="32"/>
        <v>P</v>
      </c>
      <c r="X148" s="219" t="str">
        <f t="shared" ca="1" si="32"/>
        <v>P</v>
      </c>
      <c r="Y148" s="219" t="str">
        <f t="shared" ca="1" si="32"/>
        <v>R</v>
      </c>
      <c r="Z148" s="219" t="str">
        <f t="shared" ca="1" si="32"/>
        <v>R</v>
      </c>
      <c r="AA148" s="219" t="str">
        <f t="shared" ca="1" si="32"/>
        <v>P</v>
      </c>
      <c r="AB148" s="219" t="str">
        <f t="shared" ca="1" si="32"/>
        <v>P</v>
      </c>
      <c r="AC148" s="219" t="str">
        <f t="shared" ca="1" si="32"/>
        <v>P</v>
      </c>
      <c r="AD148" s="219" t="str">
        <f t="shared" ca="1" si="32"/>
        <v>R</v>
      </c>
      <c r="AE148" s="219" t="str">
        <f t="shared" ca="1" si="32"/>
        <v>R</v>
      </c>
      <c r="AF148" s="219" t="str">
        <f t="shared" ca="1" si="32"/>
        <v>P</v>
      </c>
      <c r="AG148" s="219" t="str">
        <f t="shared" ca="1" si="32"/>
        <v>P</v>
      </c>
      <c r="AH148" s="223" t="str">
        <f t="shared" ca="1" si="20"/>
        <v>P</v>
      </c>
      <c r="AI148" s="224">
        <f t="shared" si="31"/>
        <v>31</v>
      </c>
      <c r="AJ148" s="220">
        <f t="shared" ca="1" si="27"/>
        <v>21</v>
      </c>
      <c r="AK148" s="111">
        <f t="shared" ca="1" si="28"/>
        <v>10</v>
      </c>
    </row>
    <row r="149" spans="1:37" x14ac:dyDescent="0.25">
      <c r="A149" s="216">
        <v>1142</v>
      </c>
      <c r="B149" s="217" t="s">
        <v>1143</v>
      </c>
      <c r="C149" s="218" t="s">
        <v>1114</v>
      </c>
      <c r="D149" s="219" t="str">
        <f t="shared" ca="1" si="33"/>
        <v>P</v>
      </c>
      <c r="E149" s="219" t="str">
        <f t="shared" ca="1" si="33"/>
        <v>P</v>
      </c>
      <c r="F149" s="219" t="str">
        <f t="shared" ca="1" si="33"/>
        <v>P</v>
      </c>
      <c r="G149" s="219" t="str">
        <f t="shared" ca="1" si="33"/>
        <v>P</v>
      </c>
      <c r="H149" s="219" t="str">
        <f t="shared" ca="1" si="33"/>
        <v>P</v>
      </c>
      <c r="I149" s="219" t="str">
        <f t="shared" ca="1" si="33"/>
        <v>P</v>
      </c>
      <c r="J149" s="219" t="str">
        <f t="shared" ca="1" si="33"/>
        <v>R</v>
      </c>
      <c r="K149" s="219" t="str">
        <f t="shared" ca="1" si="33"/>
        <v>P</v>
      </c>
      <c r="L149" s="219" t="str">
        <f t="shared" ca="1" si="33"/>
        <v>R</v>
      </c>
      <c r="M149" s="219" t="str">
        <f t="shared" ca="1" si="33"/>
        <v>P</v>
      </c>
      <c r="N149" s="219" t="str">
        <f t="shared" ca="1" si="33"/>
        <v>P</v>
      </c>
      <c r="O149" s="219" t="str">
        <f t="shared" ca="1" si="33"/>
        <v>P</v>
      </c>
      <c r="P149" s="219" t="str">
        <f t="shared" ca="1" si="33"/>
        <v>P</v>
      </c>
      <c r="Q149" s="219" t="str">
        <f t="shared" ca="1" si="33"/>
        <v>P</v>
      </c>
      <c r="R149" s="219" t="str">
        <f t="shared" ca="1" si="33"/>
        <v>P</v>
      </c>
      <c r="S149" s="219" t="str">
        <f t="shared" ca="1" si="32"/>
        <v>P</v>
      </c>
      <c r="T149" s="219" t="str">
        <f t="shared" ca="1" si="32"/>
        <v>P</v>
      </c>
      <c r="U149" s="219" t="str">
        <f t="shared" ca="1" si="32"/>
        <v>P</v>
      </c>
      <c r="V149" s="219" t="str">
        <f t="shared" ca="1" si="32"/>
        <v>P</v>
      </c>
      <c r="W149" s="219" t="str">
        <f t="shared" ca="1" si="32"/>
        <v>P</v>
      </c>
      <c r="X149" s="219" t="str">
        <f t="shared" ca="1" si="32"/>
        <v>P</v>
      </c>
      <c r="Y149" s="219" t="str">
        <f t="shared" ca="1" si="32"/>
        <v>P</v>
      </c>
      <c r="Z149" s="219" t="str">
        <f t="shared" ca="1" si="32"/>
        <v>P</v>
      </c>
      <c r="AA149" s="219" t="str">
        <f t="shared" ca="1" si="32"/>
        <v>P</v>
      </c>
      <c r="AB149" s="219" t="str">
        <f t="shared" ca="1" si="32"/>
        <v>R</v>
      </c>
      <c r="AC149" s="219" t="str">
        <f t="shared" ca="1" si="32"/>
        <v>P</v>
      </c>
      <c r="AD149" s="219" t="str">
        <f t="shared" ca="1" si="32"/>
        <v>R</v>
      </c>
      <c r="AE149" s="219" t="str">
        <f t="shared" ca="1" si="32"/>
        <v>P</v>
      </c>
      <c r="AF149" s="219" t="str">
        <f t="shared" ca="1" si="32"/>
        <v>R</v>
      </c>
      <c r="AG149" s="219" t="str">
        <f t="shared" ca="1" si="32"/>
        <v>R</v>
      </c>
      <c r="AH149" s="223" t="str">
        <f t="shared" ca="1" si="20"/>
        <v>P</v>
      </c>
      <c r="AI149" s="224">
        <f t="shared" si="31"/>
        <v>31</v>
      </c>
      <c r="AJ149" s="220">
        <f t="shared" ca="1" si="27"/>
        <v>25</v>
      </c>
      <c r="AK149" s="111">
        <f t="shared" ca="1" si="28"/>
        <v>6</v>
      </c>
    </row>
    <row r="150" spans="1:37" x14ac:dyDescent="0.25">
      <c r="A150" s="216">
        <v>1143</v>
      </c>
      <c r="B150" s="217" t="s">
        <v>306</v>
      </c>
      <c r="C150" s="218" t="s">
        <v>1113</v>
      </c>
      <c r="D150" s="219" t="str">
        <f t="shared" ca="1" si="33"/>
        <v>P</v>
      </c>
      <c r="E150" s="219" t="str">
        <f t="shared" ca="1" si="33"/>
        <v>R</v>
      </c>
      <c r="F150" s="219" t="str">
        <f t="shared" ca="1" si="33"/>
        <v>P</v>
      </c>
      <c r="G150" s="219" t="str">
        <f t="shared" ca="1" si="33"/>
        <v>R</v>
      </c>
      <c r="H150" s="219" t="str">
        <f t="shared" ca="1" si="33"/>
        <v>P</v>
      </c>
      <c r="I150" s="219" t="str">
        <f t="shared" ca="1" si="33"/>
        <v>P</v>
      </c>
      <c r="J150" s="219" t="str">
        <f t="shared" ca="1" si="33"/>
        <v>P</v>
      </c>
      <c r="K150" s="219" t="str">
        <f t="shared" ca="1" si="33"/>
        <v>P</v>
      </c>
      <c r="L150" s="219" t="str">
        <f t="shared" ca="1" si="33"/>
        <v>P</v>
      </c>
      <c r="M150" s="219" t="str">
        <f t="shared" ca="1" si="33"/>
        <v>P</v>
      </c>
      <c r="N150" s="219" t="str">
        <f t="shared" ca="1" si="33"/>
        <v>P</v>
      </c>
      <c r="O150" s="219" t="str">
        <f t="shared" ca="1" si="33"/>
        <v>P</v>
      </c>
      <c r="P150" s="219" t="str">
        <f t="shared" ca="1" si="33"/>
        <v>R</v>
      </c>
      <c r="Q150" s="219" t="str">
        <f t="shared" ca="1" si="33"/>
        <v>P</v>
      </c>
      <c r="R150" s="219" t="str">
        <f t="shared" ca="1" si="33"/>
        <v>P</v>
      </c>
      <c r="S150" s="219" t="str">
        <f t="shared" ca="1" si="32"/>
        <v>R</v>
      </c>
      <c r="T150" s="219" t="str">
        <f t="shared" ca="1" si="32"/>
        <v>P</v>
      </c>
      <c r="U150" s="219" t="str">
        <f t="shared" ca="1" si="32"/>
        <v>R</v>
      </c>
      <c r="V150" s="219" t="str">
        <f t="shared" ca="1" si="32"/>
        <v>P</v>
      </c>
      <c r="W150" s="219" t="str">
        <f t="shared" ca="1" si="32"/>
        <v>P</v>
      </c>
      <c r="X150" s="219" t="str">
        <f t="shared" ca="1" si="32"/>
        <v>P</v>
      </c>
      <c r="Y150" s="219" t="str">
        <f t="shared" ca="1" si="32"/>
        <v>P</v>
      </c>
      <c r="Z150" s="219" t="str">
        <f t="shared" ca="1" si="32"/>
        <v>R</v>
      </c>
      <c r="AA150" s="219" t="str">
        <f t="shared" ca="1" si="32"/>
        <v>P</v>
      </c>
      <c r="AB150" s="219" t="str">
        <f t="shared" ca="1" si="32"/>
        <v>P</v>
      </c>
      <c r="AC150" s="219" t="str">
        <f t="shared" ca="1" si="32"/>
        <v>P</v>
      </c>
      <c r="AD150" s="219" t="str">
        <f t="shared" ca="1" si="32"/>
        <v>P</v>
      </c>
      <c r="AE150" s="219" t="str">
        <f t="shared" ca="1" si="32"/>
        <v>P</v>
      </c>
      <c r="AF150" s="219" t="str">
        <f t="shared" ca="1" si="32"/>
        <v>P</v>
      </c>
      <c r="AG150" s="219" t="str">
        <f t="shared" ca="1" si="32"/>
        <v>P</v>
      </c>
      <c r="AH150" s="223" t="str">
        <f t="shared" ca="1" si="32"/>
        <v>P</v>
      </c>
      <c r="AI150" s="224">
        <f t="shared" si="31"/>
        <v>31</v>
      </c>
      <c r="AJ150" s="220">
        <f t="shared" ca="1" si="27"/>
        <v>25</v>
      </c>
      <c r="AK150" s="111">
        <f t="shared" ca="1" si="28"/>
        <v>6</v>
      </c>
    </row>
    <row r="151" spans="1:37" x14ac:dyDescent="0.25">
      <c r="A151" s="216">
        <v>1144</v>
      </c>
      <c r="B151" s="217" t="s">
        <v>1144</v>
      </c>
      <c r="C151" s="218" t="s">
        <v>1103</v>
      </c>
      <c r="D151" s="219" t="str">
        <f t="shared" ca="1" si="33"/>
        <v>R</v>
      </c>
      <c r="E151" s="219" t="str">
        <f t="shared" ca="1" si="33"/>
        <v>R</v>
      </c>
      <c r="F151" s="219" t="str">
        <f t="shared" ca="1" si="33"/>
        <v>P</v>
      </c>
      <c r="G151" s="219" t="str">
        <f t="shared" ca="1" si="33"/>
        <v>P</v>
      </c>
      <c r="H151" s="219" t="str">
        <f t="shared" ca="1" si="33"/>
        <v>P</v>
      </c>
      <c r="I151" s="219" t="str">
        <f t="shared" ca="1" si="33"/>
        <v>P</v>
      </c>
      <c r="J151" s="219" t="str">
        <f t="shared" ca="1" si="33"/>
        <v>P</v>
      </c>
      <c r="K151" s="219" t="str">
        <f t="shared" ca="1" si="33"/>
        <v>P</v>
      </c>
      <c r="L151" s="219" t="str">
        <f t="shared" ca="1" si="33"/>
        <v>P</v>
      </c>
      <c r="M151" s="219" t="str">
        <f t="shared" ca="1" si="33"/>
        <v>P</v>
      </c>
      <c r="N151" s="219" t="str">
        <f t="shared" ca="1" si="33"/>
        <v>R</v>
      </c>
      <c r="O151" s="219" t="str">
        <f t="shared" ca="1" si="33"/>
        <v>P</v>
      </c>
      <c r="P151" s="219" t="str">
        <f t="shared" ca="1" si="33"/>
        <v>P</v>
      </c>
      <c r="Q151" s="219" t="str">
        <f t="shared" ca="1" si="33"/>
        <v>P</v>
      </c>
      <c r="R151" s="219" t="str">
        <f t="shared" ca="1" si="33"/>
        <v>R</v>
      </c>
      <c r="S151" s="219" t="str">
        <f t="shared" ca="1" si="32"/>
        <v>P</v>
      </c>
      <c r="T151" s="219" t="str">
        <f t="shared" ca="1" si="32"/>
        <v>P</v>
      </c>
      <c r="U151" s="219" t="str">
        <f t="shared" ca="1" si="32"/>
        <v>P</v>
      </c>
      <c r="V151" s="219" t="str">
        <f t="shared" ca="1" si="32"/>
        <v>P</v>
      </c>
      <c r="W151" s="219" t="str">
        <f t="shared" ca="1" si="32"/>
        <v>P</v>
      </c>
      <c r="X151" s="219" t="str">
        <f t="shared" ca="1" si="32"/>
        <v>P</v>
      </c>
      <c r="Y151" s="219" t="str">
        <f t="shared" ca="1" si="32"/>
        <v>P</v>
      </c>
      <c r="Z151" s="219" t="str">
        <f t="shared" ca="1" si="32"/>
        <v>P</v>
      </c>
      <c r="AA151" s="219" t="str">
        <f t="shared" ca="1" si="32"/>
        <v>R</v>
      </c>
      <c r="AB151" s="219" t="str">
        <f t="shared" ca="1" si="32"/>
        <v>P</v>
      </c>
      <c r="AC151" s="219" t="str">
        <f t="shared" ca="1" si="32"/>
        <v>P</v>
      </c>
      <c r="AD151" s="219" t="str">
        <f t="shared" ca="1" si="32"/>
        <v>P</v>
      </c>
      <c r="AE151" s="219" t="str">
        <f t="shared" ca="1" si="32"/>
        <v>P</v>
      </c>
      <c r="AF151" s="219" t="str">
        <f t="shared" ca="1" si="32"/>
        <v>P</v>
      </c>
      <c r="AG151" s="219" t="str">
        <f t="shared" ca="1" si="32"/>
        <v>P</v>
      </c>
      <c r="AH151" s="223" t="str">
        <f t="shared" ca="1" si="32"/>
        <v>R</v>
      </c>
      <c r="AI151" s="224">
        <f t="shared" si="31"/>
        <v>31</v>
      </c>
      <c r="AJ151" s="220">
        <f t="shared" ca="1" si="27"/>
        <v>25</v>
      </c>
      <c r="AK151" s="111">
        <f t="shared" ca="1" si="28"/>
        <v>6</v>
      </c>
    </row>
    <row r="152" spans="1:37" x14ac:dyDescent="0.25">
      <c r="A152" s="216">
        <v>1145</v>
      </c>
      <c r="B152" s="217" t="s">
        <v>166</v>
      </c>
      <c r="C152" s="218" t="s">
        <v>1111</v>
      </c>
      <c r="D152" s="219" t="str">
        <f t="shared" ca="1" si="33"/>
        <v>P</v>
      </c>
      <c r="E152" s="219" t="str">
        <f t="shared" ca="1" si="33"/>
        <v>P</v>
      </c>
      <c r="F152" s="219" t="str">
        <f t="shared" ca="1" si="33"/>
        <v>P</v>
      </c>
      <c r="G152" s="219" t="str">
        <f t="shared" ca="1" si="33"/>
        <v>P</v>
      </c>
      <c r="H152" s="219" t="str">
        <f t="shared" ca="1" si="33"/>
        <v>P</v>
      </c>
      <c r="I152" s="219" t="str">
        <f t="shared" ca="1" si="33"/>
        <v>R</v>
      </c>
      <c r="J152" s="219" t="str">
        <f t="shared" ca="1" si="33"/>
        <v>P</v>
      </c>
      <c r="K152" s="219" t="str">
        <f t="shared" ca="1" si="33"/>
        <v>P</v>
      </c>
      <c r="L152" s="219" t="str">
        <f t="shared" ca="1" si="33"/>
        <v>R</v>
      </c>
      <c r="M152" s="219" t="str">
        <f t="shared" ca="1" si="33"/>
        <v>P</v>
      </c>
      <c r="N152" s="219" t="str">
        <f t="shared" ca="1" si="33"/>
        <v>P</v>
      </c>
      <c r="O152" s="219" t="str">
        <f t="shared" ca="1" si="33"/>
        <v>P</v>
      </c>
      <c r="P152" s="219" t="str">
        <f t="shared" ca="1" si="33"/>
        <v>P</v>
      </c>
      <c r="Q152" s="219" t="str">
        <f t="shared" ca="1" si="33"/>
        <v>P</v>
      </c>
      <c r="R152" s="219" t="str">
        <f t="shared" ca="1" si="33"/>
        <v>P</v>
      </c>
      <c r="S152" s="219" t="str">
        <f t="shared" ca="1" si="32"/>
        <v>P</v>
      </c>
      <c r="T152" s="219" t="str">
        <f t="shared" ca="1" si="32"/>
        <v>P</v>
      </c>
      <c r="U152" s="219" t="str">
        <f t="shared" ca="1" si="32"/>
        <v>P</v>
      </c>
      <c r="V152" s="219" t="str">
        <f t="shared" ca="1" si="32"/>
        <v>R</v>
      </c>
      <c r="W152" s="219" t="str">
        <f t="shared" ca="1" si="32"/>
        <v>P</v>
      </c>
      <c r="X152" s="219" t="str">
        <f t="shared" ca="1" si="32"/>
        <v>R</v>
      </c>
      <c r="Y152" s="219" t="str">
        <f t="shared" ca="1" si="32"/>
        <v>P</v>
      </c>
      <c r="Z152" s="219" t="str">
        <f t="shared" ca="1" si="32"/>
        <v>P</v>
      </c>
      <c r="AA152" s="219" t="str">
        <f t="shared" ca="1" si="32"/>
        <v>P</v>
      </c>
      <c r="AB152" s="219" t="str">
        <f t="shared" ca="1" si="32"/>
        <v>P</v>
      </c>
      <c r="AC152" s="219" t="str">
        <f t="shared" ca="1" si="32"/>
        <v>R</v>
      </c>
      <c r="AD152" s="219" t="str">
        <f t="shared" ca="1" si="32"/>
        <v>P</v>
      </c>
      <c r="AE152" s="219" t="str">
        <f t="shared" ca="1" si="32"/>
        <v>P</v>
      </c>
      <c r="AF152" s="219" t="str">
        <f t="shared" ca="1" si="32"/>
        <v>P</v>
      </c>
      <c r="AG152" s="219" t="str">
        <f t="shared" ref="S152:AH167" ca="1" si="34">IF(AG$6="","",IF(RAND()&lt;0.8,"P","R"))</f>
        <v>P</v>
      </c>
      <c r="AH152" s="223" t="str">
        <f t="shared" ca="1" si="34"/>
        <v>P</v>
      </c>
      <c r="AI152" s="224">
        <f t="shared" si="31"/>
        <v>31</v>
      </c>
      <c r="AJ152" s="220">
        <f t="shared" ca="1" si="27"/>
        <v>26</v>
      </c>
      <c r="AK152" s="111">
        <f t="shared" ca="1" si="28"/>
        <v>5</v>
      </c>
    </row>
    <row r="153" spans="1:37" x14ac:dyDescent="0.25">
      <c r="A153" s="216">
        <v>1146</v>
      </c>
      <c r="B153" s="217" t="s">
        <v>1145</v>
      </c>
      <c r="C153" s="218" t="s">
        <v>1101</v>
      </c>
      <c r="D153" s="219" t="str">
        <f t="shared" ca="1" si="33"/>
        <v>P</v>
      </c>
      <c r="E153" s="219" t="str">
        <f t="shared" ca="1" si="33"/>
        <v>P</v>
      </c>
      <c r="F153" s="219" t="str">
        <f t="shared" ca="1" si="33"/>
        <v>P</v>
      </c>
      <c r="G153" s="219" t="str">
        <f t="shared" ca="1" si="33"/>
        <v>P</v>
      </c>
      <c r="H153" s="219" t="str">
        <f t="shared" ca="1" si="33"/>
        <v>P</v>
      </c>
      <c r="I153" s="219" t="str">
        <f t="shared" ca="1" si="33"/>
        <v>P</v>
      </c>
      <c r="J153" s="219" t="str">
        <f t="shared" ca="1" si="33"/>
        <v>P</v>
      </c>
      <c r="K153" s="219" t="str">
        <f t="shared" ca="1" si="33"/>
        <v>P</v>
      </c>
      <c r="L153" s="219" t="str">
        <f t="shared" ca="1" si="33"/>
        <v>P</v>
      </c>
      <c r="M153" s="219" t="str">
        <f t="shared" ca="1" si="33"/>
        <v>P</v>
      </c>
      <c r="N153" s="219" t="str">
        <f t="shared" ca="1" si="33"/>
        <v>R</v>
      </c>
      <c r="O153" s="219" t="str">
        <f t="shared" ca="1" si="33"/>
        <v>P</v>
      </c>
      <c r="P153" s="219" t="str">
        <f t="shared" ca="1" si="33"/>
        <v>P</v>
      </c>
      <c r="Q153" s="219" t="str">
        <f t="shared" ca="1" si="33"/>
        <v>R</v>
      </c>
      <c r="R153" s="219" t="str">
        <f t="shared" ca="1" si="33"/>
        <v>R</v>
      </c>
      <c r="S153" s="219" t="str">
        <f t="shared" ca="1" si="34"/>
        <v>P</v>
      </c>
      <c r="T153" s="219" t="str">
        <f t="shared" ca="1" si="34"/>
        <v>P</v>
      </c>
      <c r="U153" s="219" t="str">
        <f t="shared" ca="1" si="34"/>
        <v>P</v>
      </c>
      <c r="V153" s="219" t="str">
        <f t="shared" ca="1" si="34"/>
        <v>P</v>
      </c>
      <c r="W153" s="219" t="str">
        <f t="shared" ca="1" si="34"/>
        <v>P</v>
      </c>
      <c r="X153" s="219" t="str">
        <f t="shared" ca="1" si="34"/>
        <v>P</v>
      </c>
      <c r="Y153" s="219" t="str">
        <f t="shared" ca="1" si="34"/>
        <v>P</v>
      </c>
      <c r="Z153" s="219" t="str">
        <f t="shared" ca="1" si="34"/>
        <v>R</v>
      </c>
      <c r="AA153" s="219" t="str">
        <f t="shared" ca="1" si="34"/>
        <v>P</v>
      </c>
      <c r="AB153" s="219" t="str">
        <f t="shared" ca="1" si="34"/>
        <v>R</v>
      </c>
      <c r="AC153" s="219" t="str">
        <f t="shared" ca="1" si="34"/>
        <v>P</v>
      </c>
      <c r="AD153" s="219" t="str">
        <f t="shared" ca="1" si="34"/>
        <v>P</v>
      </c>
      <c r="AE153" s="219" t="str">
        <f t="shared" ca="1" si="34"/>
        <v>P</v>
      </c>
      <c r="AF153" s="219" t="str">
        <f t="shared" ca="1" si="34"/>
        <v>R</v>
      </c>
      <c r="AG153" s="219" t="str">
        <f t="shared" ca="1" si="34"/>
        <v>P</v>
      </c>
      <c r="AH153" s="223" t="str">
        <f t="shared" ca="1" si="34"/>
        <v>P</v>
      </c>
      <c r="AI153" s="224">
        <f t="shared" si="31"/>
        <v>31</v>
      </c>
      <c r="AJ153" s="220">
        <f t="shared" ca="1" si="27"/>
        <v>25</v>
      </c>
      <c r="AK153" s="111">
        <f t="shared" ca="1" si="28"/>
        <v>6</v>
      </c>
    </row>
    <row r="154" spans="1:37" x14ac:dyDescent="0.25">
      <c r="A154" s="216">
        <v>1147</v>
      </c>
      <c r="B154" s="217" t="s">
        <v>1146</v>
      </c>
      <c r="C154" s="218" t="s">
        <v>1108</v>
      </c>
      <c r="D154" s="219" t="str">
        <f t="shared" ref="D154:S169" ca="1" si="35">IF(D$6="","",IF(RAND()&lt;0.8,"P","R"))</f>
        <v>P</v>
      </c>
      <c r="E154" s="219" t="str">
        <f t="shared" ca="1" si="35"/>
        <v>P</v>
      </c>
      <c r="F154" s="219" t="str">
        <f t="shared" ca="1" si="35"/>
        <v>R</v>
      </c>
      <c r="G154" s="219" t="str">
        <f t="shared" ca="1" si="35"/>
        <v>P</v>
      </c>
      <c r="H154" s="219" t="str">
        <f t="shared" ca="1" si="35"/>
        <v>P</v>
      </c>
      <c r="I154" s="219" t="str">
        <f t="shared" ca="1" si="35"/>
        <v>P</v>
      </c>
      <c r="J154" s="219" t="str">
        <f t="shared" ca="1" si="35"/>
        <v>P</v>
      </c>
      <c r="K154" s="219" t="str">
        <f t="shared" ca="1" si="35"/>
        <v>P</v>
      </c>
      <c r="L154" s="219" t="str">
        <f t="shared" ca="1" si="35"/>
        <v>R</v>
      </c>
      <c r="M154" s="219" t="str">
        <f t="shared" ca="1" si="35"/>
        <v>P</v>
      </c>
      <c r="N154" s="219" t="str">
        <f t="shared" ca="1" si="35"/>
        <v>R</v>
      </c>
      <c r="O154" s="219" t="str">
        <f t="shared" ca="1" si="35"/>
        <v>P</v>
      </c>
      <c r="P154" s="219" t="str">
        <f t="shared" ca="1" si="35"/>
        <v>P</v>
      </c>
      <c r="Q154" s="219" t="str">
        <f t="shared" ca="1" si="35"/>
        <v>R</v>
      </c>
      <c r="R154" s="219" t="str">
        <f t="shared" ca="1" si="35"/>
        <v>P</v>
      </c>
      <c r="S154" s="219" t="str">
        <f t="shared" ca="1" si="34"/>
        <v>P</v>
      </c>
      <c r="T154" s="219" t="str">
        <f t="shared" ca="1" si="34"/>
        <v>P</v>
      </c>
      <c r="U154" s="219" t="str">
        <f t="shared" ca="1" si="34"/>
        <v>P</v>
      </c>
      <c r="V154" s="219" t="str">
        <f t="shared" ca="1" si="34"/>
        <v>R</v>
      </c>
      <c r="W154" s="219" t="str">
        <f t="shared" ca="1" si="34"/>
        <v>P</v>
      </c>
      <c r="X154" s="219" t="str">
        <f t="shared" ca="1" si="34"/>
        <v>R</v>
      </c>
      <c r="Y154" s="219" t="str">
        <f t="shared" ca="1" si="34"/>
        <v>P</v>
      </c>
      <c r="Z154" s="219" t="str">
        <f t="shared" ca="1" si="34"/>
        <v>P</v>
      </c>
      <c r="AA154" s="219" t="str">
        <f t="shared" ca="1" si="34"/>
        <v>P</v>
      </c>
      <c r="AB154" s="219" t="str">
        <f t="shared" ca="1" si="34"/>
        <v>R</v>
      </c>
      <c r="AC154" s="219" t="str">
        <f t="shared" ca="1" si="34"/>
        <v>P</v>
      </c>
      <c r="AD154" s="219" t="str">
        <f t="shared" ca="1" si="34"/>
        <v>R</v>
      </c>
      <c r="AE154" s="219" t="str">
        <f t="shared" ca="1" si="34"/>
        <v>P</v>
      </c>
      <c r="AF154" s="219" t="str">
        <f t="shared" ca="1" si="34"/>
        <v>P</v>
      </c>
      <c r="AG154" s="219" t="str">
        <f t="shared" ca="1" si="34"/>
        <v>R</v>
      </c>
      <c r="AH154" s="223" t="str">
        <f t="shared" ca="1" si="34"/>
        <v>P</v>
      </c>
      <c r="AI154" s="224">
        <f t="shared" si="31"/>
        <v>31</v>
      </c>
      <c r="AJ154" s="220">
        <f t="shared" ca="1" si="27"/>
        <v>22</v>
      </c>
      <c r="AK154" s="111">
        <f t="shared" ca="1" si="28"/>
        <v>9</v>
      </c>
    </row>
    <row r="155" spans="1:37" x14ac:dyDescent="0.25">
      <c r="A155" s="216">
        <v>1148</v>
      </c>
      <c r="B155" s="217" t="s">
        <v>1147</v>
      </c>
      <c r="C155" s="218" t="s">
        <v>1106</v>
      </c>
      <c r="D155" s="219" t="str">
        <f t="shared" ca="1" si="35"/>
        <v>R</v>
      </c>
      <c r="E155" s="219" t="str">
        <f t="shared" ca="1" si="35"/>
        <v>R</v>
      </c>
      <c r="F155" s="219" t="str">
        <f t="shared" ca="1" si="35"/>
        <v>R</v>
      </c>
      <c r="G155" s="219" t="str">
        <f t="shared" ca="1" si="35"/>
        <v>P</v>
      </c>
      <c r="H155" s="219" t="str">
        <f t="shared" ca="1" si="35"/>
        <v>P</v>
      </c>
      <c r="I155" s="219" t="str">
        <f t="shared" ca="1" si="35"/>
        <v>P</v>
      </c>
      <c r="J155" s="219" t="str">
        <f t="shared" ca="1" si="35"/>
        <v>P</v>
      </c>
      <c r="K155" s="219" t="str">
        <f t="shared" ca="1" si="35"/>
        <v>P</v>
      </c>
      <c r="L155" s="219" t="str">
        <f t="shared" ca="1" si="35"/>
        <v>P</v>
      </c>
      <c r="M155" s="219" t="str">
        <f t="shared" ca="1" si="35"/>
        <v>P</v>
      </c>
      <c r="N155" s="219" t="str">
        <f t="shared" ca="1" si="35"/>
        <v>P</v>
      </c>
      <c r="O155" s="219" t="str">
        <f t="shared" ca="1" si="35"/>
        <v>R</v>
      </c>
      <c r="P155" s="219" t="str">
        <f t="shared" ca="1" si="35"/>
        <v>P</v>
      </c>
      <c r="Q155" s="219" t="str">
        <f t="shared" ca="1" si="35"/>
        <v>P</v>
      </c>
      <c r="R155" s="219" t="str">
        <f t="shared" ca="1" si="35"/>
        <v>P</v>
      </c>
      <c r="S155" s="219" t="str">
        <f t="shared" ca="1" si="34"/>
        <v>R</v>
      </c>
      <c r="T155" s="219" t="str">
        <f t="shared" ca="1" si="34"/>
        <v>R</v>
      </c>
      <c r="U155" s="219" t="str">
        <f t="shared" ca="1" si="34"/>
        <v>P</v>
      </c>
      <c r="V155" s="219" t="str">
        <f t="shared" ca="1" si="34"/>
        <v>P</v>
      </c>
      <c r="W155" s="219" t="str">
        <f t="shared" ca="1" si="34"/>
        <v>R</v>
      </c>
      <c r="X155" s="219" t="str">
        <f t="shared" ca="1" si="34"/>
        <v>P</v>
      </c>
      <c r="Y155" s="219" t="str">
        <f t="shared" ca="1" si="34"/>
        <v>P</v>
      </c>
      <c r="Z155" s="219" t="str">
        <f t="shared" ca="1" si="34"/>
        <v>P</v>
      </c>
      <c r="AA155" s="219" t="str">
        <f t="shared" ca="1" si="34"/>
        <v>R</v>
      </c>
      <c r="AB155" s="219" t="str">
        <f t="shared" ca="1" si="34"/>
        <v>P</v>
      </c>
      <c r="AC155" s="219" t="str">
        <f t="shared" ca="1" si="34"/>
        <v>P</v>
      </c>
      <c r="AD155" s="219" t="str">
        <f t="shared" ca="1" si="34"/>
        <v>P</v>
      </c>
      <c r="AE155" s="219" t="str">
        <f t="shared" ca="1" si="34"/>
        <v>P</v>
      </c>
      <c r="AF155" s="219" t="str">
        <f t="shared" ca="1" si="34"/>
        <v>P</v>
      </c>
      <c r="AG155" s="219" t="str">
        <f t="shared" ca="1" si="34"/>
        <v>P</v>
      </c>
      <c r="AH155" s="223" t="str">
        <f t="shared" ca="1" si="34"/>
        <v>P</v>
      </c>
      <c r="AI155" s="224">
        <f t="shared" si="31"/>
        <v>31</v>
      </c>
      <c r="AJ155" s="220">
        <f t="shared" ca="1" si="27"/>
        <v>23</v>
      </c>
      <c r="AK155" s="111">
        <f t="shared" ca="1" si="28"/>
        <v>8</v>
      </c>
    </row>
    <row r="156" spans="1:37" x14ac:dyDescent="0.25">
      <c r="A156" s="216">
        <v>1149</v>
      </c>
      <c r="B156" s="217" t="s">
        <v>1148</v>
      </c>
      <c r="C156" s="218" t="s">
        <v>1107</v>
      </c>
      <c r="D156" s="219" t="str">
        <f t="shared" ca="1" si="35"/>
        <v>P</v>
      </c>
      <c r="E156" s="219" t="str">
        <f t="shared" ca="1" si="35"/>
        <v>P</v>
      </c>
      <c r="F156" s="219" t="str">
        <f t="shared" ca="1" si="35"/>
        <v>P</v>
      </c>
      <c r="G156" s="219" t="str">
        <f t="shared" ca="1" si="35"/>
        <v>P</v>
      </c>
      <c r="H156" s="219" t="str">
        <f t="shared" ca="1" si="35"/>
        <v>P</v>
      </c>
      <c r="I156" s="219" t="str">
        <f t="shared" ca="1" si="35"/>
        <v>R</v>
      </c>
      <c r="J156" s="219" t="str">
        <f t="shared" ca="1" si="35"/>
        <v>P</v>
      </c>
      <c r="K156" s="219" t="str">
        <f t="shared" ca="1" si="35"/>
        <v>P</v>
      </c>
      <c r="L156" s="219" t="str">
        <f t="shared" ca="1" si="35"/>
        <v>P</v>
      </c>
      <c r="M156" s="219" t="str">
        <f t="shared" ca="1" si="35"/>
        <v>P</v>
      </c>
      <c r="N156" s="219" t="str">
        <f t="shared" ca="1" si="35"/>
        <v>P</v>
      </c>
      <c r="O156" s="219" t="str">
        <f t="shared" ca="1" si="35"/>
        <v>P</v>
      </c>
      <c r="P156" s="219" t="str">
        <f t="shared" ca="1" si="35"/>
        <v>P</v>
      </c>
      <c r="Q156" s="219" t="str">
        <f t="shared" ca="1" si="35"/>
        <v>P</v>
      </c>
      <c r="R156" s="219" t="str">
        <f t="shared" ca="1" si="35"/>
        <v>R</v>
      </c>
      <c r="S156" s="219" t="str">
        <f t="shared" ca="1" si="34"/>
        <v>P</v>
      </c>
      <c r="T156" s="219" t="str">
        <f t="shared" ca="1" si="34"/>
        <v>R</v>
      </c>
      <c r="U156" s="219" t="str">
        <f t="shared" ca="1" si="34"/>
        <v>P</v>
      </c>
      <c r="V156" s="219" t="str">
        <f t="shared" ca="1" si="34"/>
        <v>P</v>
      </c>
      <c r="W156" s="219" t="str">
        <f t="shared" ca="1" si="34"/>
        <v>P</v>
      </c>
      <c r="X156" s="219" t="str">
        <f t="shared" ca="1" si="34"/>
        <v>P</v>
      </c>
      <c r="Y156" s="219" t="str">
        <f t="shared" ca="1" si="34"/>
        <v>P</v>
      </c>
      <c r="Z156" s="219" t="str">
        <f t="shared" ca="1" si="34"/>
        <v>R</v>
      </c>
      <c r="AA156" s="219" t="str">
        <f t="shared" ca="1" si="34"/>
        <v>P</v>
      </c>
      <c r="AB156" s="219" t="str">
        <f t="shared" ca="1" si="34"/>
        <v>R</v>
      </c>
      <c r="AC156" s="219" t="str">
        <f t="shared" ca="1" si="34"/>
        <v>P</v>
      </c>
      <c r="AD156" s="219" t="str">
        <f t="shared" ca="1" si="34"/>
        <v>R</v>
      </c>
      <c r="AE156" s="219" t="str">
        <f t="shared" ca="1" si="34"/>
        <v>P</v>
      </c>
      <c r="AF156" s="219" t="str">
        <f t="shared" ca="1" si="34"/>
        <v>P</v>
      </c>
      <c r="AG156" s="219" t="str">
        <f t="shared" ca="1" si="34"/>
        <v>P</v>
      </c>
      <c r="AH156" s="223" t="str">
        <f t="shared" ca="1" si="34"/>
        <v>P</v>
      </c>
      <c r="AI156" s="224">
        <f t="shared" si="31"/>
        <v>31</v>
      </c>
      <c r="AJ156" s="220">
        <f t="shared" ca="1" si="27"/>
        <v>25</v>
      </c>
      <c r="AK156" s="111">
        <f t="shared" ca="1" si="28"/>
        <v>6</v>
      </c>
    </row>
    <row r="157" spans="1:37" x14ac:dyDescent="0.25">
      <c r="A157" s="216">
        <v>1150</v>
      </c>
      <c r="B157" s="217" t="s">
        <v>1149</v>
      </c>
      <c r="C157" s="218" t="s">
        <v>1109</v>
      </c>
      <c r="D157" s="219" t="str">
        <f t="shared" ca="1" si="35"/>
        <v>P</v>
      </c>
      <c r="E157" s="219" t="str">
        <f t="shared" ca="1" si="35"/>
        <v>P</v>
      </c>
      <c r="F157" s="219" t="str">
        <f t="shared" ca="1" si="35"/>
        <v>P</v>
      </c>
      <c r="G157" s="219" t="str">
        <f t="shared" ca="1" si="35"/>
        <v>P</v>
      </c>
      <c r="H157" s="219" t="str">
        <f t="shared" ca="1" si="35"/>
        <v>P</v>
      </c>
      <c r="I157" s="219" t="str">
        <f t="shared" ca="1" si="35"/>
        <v>P</v>
      </c>
      <c r="J157" s="219" t="str">
        <f t="shared" ca="1" si="35"/>
        <v>R</v>
      </c>
      <c r="K157" s="219" t="str">
        <f t="shared" ca="1" si="35"/>
        <v>P</v>
      </c>
      <c r="L157" s="219" t="str">
        <f t="shared" ca="1" si="35"/>
        <v>P</v>
      </c>
      <c r="M157" s="219" t="str">
        <f t="shared" ca="1" si="35"/>
        <v>P</v>
      </c>
      <c r="N157" s="219" t="str">
        <f t="shared" ca="1" si="35"/>
        <v>P</v>
      </c>
      <c r="O157" s="219" t="str">
        <f t="shared" ca="1" si="35"/>
        <v>P</v>
      </c>
      <c r="P157" s="219" t="str">
        <f t="shared" ca="1" si="35"/>
        <v>P</v>
      </c>
      <c r="Q157" s="219" t="str">
        <f t="shared" ca="1" si="35"/>
        <v>P</v>
      </c>
      <c r="R157" s="219" t="str">
        <f t="shared" ca="1" si="35"/>
        <v>P</v>
      </c>
      <c r="S157" s="219" t="str">
        <f t="shared" ca="1" si="34"/>
        <v>R</v>
      </c>
      <c r="T157" s="219" t="str">
        <f t="shared" ca="1" si="34"/>
        <v>P</v>
      </c>
      <c r="U157" s="219" t="str">
        <f t="shared" ca="1" si="34"/>
        <v>R</v>
      </c>
      <c r="V157" s="219" t="str">
        <f t="shared" ca="1" si="34"/>
        <v>P</v>
      </c>
      <c r="W157" s="219" t="str">
        <f t="shared" ca="1" si="34"/>
        <v>P</v>
      </c>
      <c r="X157" s="219" t="str">
        <f t="shared" ca="1" si="34"/>
        <v>P</v>
      </c>
      <c r="Y157" s="219" t="str">
        <f t="shared" ca="1" si="34"/>
        <v>P</v>
      </c>
      <c r="Z157" s="219" t="str">
        <f t="shared" ca="1" si="34"/>
        <v>P</v>
      </c>
      <c r="AA157" s="219" t="str">
        <f t="shared" ca="1" si="34"/>
        <v>P</v>
      </c>
      <c r="AB157" s="219" t="str">
        <f t="shared" ca="1" si="34"/>
        <v>P</v>
      </c>
      <c r="AC157" s="219" t="str">
        <f t="shared" ca="1" si="34"/>
        <v>P</v>
      </c>
      <c r="AD157" s="219" t="str">
        <f t="shared" ca="1" si="34"/>
        <v>P</v>
      </c>
      <c r="AE157" s="219" t="str">
        <f t="shared" ca="1" si="34"/>
        <v>R</v>
      </c>
      <c r="AF157" s="219" t="str">
        <f t="shared" ca="1" si="34"/>
        <v>R</v>
      </c>
      <c r="AG157" s="219" t="str">
        <f t="shared" ca="1" si="34"/>
        <v>P</v>
      </c>
      <c r="AH157" s="223" t="str">
        <f t="shared" ca="1" si="34"/>
        <v>P</v>
      </c>
      <c r="AI157" s="224">
        <f t="shared" si="31"/>
        <v>31</v>
      </c>
      <c r="AJ157" s="220">
        <f t="shared" ca="1" si="27"/>
        <v>26</v>
      </c>
      <c r="AK157" s="111">
        <f t="shared" ca="1" si="28"/>
        <v>5</v>
      </c>
    </row>
    <row r="158" spans="1:37" x14ac:dyDescent="0.25">
      <c r="A158" s="216">
        <v>1151</v>
      </c>
      <c r="B158" s="217" t="s">
        <v>1150</v>
      </c>
      <c r="C158" s="218" t="s">
        <v>1104</v>
      </c>
      <c r="D158" s="219" t="str">
        <f t="shared" ca="1" si="35"/>
        <v>P</v>
      </c>
      <c r="E158" s="219" t="str">
        <f t="shared" ca="1" si="35"/>
        <v>P</v>
      </c>
      <c r="F158" s="219" t="str">
        <f t="shared" ca="1" si="35"/>
        <v>P</v>
      </c>
      <c r="G158" s="219" t="str">
        <f t="shared" ca="1" si="35"/>
        <v>P</v>
      </c>
      <c r="H158" s="219" t="str">
        <f t="shared" ca="1" si="35"/>
        <v>P</v>
      </c>
      <c r="I158" s="219" t="str">
        <f t="shared" ca="1" si="35"/>
        <v>P</v>
      </c>
      <c r="J158" s="219" t="str">
        <f t="shared" ca="1" si="35"/>
        <v>P</v>
      </c>
      <c r="K158" s="219" t="str">
        <f t="shared" ca="1" si="35"/>
        <v>P</v>
      </c>
      <c r="L158" s="219" t="str">
        <f t="shared" ca="1" si="35"/>
        <v>P</v>
      </c>
      <c r="M158" s="219" t="str">
        <f t="shared" ca="1" si="35"/>
        <v>P</v>
      </c>
      <c r="N158" s="219" t="str">
        <f t="shared" ca="1" si="35"/>
        <v>P</v>
      </c>
      <c r="O158" s="219" t="str">
        <f t="shared" ca="1" si="35"/>
        <v>P</v>
      </c>
      <c r="P158" s="219" t="str">
        <f t="shared" ca="1" si="35"/>
        <v>P</v>
      </c>
      <c r="Q158" s="219" t="str">
        <f t="shared" ca="1" si="35"/>
        <v>P</v>
      </c>
      <c r="R158" s="219" t="str">
        <f t="shared" ca="1" si="35"/>
        <v>R</v>
      </c>
      <c r="S158" s="219" t="str">
        <f t="shared" ca="1" si="34"/>
        <v>P</v>
      </c>
      <c r="T158" s="219" t="str">
        <f t="shared" ca="1" si="34"/>
        <v>P</v>
      </c>
      <c r="U158" s="219" t="str">
        <f t="shared" ca="1" si="34"/>
        <v>P</v>
      </c>
      <c r="V158" s="219" t="str">
        <f t="shared" ca="1" si="34"/>
        <v>P</v>
      </c>
      <c r="W158" s="219" t="str">
        <f t="shared" ca="1" si="34"/>
        <v>P</v>
      </c>
      <c r="X158" s="219" t="str">
        <f t="shared" ca="1" si="34"/>
        <v>P</v>
      </c>
      <c r="Y158" s="219" t="str">
        <f t="shared" ca="1" si="34"/>
        <v>P</v>
      </c>
      <c r="Z158" s="219" t="str">
        <f t="shared" ca="1" si="34"/>
        <v>P</v>
      </c>
      <c r="AA158" s="219" t="str">
        <f t="shared" ca="1" si="34"/>
        <v>R</v>
      </c>
      <c r="AB158" s="219" t="str">
        <f t="shared" ca="1" si="34"/>
        <v>P</v>
      </c>
      <c r="AC158" s="219" t="str">
        <f t="shared" ca="1" si="34"/>
        <v>P</v>
      </c>
      <c r="AD158" s="219" t="str">
        <f t="shared" ca="1" si="34"/>
        <v>P</v>
      </c>
      <c r="AE158" s="219" t="str">
        <f t="shared" ca="1" si="34"/>
        <v>P</v>
      </c>
      <c r="AF158" s="219" t="str">
        <f t="shared" ca="1" si="34"/>
        <v>P</v>
      </c>
      <c r="AG158" s="219" t="str">
        <f t="shared" ca="1" si="34"/>
        <v>P</v>
      </c>
      <c r="AH158" s="223" t="str">
        <f t="shared" ca="1" si="34"/>
        <v>P</v>
      </c>
      <c r="AI158" s="224">
        <f t="shared" si="31"/>
        <v>31</v>
      </c>
      <c r="AJ158" s="220">
        <f t="shared" ca="1" si="27"/>
        <v>29</v>
      </c>
      <c r="AK158" s="111">
        <f t="shared" ca="1" si="28"/>
        <v>2</v>
      </c>
    </row>
    <row r="159" spans="1:37" x14ac:dyDescent="0.25">
      <c r="A159" s="216">
        <v>1152</v>
      </c>
      <c r="B159" s="217" t="s">
        <v>1151</v>
      </c>
      <c r="C159" s="218" t="s">
        <v>1115</v>
      </c>
      <c r="D159" s="219" t="str">
        <f t="shared" ca="1" si="35"/>
        <v>P</v>
      </c>
      <c r="E159" s="219" t="str">
        <f t="shared" ca="1" si="35"/>
        <v>P</v>
      </c>
      <c r="F159" s="219" t="str">
        <f t="shared" ca="1" si="35"/>
        <v>P</v>
      </c>
      <c r="G159" s="219" t="str">
        <f t="shared" ca="1" si="35"/>
        <v>R</v>
      </c>
      <c r="H159" s="219" t="str">
        <f t="shared" ca="1" si="35"/>
        <v>R</v>
      </c>
      <c r="I159" s="219" t="str">
        <f t="shared" ca="1" si="35"/>
        <v>P</v>
      </c>
      <c r="J159" s="219" t="str">
        <f t="shared" ca="1" si="35"/>
        <v>P</v>
      </c>
      <c r="K159" s="219" t="str">
        <f t="shared" ca="1" si="35"/>
        <v>P</v>
      </c>
      <c r="L159" s="219" t="str">
        <f t="shared" ca="1" si="35"/>
        <v>P</v>
      </c>
      <c r="M159" s="219" t="str">
        <f t="shared" ca="1" si="35"/>
        <v>P</v>
      </c>
      <c r="N159" s="219" t="str">
        <f t="shared" ca="1" si="35"/>
        <v>R</v>
      </c>
      <c r="O159" s="219" t="str">
        <f t="shared" ca="1" si="35"/>
        <v>R</v>
      </c>
      <c r="P159" s="219" t="str">
        <f t="shared" ca="1" si="35"/>
        <v>P</v>
      </c>
      <c r="Q159" s="219" t="str">
        <f t="shared" ca="1" si="35"/>
        <v>P</v>
      </c>
      <c r="R159" s="219" t="str">
        <f t="shared" ca="1" si="35"/>
        <v>P</v>
      </c>
      <c r="S159" s="219" t="str">
        <f t="shared" ca="1" si="34"/>
        <v>P</v>
      </c>
      <c r="T159" s="219" t="str">
        <f t="shared" ca="1" si="34"/>
        <v>R</v>
      </c>
      <c r="U159" s="219" t="str">
        <f t="shared" ca="1" si="34"/>
        <v>P</v>
      </c>
      <c r="V159" s="219" t="str">
        <f t="shared" ca="1" si="34"/>
        <v>R</v>
      </c>
      <c r="W159" s="219" t="str">
        <f t="shared" ca="1" si="34"/>
        <v>R</v>
      </c>
      <c r="X159" s="219" t="str">
        <f t="shared" ca="1" si="34"/>
        <v>R</v>
      </c>
      <c r="Y159" s="219" t="str">
        <f t="shared" ca="1" si="34"/>
        <v>P</v>
      </c>
      <c r="Z159" s="219" t="str">
        <f t="shared" ca="1" si="34"/>
        <v>P</v>
      </c>
      <c r="AA159" s="219" t="str">
        <f t="shared" ca="1" si="34"/>
        <v>P</v>
      </c>
      <c r="AB159" s="219" t="str">
        <f t="shared" ca="1" si="34"/>
        <v>P</v>
      </c>
      <c r="AC159" s="219" t="str">
        <f t="shared" ca="1" si="34"/>
        <v>P</v>
      </c>
      <c r="AD159" s="219" t="str">
        <f t="shared" ca="1" si="34"/>
        <v>P</v>
      </c>
      <c r="AE159" s="219" t="str">
        <f t="shared" ca="1" si="34"/>
        <v>P</v>
      </c>
      <c r="AF159" s="219" t="str">
        <f t="shared" ca="1" si="34"/>
        <v>P</v>
      </c>
      <c r="AG159" s="219" t="str">
        <f t="shared" ca="1" si="34"/>
        <v>P</v>
      </c>
      <c r="AH159" s="223" t="str">
        <f t="shared" ca="1" si="34"/>
        <v>P</v>
      </c>
      <c r="AI159" s="224">
        <f t="shared" si="31"/>
        <v>31</v>
      </c>
      <c r="AJ159" s="220">
        <f t="shared" ca="1" si="27"/>
        <v>23</v>
      </c>
      <c r="AK159" s="111">
        <f t="shared" ca="1" si="28"/>
        <v>8</v>
      </c>
    </row>
    <row r="160" spans="1:37" x14ac:dyDescent="0.25">
      <c r="A160" s="216">
        <v>1153</v>
      </c>
      <c r="B160" s="217" t="s">
        <v>231</v>
      </c>
      <c r="C160" s="218" t="s">
        <v>1112</v>
      </c>
      <c r="D160" s="219" t="str">
        <f t="shared" ca="1" si="35"/>
        <v>P</v>
      </c>
      <c r="E160" s="219" t="str">
        <f t="shared" ca="1" si="35"/>
        <v>P</v>
      </c>
      <c r="F160" s="219" t="str">
        <f t="shared" ca="1" si="35"/>
        <v>P</v>
      </c>
      <c r="G160" s="219" t="str">
        <f t="shared" ca="1" si="35"/>
        <v>P</v>
      </c>
      <c r="H160" s="219" t="str">
        <f t="shared" ca="1" si="35"/>
        <v>R</v>
      </c>
      <c r="I160" s="219" t="str">
        <f t="shared" ca="1" si="35"/>
        <v>R</v>
      </c>
      <c r="J160" s="219" t="str">
        <f t="shared" ca="1" si="35"/>
        <v>P</v>
      </c>
      <c r="K160" s="219" t="str">
        <f t="shared" ca="1" si="35"/>
        <v>P</v>
      </c>
      <c r="L160" s="219" t="str">
        <f t="shared" ca="1" si="35"/>
        <v>P</v>
      </c>
      <c r="M160" s="219" t="str">
        <f t="shared" ca="1" si="35"/>
        <v>P</v>
      </c>
      <c r="N160" s="219" t="str">
        <f t="shared" ca="1" si="35"/>
        <v>P</v>
      </c>
      <c r="O160" s="219" t="str">
        <f t="shared" ca="1" si="35"/>
        <v>P</v>
      </c>
      <c r="P160" s="219" t="str">
        <f t="shared" ca="1" si="35"/>
        <v>P</v>
      </c>
      <c r="Q160" s="219" t="str">
        <f t="shared" ca="1" si="35"/>
        <v>R</v>
      </c>
      <c r="R160" s="219" t="str">
        <f t="shared" ca="1" si="35"/>
        <v>R</v>
      </c>
      <c r="S160" s="219" t="str">
        <f t="shared" ca="1" si="34"/>
        <v>P</v>
      </c>
      <c r="T160" s="219" t="str">
        <f t="shared" ca="1" si="34"/>
        <v>R</v>
      </c>
      <c r="U160" s="219" t="str">
        <f t="shared" ca="1" si="34"/>
        <v>P</v>
      </c>
      <c r="V160" s="219" t="str">
        <f t="shared" ca="1" si="34"/>
        <v>P</v>
      </c>
      <c r="W160" s="219" t="str">
        <f t="shared" ca="1" si="34"/>
        <v>P</v>
      </c>
      <c r="X160" s="219" t="str">
        <f t="shared" ca="1" si="34"/>
        <v>P</v>
      </c>
      <c r="Y160" s="219" t="str">
        <f t="shared" ca="1" si="34"/>
        <v>P</v>
      </c>
      <c r="Z160" s="219" t="str">
        <f t="shared" ca="1" si="34"/>
        <v>P</v>
      </c>
      <c r="AA160" s="219" t="str">
        <f t="shared" ca="1" si="34"/>
        <v>P</v>
      </c>
      <c r="AB160" s="219" t="str">
        <f t="shared" ca="1" si="34"/>
        <v>P</v>
      </c>
      <c r="AC160" s="219" t="str">
        <f t="shared" ca="1" si="34"/>
        <v>P</v>
      </c>
      <c r="AD160" s="219" t="str">
        <f t="shared" ca="1" si="34"/>
        <v>P</v>
      </c>
      <c r="AE160" s="219" t="str">
        <f t="shared" ca="1" si="34"/>
        <v>P</v>
      </c>
      <c r="AF160" s="219" t="str">
        <f t="shared" ca="1" si="34"/>
        <v>P</v>
      </c>
      <c r="AG160" s="219" t="str">
        <f t="shared" ca="1" si="34"/>
        <v>P</v>
      </c>
      <c r="AH160" s="223" t="str">
        <f t="shared" ca="1" si="34"/>
        <v>P</v>
      </c>
      <c r="AI160" s="224">
        <f t="shared" si="31"/>
        <v>31</v>
      </c>
      <c r="AJ160" s="220">
        <f t="shared" ca="1" si="27"/>
        <v>26</v>
      </c>
      <c r="AK160" s="111">
        <f t="shared" ca="1" si="28"/>
        <v>5</v>
      </c>
    </row>
    <row r="161" spans="1:37" x14ac:dyDescent="0.25">
      <c r="A161" s="216">
        <v>1154</v>
      </c>
      <c r="B161" s="217" t="s">
        <v>1152</v>
      </c>
      <c r="C161" s="218" t="s">
        <v>1114</v>
      </c>
      <c r="D161" s="219" t="str">
        <f t="shared" ca="1" si="35"/>
        <v>P</v>
      </c>
      <c r="E161" s="219" t="str">
        <f t="shared" ca="1" si="35"/>
        <v>P</v>
      </c>
      <c r="F161" s="219" t="str">
        <f t="shared" ca="1" si="35"/>
        <v>P</v>
      </c>
      <c r="G161" s="219" t="str">
        <f t="shared" ca="1" si="35"/>
        <v>P</v>
      </c>
      <c r="H161" s="219" t="str">
        <f t="shared" ca="1" si="35"/>
        <v>P</v>
      </c>
      <c r="I161" s="219" t="str">
        <f t="shared" ca="1" si="35"/>
        <v>P</v>
      </c>
      <c r="J161" s="219" t="str">
        <f t="shared" ca="1" si="35"/>
        <v>P</v>
      </c>
      <c r="K161" s="219" t="str">
        <f t="shared" ca="1" si="35"/>
        <v>R</v>
      </c>
      <c r="L161" s="219" t="str">
        <f t="shared" ca="1" si="35"/>
        <v>P</v>
      </c>
      <c r="M161" s="219" t="str">
        <f t="shared" ca="1" si="35"/>
        <v>P</v>
      </c>
      <c r="N161" s="219" t="str">
        <f t="shared" ca="1" si="35"/>
        <v>P</v>
      </c>
      <c r="O161" s="219" t="str">
        <f t="shared" ca="1" si="35"/>
        <v>P</v>
      </c>
      <c r="P161" s="219" t="str">
        <f t="shared" ca="1" si="35"/>
        <v>R</v>
      </c>
      <c r="Q161" s="219" t="str">
        <f t="shared" ca="1" si="35"/>
        <v>P</v>
      </c>
      <c r="R161" s="219" t="str">
        <f t="shared" ca="1" si="35"/>
        <v>P</v>
      </c>
      <c r="S161" s="219" t="str">
        <f t="shared" ca="1" si="34"/>
        <v>P</v>
      </c>
      <c r="T161" s="219" t="str">
        <f t="shared" ca="1" si="34"/>
        <v>P</v>
      </c>
      <c r="U161" s="219" t="str">
        <f t="shared" ca="1" si="34"/>
        <v>R</v>
      </c>
      <c r="V161" s="219" t="str">
        <f t="shared" ca="1" si="34"/>
        <v>P</v>
      </c>
      <c r="W161" s="219" t="str">
        <f t="shared" ca="1" si="34"/>
        <v>P</v>
      </c>
      <c r="X161" s="219" t="str">
        <f t="shared" ca="1" si="34"/>
        <v>P</v>
      </c>
      <c r="Y161" s="219" t="str">
        <f t="shared" ca="1" si="34"/>
        <v>P</v>
      </c>
      <c r="Z161" s="219" t="str">
        <f t="shared" ca="1" si="34"/>
        <v>P</v>
      </c>
      <c r="AA161" s="219" t="str">
        <f t="shared" ca="1" si="34"/>
        <v>P</v>
      </c>
      <c r="AB161" s="219" t="str">
        <f t="shared" ca="1" si="34"/>
        <v>P</v>
      </c>
      <c r="AC161" s="219" t="str">
        <f t="shared" ca="1" si="34"/>
        <v>P</v>
      </c>
      <c r="AD161" s="219" t="str">
        <f t="shared" ca="1" si="34"/>
        <v>P</v>
      </c>
      <c r="AE161" s="219" t="str">
        <f t="shared" ca="1" si="34"/>
        <v>P</v>
      </c>
      <c r="AF161" s="219" t="str">
        <f t="shared" ca="1" si="34"/>
        <v>P</v>
      </c>
      <c r="AG161" s="219" t="str">
        <f t="shared" ca="1" si="34"/>
        <v>P</v>
      </c>
      <c r="AH161" s="223" t="str">
        <f t="shared" ca="1" si="34"/>
        <v>R</v>
      </c>
      <c r="AI161" s="224">
        <f t="shared" si="31"/>
        <v>31</v>
      </c>
      <c r="AJ161" s="220">
        <f t="shared" ca="1" si="27"/>
        <v>27</v>
      </c>
      <c r="AK161" s="111">
        <f t="shared" ca="1" si="28"/>
        <v>4</v>
      </c>
    </row>
    <row r="162" spans="1:37" x14ac:dyDescent="0.25">
      <c r="A162" s="216">
        <v>1155</v>
      </c>
      <c r="B162" s="217" t="s">
        <v>1153</v>
      </c>
      <c r="C162" s="218" t="s">
        <v>1113</v>
      </c>
      <c r="D162" s="219" t="str">
        <f t="shared" ca="1" si="35"/>
        <v>R</v>
      </c>
      <c r="E162" s="219" t="str">
        <f t="shared" ca="1" si="35"/>
        <v>P</v>
      </c>
      <c r="F162" s="219" t="str">
        <f t="shared" ca="1" si="35"/>
        <v>P</v>
      </c>
      <c r="G162" s="219" t="str">
        <f t="shared" ca="1" si="35"/>
        <v>P</v>
      </c>
      <c r="H162" s="219" t="str">
        <f t="shared" ca="1" si="35"/>
        <v>P</v>
      </c>
      <c r="I162" s="219" t="str">
        <f t="shared" ca="1" si="35"/>
        <v>P</v>
      </c>
      <c r="J162" s="219" t="str">
        <f t="shared" ca="1" si="35"/>
        <v>P</v>
      </c>
      <c r="K162" s="219" t="str">
        <f t="shared" ca="1" si="35"/>
        <v>P</v>
      </c>
      <c r="L162" s="219" t="str">
        <f t="shared" ca="1" si="35"/>
        <v>R</v>
      </c>
      <c r="M162" s="219" t="str">
        <f t="shared" ca="1" si="35"/>
        <v>P</v>
      </c>
      <c r="N162" s="219" t="str">
        <f t="shared" ca="1" si="35"/>
        <v>P</v>
      </c>
      <c r="O162" s="219" t="str">
        <f t="shared" ca="1" si="35"/>
        <v>P</v>
      </c>
      <c r="P162" s="219" t="str">
        <f t="shared" ca="1" si="35"/>
        <v>P</v>
      </c>
      <c r="Q162" s="219" t="str">
        <f t="shared" ca="1" si="35"/>
        <v>P</v>
      </c>
      <c r="R162" s="219" t="str">
        <f t="shared" ca="1" si="35"/>
        <v>R</v>
      </c>
      <c r="S162" s="219" t="str">
        <f t="shared" ca="1" si="34"/>
        <v>P</v>
      </c>
      <c r="T162" s="219" t="str">
        <f t="shared" ca="1" si="34"/>
        <v>P</v>
      </c>
      <c r="U162" s="219" t="str">
        <f t="shared" ca="1" si="34"/>
        <v>P</v>
      </c>
      <c r="V162" s="219" t="str">
        <f t="shared" ca="1" si="34"/>
        <v>P</v>
      </c>
      <c r="W162" s="219" t="str">
        <f t="shared" ca="1" si="34"/>
        <v>P</v>
      </c>
      <c r="X162" s="219" t="str">
        <f t="shared" ca="1" si="34"/>
        <v>R</v>
      </c>
      <c r="Y162" s="219" t="str">
        <f t="shared" ca="1" si="34"/>
        <v>P</v>
      </c>
      <c r="Z162" s="219" t="str">
        <f t="shared" ca="1" si="34"/>
        <v>P</v>
      </c>
      <c r="AA162" s="219" t="str">
        <f t="shared" ca="1" si="34"/>
        <v>P</v>
      </c>
      <c r="AB162" s="219" t="str">
        <f t="shared" ca="1" si="34"/>
        <v>P</v>
      </c>
      <c r="AC162" s="219" t="str">
        <f t="shared" ca="1" si="34"/>
        <v>R</v>
      </c>
      <c r="AD162" s="219" t="str">
        <f t="shared" ca="1" si="34"/>
        <v>P</v>
      </c>
      <c r="AE162" s="219" t="str">
        <f t="shared" ca="1" si="34"/>
        <v>P</v>
      </c>
      <c r="AF162" s="219" t="str">
        <f t="shared" ca="1" si="34"/>
        <v>P</v>
      </c>
      <c r="AG162" s="219" t="str">
        <f t="shared" ca="1" si="34"/>
        <v>P</v>
      </c>
      <c r="AH162" s="219" t="str">
        <f t="shared" ca="1" si="34"/>
        <v>P</v>
      </c>
      <c r="AI162" s="225">
        <f t="shared" si="31"/>
        <v>31</v>
      </c>
      <c r="AJ162" s="220">
        <f t="shared" ref="AJ162:AJ211" ca="1" si="36">COUNTIF(D162:AH162,"P")</f>
        <v>26</v>
      </c>
      <c r="AK162" s="226">
        <f t="shared" ref="AK162:AK211" ca="1" si="37">COUNTIF(D162:AH162,"R")</f>
        <v>5</v>
      </c>
    </row>
    <row r="163" spans="1:37" x14ac:dyDescent="0.25">
      <c r="A163" s="216">
        <v>1156</v>
      </c>
      <c r="B163" s="217" t="s">
        <v>1154</v>
      </c>
      <c r="C163" s="218" t="s">
        <v>1112</v>
      </c>
      <c r="D163" s="219" t="str">
        <f t="shared" ca="1" si="35"/>
        <v>R</v>
      </c>
      <c r="E163" s="219" t="str">
        <f t="shared" ca="1" si="35"/>
        <v>P</v>
      </c>
      <c r="F163" s="219" t="str">
        <f t="shared" ca="1" si="35"/>
        <v>R</v>
      </c>
      <c r="G163" s="219" t="str">
        <f t="shared" ca="1" si="35"/>
        <v>R</v>
      </c>
      <c r="H163" s="219" t="str">
        <f t="shared" ca="1" si="35"/>
        <v>R</v>
      </c>
      <c r="I163" s="219" t="str">
        <f t="shared" ca="1" si="35"/>
        <v>P</v>
      </c>
      <c r="J163" s="219" t="str">
        <f t="shared" ca="1" si="35"/>
        <v>P</v>
      </c>
      <c r="K163" s="219" t="str">
        <f t="shared" ca="1" si="35"/>
        <v>P</v>
      </c>
      <c r="L163" s="219" t="str">
        <f t="shared" ca="1" si="35"/>
        <v>R</v>
      </c>
      <c r="M163" s="219" t="str">
        <f t="shared" ca="1" si="35"/>
        <v>R</v>
      </c>
      <c r="N163" s="219" t="str">
        <f t="shared" ca="1" si="35"/>
        <v>R</v>
      </c>
      <c r="O163" s="219" t="str">
        <f t="shared" ca="1" si="35"/>
        <v>P</v>
      </c>
      <c r="P163" s="219" t="str">
        <f t="shared" ca="1" si="35"/>
        <v>R</v>
      </c>
      <c r="Q163" s="219" t="str">
        <f t="shared" ca="1" si="35"/>
        <v>P</v>
      </c>
      <c r="R163" s="219" t="str">
        <f t="shared" ca="1" si="35"/>
        <v>R</v>
      </c>
      <c r="S163" s="219" t="str">
        <f t="shared" ca="1" si="34"/>
        <v>P</v>
      </c>
      <c r="T163" s="219" t="str">
        <f t="shared" ca="1" si="34"/>
        <v>P</v>
      </c>
      <c r="U163" s="219" t="str">
        <f t="shared" ca="1" si="34"/>
        <v>R</v>
      </c>
      <c r="V163" s="219" t="str">
        <f t="shared" ca="1" si="34"/>
        <v>P</v>
      </c>
      <c r="W163" s="219" t="str">
        <f t="shared" ca="1" si="34"/>
        <v>R</v>
      </c>
      <c r="X163" s="219" t="str">
        <f t="shared" ca="1" si="34"/>
        <v>P</v>
      </c>
      <c r="Y163" s="219" t="str">
        <f t="shared" ca="1" si="34"/>
        <v>P</v>
      </c>
      <c r="Z163" s="219" t="str">
        <f t="shared" ca="1" si="34"/>
        <v>P</v>
      </c>
      <c r="AA163" s="219" t="str">
        <f t="shared" ca="1" si="34"/>
        <v>P</v>
      </c>
      <c r="AB163" s="219" t="str">
        <f t="shared" ca="1" si="34"/>
        <v>P</v>
      </c>
      <c r="AC163" s="219" t="str">
        <f t="shared" ca="1" si="34"/>
        <v>P</v>
      </c>
      <c r="AD163" s="219" t="str">
        <f t="shared" ca="1" si="34"/>
        <v>R</v>
      </c>
      <c r="AE163" s="219" t="str">
        <f t="shared" ca="1" si="34"/>
        <v>P</v>
      </c>
      <c r="AF163" s="219" t="str">
        <f t="shared" ca="1" si="34"/>
        <v>P</v>
      </c>
      <c r="AG163" s="219" t="str">
        <f t="shared" ca="1" si="34"/>
        <v>P</v>
      </c>
      <c r="AH163" s="219" t="str">
        <f t="shared" ca="1" si="34"/>
        <v>P</v>
      </c>
      <c r="AI163" s="225">
        <f t="shared" si="31"/>
        <v>31</v>
      </c>
      <c r="AJ163" s="220">
        <f t="shared" ca="1" si="36"/>
        <v>19</v>
      </c>
      <c r="AK163" s="226">
        <f t="shared" ca="1" si="37"/>
        <v>12</v>
      </c>
    </row>
    <row r="164" spans="1:37" x14ac:dyDescent="0.25">
      <c r="A164" s="216">
        <v>1157</v>
      </c>
      <c r="B164" s="217" t="s">
        <v>1155</v>
      </c>
      <c r="C164" s="218" t="s">
        <v>1114</v>
      </c>
      <c r="D164" s="219" t="str">
        <f t="shared" ca="1" si="35"/>
        <v>P</v>
      </c>
      <c r="E164" s="219" t="str">
        <f t="shared" ca="1" si="35"/>
        <v>R</v>
      </c>
      <c r="F164" s="219" t="str">
        <f t="shared" ca="1" si="35"/>
        <v>R</v>
      </c>
      <c r="G164" s="219" t="str">
        <f t="shared" ca="1" si="35"/>
        <v>P</v>
      </c>
      <c r="H164" s="219" t="str">
        <f t="shared" ca="1" si="35"/>
        <v>P</v>
      </c>
      <c r="I164" s="219" t="str">
        <f t="shared" ca="1" si="35"/>
        <v>P</v>
      </c>
      <c r="J164" s="219" t="str">
        <f t="shared" ca="1" si="35"/>
        <v>P</v>
      </c>
      <c r="K164" s="219" t="str">
        <f t="shared" ca="1" si="35"/>
        <v>P</v>
      </c>
      <c r="L164" s="219" t="str">
        <f t="shared" ca="1" si="35"/>
        <v>P</v>
      </c>
      <c r="M164" s="219" t="str">
        <f t="shared" ca="1" si="35"/>
        <v>P</v>
      </c>
      <c r="N164" s="219" t="str">
        <f t="shared" ca="1" si="35"/>
        <v>P</v>
      </c>
      <c r="O164" s="219" t="str">
        <f t="shared" ca="1" si="35"/>
        <v>P</v>
      </c>
      <c r="P164" s="219" t="str">
        <f t="shared" ca="1" si="35"/>
        <v>R</v>
      </c>
      <c r="Q164" s="219" t="str">
        <f t="shared" ca="1" si="35"/>
        <v>P</v>
      </c>
      <c r="R164" s="219" t="str">
        <f t="shared" ca="1" si="35"/>
        <v>P</v>
      </c>
      <c r="S164" s="219" t="str">
        <f t="shared" ca="1" si="34"/>
        <v>P</v>
      </c>
      <c r="T164" s="219" t="str">
        <f t="shared" ca="1" si="34"/>
        <v>P</v>
      </c>
      <c r="U164" s="219" t="str">
        <f t="shared" ca="1" si="34"/>
        <v>R</v>
      </c>
      <c r="V164" s="219" t="str">
        <f t="shared" ca="1" si="34"/>
        <v>P</v>
      </c>
      <c r="W164" s="219" t="str">
        <f t="shared" ca="1" si="34"/>
        <v>R</v>
      </c>
      <c r="X164" s="219" t="str">
        <f t="shared" ca="1" si="34"/>
        <v>P</v>
      </c>
      <c r="Y164" s="219" t="str">
        <f t="shared" ca="1" si="34"/>
        <v>P</v>
      </c>
      <c r="Z164" s="219" t="str">
        <f t="shared" ca="1" si="34"/>
        <v>P</v>
      </c>
      <c r="AA164" s="219" t="str">
        <f t="shared" ca="1" si="34"/>
        <v>R</v>
      </c>
      <c r="AB164" s="219" t="str">
        <f t="shared" ca="1" si="34"/>
        <v>P</v>
      </c>
      <c r="AC164" s="219" t="str">
        <f t="shared" ca="1" si="34"/>
        <v>P</v>
      </c>
      <c r="AD164" s="219" t="str">
        <f t="shared" ca="1" si="34"/>
        <v>P</v>
      </c>
      <c r="AE164" s="219" t="str">
        <f t="shared" ca="1" si="34"/>
        <v>P</v>
      </c>
      <c r="AF164" s="219" t="str">
        <f t="shared" ca="1" si="34"/>
        <v>P</v>
      </c>
      <c r="AG164" s="219" t="str">
        <f t="shared" ca="1" si="34"/>
        <v>P</v>
      </c>
      <c r="AH164" s="219" t="str">
        <f t="shared" ca="1" si="34"/>
        <v>P</v>
      </c>
      <c r="AI164" s="225">
        <f t="shared" si="31"/>
        <v>31</v>
      </c>
      <c r="AJ164" s="220">
        <f t="shared" ca="1" si="36"/>
        <v>25</v>
      </c>
      <c r="AK164" s="226">
        <f t="shared" ca="1" si="37"/>
        <v>6</v>
      </c>
    </row>
    <row r="165" spans="1:37" x14ac:dyDescent="0.25">
      <c r="A165" s="216">
        <v>1158</v>
      </c>
      <c r="B165" s="217" t="s">
        <v>1156</v>
      </c>
      <c r="C165" s="218" t="s">
        <v>1103</v>
      </c>
      <c r="D165" s="219" t="str">
        <f t="shared" ca="1" si="35"/>
        <v>R</v>
      </c>
      <c r="E165" s="219" t="str">
        <f t="shared" ca="1" si="35"/>
        <v>P</v>
      </c>
      <c r="F165" s="219" t="str">
        <f t="shared" ca="1" si="35"/>
        <v>R</v>
      </c>
      <c r="G165" s="219" t="str">
        <f t="shared" ca="1" si="35"/>
        <v>P</v>
      </c>
      <c r="H165" s="219" t="str">
        <f t="shared" ca="1" si="35"/>
        <v>R</v>
      </c>
      <c r="I165" s="219" t="str">
        <f t="shared" ca="1" si="35"/>
        <v>P</v>
      </c>
      <c r="J165" s="219" t="str">
        <f t="shared" ca="1" si="35"/>
        <v>R</v>
      </c>
      <c r="K165" s="219" t="str">
        <f t="shared" ca="1" si="35"/>
        <v>P</v>
      </c>
      <c r="L165" s="219" t="str">
        <f t="shared" ca="1" si="35"/>
        <v>P</v>
      </c>
      <c r="M165" s="219" t="str">
        <f t="shared" ca="1" si="35"/>
        <v>P</v>
      </c>
      <c r="N165" s="219" t="str">
        <f t="shared" ca="1" si="35"/>
        <v>R</v>
      </c>
      <c r="O165" s="219" t="str">
        <f t="shared" ca="1" si="35"/>
        <v>P</v>
      </c>
      <c r="P165" s="219" t="str">
        <f t="shared" ca="1" si="35"/>
        <v>P</v>
      </c>
      <c r="Q165" s="219" t="str">
        <f t="shared" ca="1" si="35"/>
        <v>R</v>
      </c>
      <c r="R165" s="219" t="str">
        <f t="shared" ca="1" si="35"/>
        <v>P</v>
      </c>
      <c r="S165" s="219" t="str">
        <f t="shared" ca="1" si="34"/>
        <v>P</v>
      </c>
      <c r="T165" s="219" t="str">
        <f t="shared" ca="1" si="34"/>
        <v>P</v>
      </c>
      <c r="U165" s="219" t="str">
        <f t="shared" ca="1" si="34"/>
        <v>P</v>
      </c>
      <c r="V165" s="219" t="str">
        <f t="shared" ca="1" si="34"/>
        <v>P</v>
      </c>
      <c r="W165" s="219" t="str">
        <f t="shared" ca="1" si="34"/>
        <v>R</v>
      </c>
      <c r="X165" s="219" t="str">
        <f t="shared" ca="1" si="34"/>
        <v>P</v>
      </c>
      <c r="Y165" s="219" t="str">
        <f t="shared" ca="1" si="34"/>
        <v>P</v>
      </c>
      <c r="Z165" s="219" t="str">
        <f t="shared" ca="1" si="34"/>
        <v>P</v>
      </c>
      <c r="AA165" s="219" t="str">
        <f t="shared" ca="1" si="34"/>
        <v>P</v>
      </c>
      <c r="AB165" s="219" t="str">
        <f t="shared" ca="1" si="34"/>
        <v>P</v>
      </c>
      <c r="AC165" s="219" t="str">
        <f t="shared" ca="1" si="34"/>
        <v>P</v>
      </c>
      <c r="AD165" s="219" t="str">
        <f t="shared" ca="1" si="34"/>
        <v>P</v>
      </c>
      <c r="AE165" s="219" t="str">
        <f t="shared" ca="1" si="34"/>
        <v>P</v>
      </c>
      <c r="AF165" s="219" t="str">
        <f t="shared" ca="1" si="34"/>
        <v>P</v>
      </c>
      <c r="AG165" s="219" t="str">
        <f t="shared" ca="1" si="34"/>
        <v>R</v>
      </c>
      <c r="AH165" s="219" t="str">
        <f t="shared" ca="1" si="34"/>
        <v>P</v>
      </c>
      <c r="AI165" s="225">
        <f t="shared" si="31"/>
        <v>31</v>
      </c>
      <c r="AJ165" s="220">
        <f t="shared" ca="1" si="36"/>
        <v>23</v>
      </c>
      <c r="AK165" s="226">
        <f t="shared" ca="1" si="37"/>
        <v>8</v>
      </c>
    </row>
    <row r="166" spans="1:37" x14ac:dyDescent="0.25">
      <c r="A166" s="216">
        <v>1159</v>
      </c>
      <c r="B166" s="217" t="s">
        <v>1157</v>
      </c>
      <c r="C166" s="218" t="s">
        <v>1111</v>
      </c>
      <c r="D166" s="219" t="str">
        <f t="shared" ca="1" si="35"/>
        <v>P</v>
      </c>
      <c r="E166" s="219" t="str">
        <f t="shared" ca="1" si="35"/>
        <v>P</v>
      </c>
      <c r="F166" s="219" t="str">
        <f t="shared" ca="1" si="35"/>
        <v>P</v>
      </c>
      <c r="G166" s="219" t="str">
        <f t="shared" ca="1" si="35"/>
        <v>P</v>
      </c>
      <c r="H166" s="219" t="str">
        <f t="shared" ca="1" si="35"/>
        <v>P</v>
      </c>
      <c r="I166" s="219" t="str">
        <f t="shared" ca="1" si="35"/>
        <v>R</v>
      </c>
      <c r="J166" s="219" t="str">
        <f t="shared" ca="1" si="35"/>
        <v>P</v>
      </c>
      <c r="K166" s="219" t="str">
        <f t="shared" ca="1" si="35"/>
        <v>P</v>
      </c>
      <c r="L166" s="219" t="str">
        <f t="shared" ca="1" si="35"/>
        <v>P</v>
      </c>
      <c r="M166" s="219" t="str">
        <f t="shared" ca="1" si="35"/>
        <v>P</v>
      </c>
      <c r="N166" s="219" t="str">
        <f t="shared" ca="1" si="35"/>
        <v>P</v>
      </c>
      <c r="O166" s="219" t="str">
        <f t="shared" ca="1" si="35"/>
        <v>P</v>
      </c>
      <c r="P166" s="219" t="str">
        <f t="shared" ca="1" si="35"/>
        <v>P</v>
      </c>
      <c r="Q166" s="219" t="str">
        <f t="shared" ca="1" si="35"/>
        <v>P</v>
      </c>
      <c r="R166" s="219" t="str">
        <f t="shared" ca="1" si="35"/>
        <v>P</v>
      </c>
      <c r="S166" s="219" t="str">
        <f t="shared" ca="1" si="34"/>
        <v>P</v>
      </c>
      <c r="T166" s="219" t="str">
        <f t="shared" ca="1" si="34"/>
        <v>P</v>
      </c>
      <c r="U166" s="219" t="str">
        <f t="shared" ca="1" si="34"/>
        <v>P</v>
      </c>
      <c r="V166" s="219" t="str">
        <f t="shared" ca="1" si="34"/>
        <v>R</v>
      </c>
      <c r="W166" s="219" t="str">
        <f t="shared" ca="1" si="34"/>
        <v>P</v>
      </c>
      <c r="X166" s="219" t="str">
        <f t="shared" ca="1" si="34"/>
        <v>P</v>
      </c>
      <c r="Y166" s="219" t="str">
        <f t="shared" ca="1" si="34"/>
        <v>R</v>
      </c>
      <c r="Z166" s="219" t="str">
        <f t="shared" ca="1" si="34"/>
        <v>P</v>
      </c>
      <c r="AA166" s="219" t="str">
        <f t="shared" ca="1" si="34"/>
        <v>P</v>
      </c>
      <c r="AB166" s="219" t="str">
        <f t="shared" ca="1" si="34"/>
        <v>P</v>
      </c>
      <c r="AC166" s="219" t="str">
        <f t="shared" ca="1" si="34"/>
        <v>P</v>
      </c>
      <c r="AD166" s="219" t="str">
        <f t="shared" ca="1" si="34"/>
        <v>P</v>
      </c>
      <c r="AE166" s="219" t="str">
        <f t="shared" ca="1" si="34"/>
        <v>P</v>
      </c>
      <c r="AF166" s="219" t="str">
        <f t="shared" ca="1" si="34"/>
        <v>P</v>
      </c>
      <c r="AG166" s="219" t="str">
        <f t="shared" ca="1" si="34"/>
        <v>P</v>
      </c>
      <c r="AH166" s="219" t="str">
        <f t="shared" ca="1" si="34"/>
        <v>P</v>
      </c>
      <c r="AI166" s="225">
        <f t="shared" si="31"/>
        <v>31</v>
      </c>
      <c r="AJ166" s="220">
        <f t="shared" ca="1" si="36"/>
        <v>28</v>
      </c>
      <c r="AK166" s="226">
        <f t="shared" ca="1" si="37"/>
        <v>3</v>
      </c>
    </row>
    <row r="167" spans="1:37" x14ac:dyDescent="0.25">
      <c r="A167" s="216">
        <v>1160</v>
      </c>
      <c r="B167" s="217" t="s">
        <v>1158</v>
      </c>
      <c r="C167" s="218" t="s">
        <v>1101</v>
      </c>
      <c r="D167" s="219" t="str">
        <f t="shared" ca="1" si="35"/>
        <v>P</v>
      </c>
      <c r="E167" s="219" t="str">
        <f t="shared" ca="1" si="35"/>
        <v>P</v>
      </c>
      <c r="F167" s="219" t="str">
        <f t="shared" ca="1" si="35"/>
        <v>P</v>
      </c>
      <c r="G167" s="219" t="str">
        <f t="shared" ca="1" si="35"/>
        <v>P</v>
      </c>
      <c r="H167" s="219" t="str">
        <f t="shared" ca="1" si="35"/>
        <v>P</v>
      </c>
      <c r="I167" s="219" t="str">
        <f t="shared" ca="1" si="35"/>
        <v>P</v>
      </c>
      <c r="J167" s="219" t="str">
        <f t="shared" ca="1" si="35"/>
        <v>P</v>
      </c>
      <c r="K167" s="219" t="str">
        <f t="shared" ca="1" si="35"/>
        <v>P</v>
      </c>
      <c r="L167" s="219" t="str">
        <f t="shared" ca="1" si="35"/>
        <v>P</v>
      </c>
      <c r="M167" s="219" t="str">
        <f t="shared" ca="1" si="35"/>
        <v>R</v>
      </c>
      <c r="N167" s="219" t="str">
        <f t="shared" ca="1" si="35"/>
        <v>P</v>
      </c>
      <c r="O167" s="219" t="str">
        <f t="shared" ca="1" si="35"/>
        <v>P</v>
      </c>
      <c r="P167" s="219" t="str">
        <f t="shared" ca="1" si="35"/>
        <v>P</v>
      </c>
      <c r="Q167" s="219" t="str">
        <f t="shared" ca="1" si="35"/>
        <v>P</v>
      </c>
      <c r="R167" s="219" t="str">
        <f t="shared" ca="1" si="35"/>
        <v>P</v>
      </c>
      <c r="S167" s="219" t="str">
        <f t="shared" ca="1" si="34"/>
        <v>P</v>
      </c>
      <c r="T167" s="219" t="str">
        <f t="shared" ca="1" si="34"/>
        <v>P</v>
      </c>
      <c r="U167" s="219" t="str">
        <f t="shared" ca="1" si="34"/>
        <v>P</v>
      </c>
      <c r="V167" s="219" t="str">
        <f t="shared" ca="1" si="34"/>
        <v>P</v>
      </c>
      <c r="W167" s="219" t="str">
        <f t="shared" ca="1" si="34"/>
        <v>P</v>
      </c>
      <c r="X167" s="219" t="str">
        <f t="shared" ca="1" si="34"/>
        <v>P</v>
      </c>
      <c r="Y167" s="219" t="str">
        <f t="shared" ca="1" si="34"/>
        <v>P</v>
      </c>
      <c r="Z167" s="219" t="str">
        <f t="shared" ca="1" si="34"/>
        <v>P</v>
      </c>
      <c r="AA167" s="219" t="str">
        <f t="shared" ca="1" si="34"/>
        <v>R</v>
      </c>
      <c r="AB167" s="219" t="str">
        <f t="shared" ca="1" si="34"/>
        <v>P</v>
      </c>
      <c r="AC167" s="219" t="str">
        <f t="shared" ca="1" si="34"/>
        <v>P</v>
      </c>
      <c r="AD167" s="219" t="str">
        <f t="shared" ca="1" si="34"/>
        <v>P</v>
      </c>
      <c r="AE167" s="219" t="str">
        <f t="shared" ca="1" si="34"/>
        <v>P</v>
      </c>
      <c r="AF167" s="219" t="str">
        <f t="shared" ca="1" si="34"/>
        <v>R</v>
      </c>
      <c r="AG167" s="219" t="str">
        <f t="shared" ca="1" si="34"/>
        <v>P</v>
      </c>
      <c r="AH167" s="219" t="str">
        <f t="shared" ca="1" si="34"/>
        <v>R</v>
      </c>
      <c r="AI167" s="225">
        <f t="shared" si="31"/>
        <v>31</v>
      </c>
      <c r="AJ167" s="220">
        <f t="shared" ca="1" si="36"/>
        <v>27</v>
      </c>
      <c r="AK167" s="226">
        <f t="shared" ca="1" si="37"/>
        <v>4</v>
      </c>
    </row>
    <row r="168" spans="1:37" x14ac:dyDescent="0.25">
      <c r="A168" s="216">
        <v>1161</v>
      </c>
      <c r="B168" s="217" t="s">
        <v>1159</v>
      </c>
      <c r="C168" s="218" t="s">
        <v>1108</v>
      </c>
      <c r="D168" s="219" t="str">
        <f t="shared" ca="1" si="35"/>
        <v>R</v>
      </c>
      <c r="E168" s="219" t="str">
        <f t="shared" ca="1" si="35"/>
        <v>P</v>
      </c>
      <c r="F168" s="219" t="str">
        <f t="shared" ca="1" si="35"/>
        <v>R</v>
      </c>
      <c r="G168" s="219" t="str">
        <f t="shared" ca="1" si="35"/>
        <v>P</v>
      </c>
      <c r="H168" s="219" t="str">
        <f t="shared" ca="1" si="35"/>
        <v>R</v>
      </c>
      <c r="I168" s="219" t="str">
        <f t="shared" ca="1" si="35"/>
        <v>P</v>
      </c>
      <c r="J168" s="219" t="str">
        <f t="shared" ca="1" si="35"/>
        <v>P</v>
      </c>
      <c r="K168" s="219" t="str">
        <f t="shared" ca="1" si="35"/>
        <v>P</v>
      </c>
      <c r="L168" s="219" t="str">
        <f t="shared" ca="1" si="35"/>
        <v>P</v>
      </c>
      <c r="M168" s="219" t="str">
        <f t="shared" ca="1" si="35"/>
        <v>P</v>
      </c>
      <c r="N168" s="219" t="str">
        <f t="shared" ca="1" si="35"/>
        <v>P</v>
      </c>
      <c r="O168" s="219" t="str">
        <f t="shared" ca="1" si="35"/>
        <v>P</v>
      </c>
      <c r="P168" s="219" t="str">
        <f t="shared" ca="1" si="35"/>
        <v>P</v>
      </c>
      <c r="Q168" s="219" t="str">
        <f t="shared" ca="1" si="35"/>
        <v>R</v>
      </c>
      <c r="R168" s="219" t="str">
        <f t="shared" ca="1" si="35"/>
        <v>P</v>
      </c>
      <c r="S168" s="219" t="str">
        <f t="shared" ca="1" si="35"/>
        <v>P</v>
      </c>
      <c r="T168" s="219" t="str">
        <f t="shared" ref="S168:AH183" ca="1" si="38">IF(T$6="","",IF(RAND()&lt;0.8,"P","R"))</f>
        <v>P</v>
      </c>
      <c r="U168" s="219" t="str">
        <f t="shared" ca="1" si="38"/>
        <v>P</v>
      </c>
      <c r="V168" s="219" t="str">
        <f t="shared" ca="1" si="38"/>
        <v>P</v>
      </c>
      <c r="W168" s="219" t="str">
        <f t="shared" ca="1" si="38"/>
        <v>P</v>
      </c>
      <c r="X168" s="219" t="str">
        <f t="shared" ca="1" si="38"/>
        <v>P</v>
      </c>
      <c r="Y168" s="219" t="str">
        <f t="shared" ca="1" si="38"/>
        <v>P</v>
      </c>
      <c r="Z168" s="219" t="str">
        <f t="shared" ca="1" si="38"/>
        <v>P</v>
      </c>
      <c r="AA168" s="219" t="str">
        <f t="shared" ca="1" si="38"/>
        <v>P</v>
      </c>
      <c r="AB168" s="219" t="str">
        <f t="shared" ca="1" si="38"/>
        <v>P</v>
      </c>
      <c r="AC168" s="219" t="str">
        <f t="shared" ca="1" si="38"/>
        <v>R</v>
      </c>
      <c r="AD168" s="219" t="str">
        <f t="shared" ca="1" si="38"/>
        <v>R</v>
      </c>
      <c r="AE168" s="219" t="str">
        <f t="shared" ca="1" si="38"/>
        <v>R</v>
      </c>
      <c r="AF168" s="219" t="str">
        <f t="shared" ca="1" si="38"/>
        <v>P</v>
      </c>
      <c r="AG168" s="219" t="str">
        <f t="shared" ca="1" si="38"/>
        <v>P</v>
      </c>
      <c r="AH168" s="219" t="str">
        <f t="shared" ca="1" si="38"/>
        <v>R</v>
      </c>
      <c r="AI168" s="225">
        <f t="shared" si="31"/>
        <v>31</v>
      </c>
      <c r="AJ168" s="220">
        <f t="shared" ca="1" si="36"/>
        <v>23</v>
      </c>
      <c r="AK168" s="226">
        <f t="shared" ca="1" si="37"/>
        <v>8</v>
      </c>
    </row>
    <row r="169" spans="1:37" x14ac:dyDescent="0.25">
      <c r="A169" s="216">
        <v>1162</v>
      </c>
      <c r="B169" s="217" t="s">
        <v>1160</v>
      </c>
      <c r="C169" s="218" t="s">
        <v>1106</v>
      </c>
      <c r="D169" s="219" t="str">
        <f t="shared" ca="1" si="35"/>
        <v>P</v>
      </c>
      <c r="E169" s="219" t="str">
        <f t="shared" ca="1" si="35"/>
        <v>P</v>
      </c>
      <c r="F169" s="219" t="str">
        <f t="shared" ca="1" si="35"/>
        <v>R</v>
      </c>
      <c r="G169" s="219" t="str">
        <f t="shared" ca="1" si="35"/>
        <v>P</v>
      </c>
      <c r="H169" s="219" t="str">
        <f t="shared" ca="1" si="35"/>
        <v>R</v>
      </c>
      <c r="I169" s="219" t="str">
        <f t="shared" ca="1" si="35"/>
        <v>P</v>
      </c>
      <c r="J169" s="219" t="str">
        <f t="shared" ca="1" si="35"/>
        <v>P</v>
      </c>
      <c r="K169" s="219" t="str">
        <f t="shared" ca="1" si="35"/>
        <v>P</v>
      </c>
      <c r="L169" s="219" t="str">
        <f t="shared" ca="1" si="35"/>
        <v>R</v>
      </c>
      <c r="M169" s="219" t="str">
        <f t="shared" ca="1" si="35"/>
        <v>P</v>
      </c>
      <c r="N169" s="219" t="str">
        <f t="shared" ca="1" si="35"/>
        <v>P</v>
      </c>
      <c r="O169" s="219" t="str">
        <f t="shared" ca="1" si="35"/>
        <v>P</v>
      </c>
      <c r="P169" s="219" t="str">
        <f t="shared" ca="1" si="35"/>
        <v>R</v>
      </c>
      <c r="Q169" s="219" t="str">
        <f t="shared" ca="1" si="35"/>
        <v>P</v>
      </c>
      <c r="R169" s="219" t="str">
        <f t="shared" ca="1" si="35"/>
        <v>P</v>
      </c>
      <c r="S169" s="219" t="str">
        <f t="shared" ca="1" si="38"/>
        <v>P</v>
      </c>
      <c r="T169" s="219" t="str">
        <f t="shared" ca="1" si="38"/>
        <v>P</v>
      </c>
      <c r="U169" s="219" t="str">
        <f t="shared" ca="1" si="38"/>
        <v>P</v>
      </c>
      <c r="V169" s="219" t="str">
        <f t="shared" ca="1" si="38"/>
        <v>P</v>
      </c>
      <c r="W169" s="219" t="str">
        <f t="shared" ca="1" si="38"/>
        <v>P</v>
      </c>
      <c r="X169" s="219" t="str">
        <f t="shared" ca="1" si="38"/>
        <v>P</v>
      </c>
      <c r="Y169" s="219" t="str">
        <f t="shared" ca="1" si="38"/>
        <v>P</v>
      </c>
      <c r="Z169" s="219" t="str">
        <f t="shared" ca="1" si="38"/>
        <v>P</v>
      </c>
      <c r="AA169" s="219" t="str">
        <f t="shared" ca="1" si="38"/>
        <v>R</v>
      </c>
      <c r="AB169" s="219" t="str">
        <f t="shared" ca="1" si="38"/>
        <v>P</v>
      </c>
      <c r="AC169" s="219" t="str">
        <f t="shared" ca="1" si="38"/>
        <v>P</v>
      </c>
      <c r="AD169" s="219" t="str">
        <f t="shared" ca="1" si="38"/>
        <v>P</v>
      </c>
      <c r="AE169" s="219" t="str">
        <f t="shared" ca="1" si="38"/>
        <v>P</v>
      </c>
      <c r="AF169" s="219" t="str">
        <f t="shared" ca="1" si="38"/>
        <v>P</v>
      </c>
      <c r="AG169" s="219" t="str">
        <f t="shared" ca="1" si="38"/>
        <v>R</v>
      </c>
      <c r="AH169" s="219" t="str">
        <f t="shared" ca="1" si="38"/>
        <v>P</v>
      </c>
      <c r="AI169" s="225">
        <f t="shared" si="31"/>
        <v>31</v>
      </c>
      <c r="AJ169" s="220">
        <f t="shared" ca="1" si="36"/>
        <v>25</v>
      </c>
      <c r="AK169" s="226">
        <f t="shared" ca="1" si="37"/>
        <v>6</v>
      </c>
    </row>
    <row r="170" spans="1:37" x14ac:dyDescent="0.25">
      <c r="A170" s="216">
        <v>1163</v>
      </c>
      <c r="B170" s="217" t="s">
        <v>1161</v>
      </c>
      <c r="C170" s="218" t="s">
        <v>1107</v>
      </c>
      <c r="D170" s="219" t="str">
        <f t="shared" ref="D170:S186" ca="1" si="39">IF(D$6="","",IF(RAND()&lt;0.8,"P","R"))</f>
        <v>P</v>
      </c>
      <c r="E170" s="219" t="str">
        <f t="shared" ca="1" si="39"/>
        <v>P</v>
      </c>
      <c r="F170" s="219" t="str">
        <f t="shared" ca="1" si="39"/>
        <v>R</v>
      </c>
      <c r="G170" s="219" t="str">
        <f t="shared" ca="1" si="39"/>
        <v>P</v>
      </c>
      <c r="H170" s="219" t="str">
        <f t="shared" ca="1" si="39"/>
        <v>P</v>
      </c>
      <c r="I170" s="219" t="str">
        <f t="shared" ca="1" si="39"/>
        <v>P</v>
      </c>
      <c r="J170" s="219" t="str">
        <f t="shared" ca="1" si="39"/>
        <v>P</v>
      </c>
      <c r="K170" s="219" t="str">
        <f t="shared" ca="1" si="39"/>
        <v>R</v>
      </c>
      <c r="L170" s="219" t="str">
        <f t="shared" ca="1" si="39"/>
        <v>P</v>
      </c>
      <c r="M170" s="219" t="str">
        <f t="shared" ca="1" si="39"/>
        <v>P</v>
      </c>
      <c r="N170" s="219" t="str">
        <f t="shared" ca="1" si="39"/>
        <v>R</v>
      </c>
      <c r="O170" s="219" t="str">
        <f t="shared" ca="1" si="39"/>
        <v>P</v>
      </c>
      <c r="P170" s="219" t="str">
        <f t="shared" ca="1" si="39"/>
        <v>P</v>
      </c>
      <c r="Q170" s="219" t="str">
        <f t="shared" ca="1" si="39"/>
        <v>P</v>
      </c>
      <c r="R170" s="219" t="str">
        <f t="shared" ca="1" si="39"/>
        <v>P</v>
      </c>
      <c r="S170" s="219" t="str">
        <f t="shared" ca="1" si="38"/>
        <v>P</v>
      </c>
      <c r="T170" s="219" t="str">
        <f t="shared" ca="1" si="38"/>
        <v>P</v>
      </c>
      <c r="U170" s="219" t="str">
        <f t="shared" ca="1" si="38"/>
        <v>P</v>
      </c>
      <c r="V170" s="219" t="str">
        <f t="shared" ca="1" si="38"/>
        <v>P</v>
      </c>
      <c r="W170" s="219" t="str">
        <f t="shared" ca="1" si="38"/>
        <v>P</v>
      </c>
      <c r="X170" s="219" t="str">
        <f t="shared" ca="1" si="38"/>
        <v>P</v>
      </c>
      <c r="Y170" s="219" t="str">
        <f t="shared" ca="1" si="38"/>
        <v>R</v>
      </c>
      <c r="Z170" s="219" t="str">
        <f t="shared" ca="1" si="38"/>
        <v>P</v>
      </c>
      <c r="AA170" s="219" t="str">
        <f t="shared" ca="1" si="38"/>
        <v>P</v>
      </c>
      <c r="AB170" s="219" t="str">
        <f t="shared" ca="1" si="38"/>
        <v>P</v>
      </c>
      <c r="AC170" s="219" t="str">
        <f t="shared" ca="1" si="38"/>
        <v>P</v>
      </c>
      <c r="AD170" s="219" t="str">
        <f t="shared" ca="1" si="38"/>
        <v>P</v>
      </c>
      <c r="AE170" s="219" t="str">
        <f t="shared" ca="1" si="38"/>
        <v>P</v>
      </c>
      <c r="AF170" s="219" t="str">
        <f t="shared" ca="1" si="38"/>
        <v>R</v>
      </c>
      <c r="AG170" s="219" t="str">
        <f t="shared" ca="1" si="38"/>
        <v>P</v>
      </c>
      <c r="AH170" s="219" t="str">
        <f t="shared" ca="1" si="38"/>
        <v>P</v>
      </c>
      <c r="AI170" s="225">
        <f t="shared" si="31"/>
        <v>31</v>
      </c>
      <c r="AJ170" s="220">
        <f t="shared" ca="1" si="36"/>
        <v>26</v>
      </c>
      <c r="AK170" s="226">
        <f t="shared" ca="1" si="37"/>
        <v>5</v>
      </c>
    </row>
    <row r="171" spans="1:37" x14ac:dyDescent="0.25">
      <c r="A171" s="216">
        <v>1164</v>
      </c>
      <c r="B171" s="217" t="s">
        <v>1162</v>
      </c>
      <c r="C171" s="218" t="s">
        <v>1109</v>
      </c>
      <c r="D171" s="219" t="str">
        <f t="shared" ca="1" si="39"/>
        <v>P</v>
      </c>
      <c r="E171" s="219" t="str">
        <f t="shared" ca="1" si="39"/>
        <v>P</v>
      </c>
      <c r="F171" s="219" t="str">
        <f t="shared" ca="1" si="39"/>
        <v>P</v>
      </c>
      <c r="G171" s="219" t="str">
        <f t="shared" ca="1" si="39"/>
        <v>P</v>
      </c>
      <c r="H171" s="219" t="str">
        <f t="shared" ca="1" si="39"/>
        <v>R</v>
      </c>
      <c r="I171" s="219" t="str">
        <f t="shared" ca="1" si="39"/>
        <v>P</v>
      </c>
      <c r="J171" s="219" t="str">
        <f t="shared" ca="1" si="39"/>
        <v>P</v>
      </c>
      <c r="K171" s="219" t="str">
        <f t="shared" ca="1" si="39"/>
        <v>P</v>
      </c>
      <c r="L171" s="219" t="str">
        <f t="shared" ca="1" si="39"/>
        <v>P</v>
      </c>
      <c r="M171" s="219" t="str">
        <f t="shared" ca="1" si="39"/>
        <v>R</v>
      </c>
      <c r="N171" s="219" t="str">
        <f t="shared" ca="1" si="39"/>
        <v>P</v>
      </c>
      <c r="O171" s="219" t="str">
        <f t="shared" ca="1" si="39"/>
        <v>P</v>
      </c>
      <c r="P171" s="219" t="str">
        <f t="shared" ca="1" si="39"/>
        <v>P</v>
      </c>
      <c r="Q171" s="219" t="str">
        <f t="shared" ca="1" si="39"/>
        <v>P</v>
      </c>
      <c r="R171" s="219" t="str">
        <f t="shared" ca="1" si="39"/>
        <v>R</v>
      </c>
      <c r="S171" s="219" t="str">
        <f t="shared" ca="1" si="38"/>
        <v>P</v>
      </c>
      <c r="T171" s="219" t="str">
        <f t="shared" ca="1" si="38"/>
        <v>P</v>
      </c>
      <c r="U171" s="219" t="str">
        <f t="shared" ca="1" si="38"/>
        <v>R</v>
      </c>
      <c r="V171" s="219" t="str">
        <f t="shared" ca="1" si="38"/>
        <v>P</v>
      </c>
      <c r="W171" s="219" t="str">
        <f t="shared" ca="1" si="38"/>
        <v>R</v>
      </c>
      <c r="X171" s="219" t="str">
        <f t="shared" ca="1" si="38"/>
        <v>P</v>
      </c>
      <c r="Y171" s="219" t="str">
        <f t="shared" ca="1" si="38"/>
        <v>P</v>
      </c>
      <c r="Z171" s="219" t="str">
        <f t="shared" ca="1" si="38"/>
        <v>P</v>
      </c>
      <c r="AA171" s="219" t="str">
        <f t="shared" ca="1" si="38"/>
        <v>P</v>
      </c>
      <c r="AB171" s="219" t="str">
        <f t="shared" ca="1" si="38"/>
        <v>P</v>
      </c>
      <c r="AC171" s="219" t="str">
        <f t="shared" ca="1" si="38"/>
        <v>P</v>
      </c>
      <c r="AD171" s="219" t="str">
        <f t="shared" ca="1" si="38"/>
        <v>R</v>
      </c>
      <c r="AE171" s="219" t="str">
        <f t="shared" ca="1" si="38"/>
        <v>R</v>
      </c>
      <c r="AF171" s="219" t="str">
        <f t="shared" ca="1" si="38"/>
        <v>R</v>
      </c>
      <c r="AG171" s="219" t="str">
        <f t="shared" ca="1" si="38"/>
        <v>P</v>
      </c>
      <c r="AH171" s="219" t="str">
        <f t="shared" ca="1" si="38"/>
        <v>P</v>
      </c>
      <c r="AI171" s="225">
        <f t="shared" si="31"/>
        <v>31</v>
      </c>
      <c r="AJ171" s="220">
        <f t="shared" ca="1" si="36"/>
        <v>23</v>
      </c>
      <c r="AK171" s="226">
        <f t="shared" ca="1" si="37"/>
        <v>8</v>
      </c>
    </row>
    <row r="172" spans="1:37" x14ac:dyDescent="0.25">
      <c r="A172" s="216">
        <v>1165</v>
      </c>
      <c r="B172" s="217" t="s">
        <v>1163</v>
      </c>
      <c r="C172" s="218" t="s">
        <v>1104</v>
      </c>
      <c r="D172" s="219" t="str">
        <f t="shared" ca="1" si="39"/>
        <v>P</v>
      </c>
      <c r="E172" s="219" t="str">
        <f t="shared" ca="1" si="39"/>
        <v>R</v>
      </c>
      <c r="F172" s="219" t="str">
        <f t="shared" ca="1" si="39"/>
        <v>R</v>
      </c>
      <c r="G172" s="219" t="str">
        <f t="shared" ca="1" si="39"/>
        <v>P</v>
      </c>
      <c r="H172" s="219" t="str">
        <f t="shared" ca="1" si="39"/>
        <v>R</v>
      </c>
      <c r="I172" s="219" t="str">
        <f t="shared" ca="1" si="39"/>
        <v>P</v>
      </c>
      <c r="J172" s="219" t="str">
        <f t="shared" ca="1" si="39"/>
        <v>P</v>
      </c>
      <c r="K172" s="219" t="str">
        <f t="shared" ca="1" si="39"/>
        <v>P</v>
      </c>
      <c r="L172" s="219" t="str">
        <f t="shared" ca="1" si="39"/>
        <v>R</v>
      </c>
      <c r="M172" s="219" t="str">
        <f t="shared" ca="1" si="39"/>
        <v>P</v>
      </c>
      <c r="N172" s="219" t="str">
        <f t="shared" ca="1" si="39"/>
        <v>P</v>
      </c>
      <c r="O172" s="219" t="str">
        <f t="shared" ca="1" si="39"/>
        <v>P</v>
      </c>
      <c r="P172" s="219" t="str">
        <f t="shared" ca="1" si="39"/>
        <v>P</v>
      </c>
      <c r="Q172" s="219" t="str">
        <f t="shared" ca="1" si="39"/>
        <v>P</v>
      </c>
      <c r="R172" s="219" t="str">
        <f t="shared" ca="1" si="39"/>
        <v>P</v>
      </c>
      <c r="S172" s="219" t="str">
        <f t="shared" ca="1" si="38"/>
        <v>P</v>
      </c>
      <c r="T172" s="219" t="str">
        <f t="shared" ca="1" si="38"/>
        <v>R</v>
      </c>
      <c r="U172" s="219" t="str">
        <f t="shared" ca="1" si="38"/>
        <v>P</v>
      </c>
      <c r="V172" s="219" t="str">
        <f t="shared" ca="1" si="38"/>
        <v>P</v>
      </c>
      <c r="W172" s="219" t="str">
        <f t="shared" ca="1" si="38"/>
        <v>R</v>
      </c>
      <c r="X172" s="219" t="str">
        <f t="shared" ca="1" si="38"/>
        <v>R</v>
      </c>
      <c r="Y172" s="219" t="str">
        <f t="shared" ca="1" si="38"/>
        <v>P</v>
      </c>
      <c r="Z172" s="219" t="str">
        <f t="shared" ca="1" si="38"/>
        <v>P</v>
      </c>
      <c r="AA172" s="219" t="str">
        <f t="shared" ca="1" si="38"/>
        <v>P</v>
      </c>
      <c r="AB172" s="219" t="str">
        <f t="shared" ca="1" si="38"/>
        <v>P</v>
      </c>
      <c r="AC172" s="219" t="str">
        <f t="shared" ca="1" si="38"/>
        <v>P</v>
      </c>
      <c r="AD172" s="219" t="str">
        <f t="shared" ca="1" si="38"/>
        <v>P</v>
      </c>
      <c r="AE172" s="219" t="str">
        <f t="shared" ca="1" si="38"/>
        <v>P</v>
      </c>
      <c r="AF172" s="219" t="str">
        <f t="shared" ca="1" si="38"/>
        <v>P</v>
      </c>
      <c r="AG172" s="219" t="str">
        <f t="shared" ca="1" si="38"/>
        <v>P</v>
      </c>
      <c r="AH172" s="219" t="str">
        <f t="shared" ca="1" si="38"/>
        <v>P</v>
      </c>
      <c r="AI172" s="225">
        <f t="shared" si="31"/>
        <v>31</v>
      </c>
      <c r="AJ172" s="220">
        <f t="shared" ca="1" si="36"/>
        <v>24</v>
      </c>
      <c r="AK172" s="226">
        <f t="shared" ca="1" si="37"/>
        <v>7</v>
      </c>
    </row>
    <row r="173" spans="1:37" x14ac:dyDescent="0.25">
      <c r="A173" s="216">
        <v>1166</v>
      </c>
      <c r="B173" s="217" t="s">
        <v>1164</v>
      </c>
      <c r="C173" s="218" t="s">
        <v>1115</v>
      </c>
      <c r="D173" s="219" t="str">
        <f t="shared" ca="1" si="39"/>
        <v>P</v>
      </c>
      <c r="E173" s="219" t="str">
        <f t="shared" ca="1" si="39"/>
        <v>R</v>
      </c>
      <c r="F173" s="219" t="str">
        <f t="shared" ca="1" si="39"/>
        <v>P</v>
      </c>
      <c r="G173" s="219" t="str">
        <f t="shared" ca="1" si="39"/>
        <v>P</v>
      </c>
      <c r="H173" s="219" t="str">
        <f t="shared" ca="1" si="39"/>
        <v>P</v>
      </c>
      <c r="I173" s="219" t="str">
        <f t="shared" ca="1" si="39"/>
        <v>P</v>
      </c>
      <c r="J173" s="219" t="str">
        <f t="shared" ca="1" si="39"/>
        <v>R</v>
      </c>
      <c r="K173" s="219" t="str">
        <f t="shared" ca="1" si="39"/>
        <v>P</v>
      </c>
      <c r="L173" s="219" t="str">
        <f t="shared" ca="1" si="39"/>
        <v>P</v>
      </c>
      <c r="M173" s="219" t="str">
        <f t="shared" ca="1" si="39"/>
        <v>P</v>
      </c>
      <c r="N173" s="219" t="str">
        <f t="shared" ca="1" si="39"/>
        <v>P</v>
      </c>
      <c r="O173" s="219" t="str">
        <f t="shared" ca="1" si="39"/>
        <v>P</v>
      </c>
      <c r="P173" s="219" t="str">
        <f t="shared" ca="1" si="39"/>
        <v>P</v>
      </c>
      <c r="Q173" s="219" t="str">
        <f t="shared" ca="1" si="39"/>
        <v>R</v>
      </c>
      <c r="R173" s="219" t="str">
        <f t="shared" ca="1" si="39"/>
        <v>P</v>
      </c>
      <c r="S173" s="219" t="str">
        <f t="shared" ca="1" si="38"/>
        <v>P</v>
      </c>
      <c r="T173" s="219" t="str">
        <f t="shared" ca="1" si="38"/>
        <v>P</v>
      </c>
      <c r="U173" s="219" t="str">
        <f t="shared" ca="1" si="38"/>
        <v>P</v>
      </c>
      <c r="V173" s="219" t="str">
        <f t="shared" ca="1" si="38"/>
        <v>P</v>
      </c>
      <c r="W173" s="219" t="str">
        <f t="shared" ca="1" si="38"/>
        <v>R</v>
      </c>
      <c r="X173" s="219" t="str">
        <f t="shared" ca="1" si="38"/>
        <v>P</v>
      </c>
      <c r="Y173" s="219" t="str">
        <f t="shared" ca="1" si="38"/>
        <v>P</v>
      </c>
      <c r="Z173" s="219" t="str">
        <f t="shared" ca="1" si="38"/>
        <v>R</v>
      </c>
      <c r="AA173" s="219" t="str">
        <f t="shared" ca="1" si="38"/>
        <v>P</v>
      </c>
      <c r="AB173" s="219" t="str">
        <f t="shared" ca="1" si="38"/>
        <v>P</v>
      </c>
      <c r="AC173" s="219" t="str">
        <f t="shared" ca="1" si="38"/>
        <v>P</v>
      </c>
      <c r="AD173" s="219" t="str">
        <f t="shared" ca="1" si="38"/>
        <v>R</v>
      </c>
      <c r="AE173" s="219" t="str">
        <f t="shared" ca="1" si="38"/>
        <v>R</v>
      </c>
      <c r="AF173" s="219" t="str">
        <f t="shared" ca="1" si="38"/>
        <v>P</v>
      </c>
      <c r="AG173" s="219" t="str">
        <f t="shared" ca="1" si="38"/>
        <v>P</v>
      </c>
      <c r="AH173" s="219" t="str">
        <f t="shared" ca="1" si="38"/>
        <v>R</v>
      </c>
      <c r="AI173" s="225">
        <f t="shared" si="31"/>
        <v>31</v>
      </c>
      <c r="AJ173" s="220">
        <f t="shared" ca="1" si="36"/>
        <v>23</v>
      </c>
      <c r="AK173" s="226">
        <f t="shared" ca="1" si="37"/>
        <v>8</v>
      </c>
    </row>
    <row r="174" spans="1:37" x14ac:dyDescent="0.25">
      <c r="A174" s="216">
        <v>1167</v>
      </c>
      <c r="B174" s="217" t="s">
        <v>1165</v>
      </c>
      <c r="C174" s="218" t="s">
        <v>1113</v>
      </c>
      <c r="D174" s="219" t="str">
        <f t="shared" ca="1" si="39"/>
        <v>P</v>
      </c>
      <c r="E174" s="219" t="str">
        <f t="shared" ca="1" si="39"/>
        <v>P</v>
      </c>
      <c r="F174" s="219" t="str">
        <f t="shared" ca="1" si="39"/>
        <v>R</v>
      </c>
      <c r="G174" s="219" t="str">
        <f t="shared" ca="1" si="39"/>
        <v>R</v>
      </c>
      <c r="H174" s="219" t="str">
        <f t="shared" ca="1" si="39"/>
        <v>P</v>
      </c>
      <c r="I174" s="219" t="str">
        <f t="shared" ca="1" si="39"/>
        <v>P</v>
      </c>
      <c r="J174" s="219" t="str">
        <f t="shared" ca="1" si="39"/>
        <v>P</v>
      </c>
      <c r="K174" s="219" t="str">
        <f t="shared" ca="1" si="39"/>
        <v>P</v>
      </c>
      <c r="L174" s="219" t="str">
        <f t="shared" ca="1" si="39"/>
        <v>P</v>
      </c>
      <c r="M174" s="219" t="str">
        <f t="shared" ca="1" si="39"/>
        <v>R</v>
      </c>
      <c r="N174" s="219" t="str">
        <f t="shared" ca="1" si="39"/>
        <v>P</v>
      </c>
      <c r="O174" s="219" t="str">
        <f t="shared" ca="1" si="39"/>
        <v>P</v>
      </c>
      <c r="P174" s="219" t="str">
        <f t="shared" ca="1" si="39"/>
        <v>R</v>
      </c>
      <c r="Q174" s="219" t="str">
        <f t="shared" ca="1" si="39"/>
        <v>P</v>
      </c>
      <c r="R174" s="219" t="str">
        <f t="shared" ca="1" si="39"/>
        <v>P</v>
      </c>
      <c r="S174" s="219" t="str">
        <f t="shared" ca="1" si="38"/>
        <v>R</v>
      </c>
      <c r="T174" s="219" t="str">
        <f t="shared" ca="1" si="38"/>
        <v>P</v>
      </c>
      <c r="U174" s="219" t="str">
        <f t="shared" ca="1" si="38"/>
        <v>P</v>
      </c>
      <c r="V174" s="219" t="str">
        <f t="shared" ca="1" si="38"/>
        <v>P</v>
      </c>
      <c r="W174" s="219" t="str">
        <f t="shared" ca="1" si="38"/>
        <v>P</v>
      </c>
      <c r="X174" s="219" t="str">
        <f t="shared" ca="1" si="38"/>
        <v>P</v>
      </c>
      <c r="Y174" s="219" t="str">
        <f t="shared" ca="1" si="38"/>
        <v>P</v>
      </c>
      <c r="Z174" s="219" t="str">
        <f t="shared" ca="1" si="38"/>
        <v>P</v>
      </c>
      <c r="AA174" s="219" t="str">
        <f t="shared" ca="1" si="38"/>
        <v>P</v>
      </c>
      <c r="AB174" s="219" t="str">
        <f t="shared" ca="1" si="38"/>
        <v>P</v>
      </c>
      <c r="AC174" s="219" t="str">
        <f t="shared" ca="1" si="38"/>
        <v>P</v>
      </c>
      <c r="AD174" s="219" t="str">
        <f t="shared" ca="1" si="38"/>
        <v>P</v>
      </c>
      <c r="AE174" s="219" t="str">
        <f t="shared" ca="1" si="38"/>
        <v>P</v>
      </c>
      <c r="AF174" s="219" t="str">
        <f t="shared" ca="1" si="38"/>
        <v>P</v>
      </c>
      <c r="AG174" s="219" t="str">
        <f t="shared" ca="1" si="38"/>
        <v>P</v>
      </c>
      <c r="AH174" s="219" t="str">
        <f t="shared" ca="1" si="38"/>
        <v>P</v>
      </c>
      <c r="AI174" s="225">
        <f t="shared" si="31"/>
        <v>31</v>
      </c>
      <c r="AJ174" s="220">
        <f t="shared" ca="1" si="36"/>
        <v>26</v>
      </c>
      <c r="AK174" s="226">
        <f t="shared" ca="1" si="37"/>
        <v>5</v>
      </c>
    </row>
    <row r="175" spans="1:37" x14ac:dyDescent="0.25">
      <c r="A175" s="216">
        <v>1168</v>
      </c>
      <c r="B175" s="217" t="s">
        <v>1166</v>
      </c>
      <c r="C175" s="218" t="s">
        <v>1112</v>
      </c>
      <c r="D175" s="219" t="str">
        <f t="shared" ca="1" si="39"/>
        <v>P</v>
      </c>
      <c r="E175" s="219" t="str">
        <f t="shared" ca="1" si="39"/>
        <v>P</v>
      </c>
      <c r="F175" s="219" t="str">
        <f t="shared" ca="1" si="39"/>
        <v>P</v>
      </c>
      <c r="G175" s="219" t="str">
        <f t="shared" ca="1" si="39"/>
        <v>P</v>
      </c>
      <c r="H175" s="219" t="str">
        <f t="shared" ca="1" si="39"/>
        <v>P</v>
      </c>
      <c r="I175" s="219" t="str">
        <f t="shared" ca="1" si="39"/>
        <v>P</v>
      </c>
      <c r="J175" s="219" t="str">
        <f t="shared" ca="1" si="39"/>
        <v>R</v>
      </c>
      <c r="K175" s="219" t="str">
        <f t="shared" ca="1" si="39"/>
        <v>P</v>
      </c>
      <c r="L175" s="219" t="str">
        <f t="shared" ca="1" si="39"/>
        <v>P</v>
      </c>
      <c r="M175" s="219" t="str">
        <f t="shared" ca="1" si="39"/>
        <v>R</v>
      </c>
      <c r="N175" s="219" t="str">
        <f t="shared" ca="1" si="39"/>
        <v>R</v>
      </c>
      <c r="O175" s="219" t="str">
        <f t="shared" ca="1" si="39"/>
        <v>R</v>
      </c>
      <c r="P175" s="219" t="str">
        <f t="shared" ca="1" si="39"/>
        <v>P</v>
      </c>
      <c r="Q175" s="219" t="str">
        <f t="shared" ca="1" si="39"/>
        <v>P</v>
      </c>
      <c r="R175" s="219" t="str">
        <f t="shared" ca="1" si="39"/>
        <v>P</v>
      </c>
      <c r="S175" s="219" t="str">
        <f t="shared" ca="1" si="38"/>
        <v>P</v>
      </c>
      <c r="T175" s="219" t="str">
        <f t="shared" ca="1" si="38"/>
        <v>P</v>
      </c>
      <c r="U175" s="219" t="str">
        <f t="shared" ca="1" si="38"/>
        <v>P</v>
      </c>
      <c r="V175" s="219" t="str">
        <f t="shared" ca="1" si="38"/>
        <v>P</v>
      </c>
      <c r="W175" s="219" t="str">
        <f t="shared" ca="1" si="38"/>
        <v>P</v>
      </c>
      <c r="X175" s="219" t="str">
        <f t="shared" ca="1" si="38"/>
        <v>P</v>
      </c>
      <c r="Y175" s="219" t="str">
        <f t="shared" ca="1" si="38"/>
        <v>P</v>
      </c>
      <c r="Z175" s="219" t="str">
        <f t="shared" ca="1" si="38"/>
        <v>P</v>
      </c>
      <c r="AA175" s="219" t="str">
        <f t="shared" ca="1" si="38"/>
        <v>R</v>
      </c>
      <c r="AB175" s="219" t="str">
        <f t="shared" ca="1" si="38"/>
        <v>P</v>
      </c>
      <c r="AC175" s="219" t="str">
        <f t="shared" ca="1" si="38"/>
        <v>P</v>
      </c>
      <c r="AD175" s="219" t="str">
        <f t="shared" ca="1" si="38"/>
        <v>P</v>
      </c>
      <c r="AE175" s="219" t="str">
        <f t="shared" ca="1" si="38"/>
        <v>P</v>
      </c>
      <c r="AF175" s="219" t="str">
        <f t="shared" ca="1" si="38"/>
        <v>P</v>
      </c>
      <c r="AG175" s="219" t="str">
        <f t="shared" ca="1" si="38"/>
        <v>P</v>
      </c>
      <c r="AH175" s="219" t="str">
        <f t="shared" ca="1" si="38"/>
        <v>R</v>
      </c>
      <c r="AI175" s="225">
        <f t="shared" si="31"/>
        <v>31</v>
      </c>
      <c r="AJ175" s="220">
        <f t="shared" ca="1" si="36"/>
        <v>25</v>
      </c>
      <c r="AK175" s="226">
        <f t="shared" ca="1" si="37"/>
        <v>6</v>
      </c>
    </row>
    <row r="176" spans="1:37" x14ac:dyDescent="0.25">
      <c r="A176" s="216">
        <v>1169</v>
      </c>
      <c r="B176" s="217" t="s">
        <v>1167</v>
      </c>
      <c r="C176" s="218" t="s">
        <v>1114</v>
      </c>
      <c r="D176" s="219" t="str">
        <f t="shared" ca="1" si="39"/>
        <v>P</v>
      </c>
      <c r="E176" s="219" t="str">
        <f t="shared" ca="1" si="39"/>
        <v>P</v>
      </c>
      <c r="F176" s="219" t="str">
        <f t="shared" ca="1" si="39"/>
        <v>P</v>
      </c>
      <c r="G176" s="219" t="str">
        <f t="shared" ca="1" si="39"/>
        <v>P</v>
      </c>
      <c r="H176" s="219" t="str">
        <f t="shared" ca="1" si="39"/>
        <v>P</v>
      </c>
      <c r="I176" s="219" t="str">
        <f t="shared" ca="1" si="39"/>
        <v>R</v>
      </c>
      <c r="J176" s="219" t="str">
        <f t="shared" ca="1" si="39"/>
        <v>P</v>
      </c>
      <c r="K176" s="219" t="str">
        <f t="shared" ca="1" si="39"/>
        <v>P</v>
      </c>
      <c r="L176" s="219" t="str">
        <f t="shared" ca="1" si="39"/>
        <v>P</v>
      </c>
      <c r="M176" s="219" t="str">
        <f t="shared" ca="1" si="39"/>
        <v>R</v>
      </c>
      <c r="N176" s="219" t="str">
        <f t="shared" ca="1" si="39"/>
        <v>P</v>
      </c>
      <c r="O176" s="219" t="str">
        <f t="shared" ca="1" si="39"/>
        <v>R</v>
      </c>
      <c r="P176" s="219" t="str">
        <f t="shared" ca="1" si="39"/>
        <v>R</v>
      </c>
      <c r="Q176" s="219" t="str">
        <f t="shared" ca="1" si="39"/>
        <v>P</v>
      </c>
      <c r="R176" s="219" t="str">
        <f t="shared" ca="1" si="39"/>
        <v>P</v>
      </c>
      <c r="S176" s="219" t="str">
        <f t="shared" ca="1" si="38"/>
        <v>P</v>
      </c>
      <c r="T176" s="219" t="str">
        <f t="shared" ca="1" si="38"/>
        <v>R</v>
      </c>
      <c r="U176" s="219" t="str">
        <f t="shared" ca="1" si="38"/>
        <v>R</v>
      </c>
      <c r="V176" s="219" t="str">
        <f t="shared" ca="1" si="38"/>
        <v>P</v>
      </c>
      <c r="W176" s="219" t="str">
        <f t="shared" ca="1" si="38"/>
        <v>P</v>
      </c>
      <c r="X176" s="219" t="str">
        <f t="shared" ca="1" si="38"/>
        <v>P</v>
      </c>
      <c r="Y176" s="219" t="str">
        <f t="shared" ca="1" si="38"/>
        <v>P</v>
      </c>
      <c r="Z176" s="219" t="str">
        <f t="shared" ca="1" si="38"/>
        <v>P</v>
      </c>
      <c r="AA176" s="219" t="str">
        <f t="shared" ca="1" si="38"/>
        <v>R</v>
      </c>
      <c r="AB176" s="219" t="str">
        <f t="shared" ca="1" si="38"/>
        <v>P</v>
      </c>
      <c r="AC176" s="219" t="str">
        <f t="shared" ca="1" si="38"/>
        <v>P</v>
      </c>
      <c r="AD176" s="219" t="str">
        <f t="shared" ca="1" si="38"/>
        <v>P</v>
      </c>
      <c r="AE176" s="219" t="str">
        <f t="shared" ca="1" si="38"/>
        <v>P</v>
      </c>
      <c r="AF176" s="219" t="str">
        <f t="shared" ca="1" si="38"/>
        <v>P</v>
      </c>
      <c r="AG176" s="219" t="str">
        <f t="shared" ca="1" si="38"/>
        <v>P</v>
      </c>
      <c r="AH176" s="219" t="str">
        <f t="shared" ca="1" si="38"/>
        <v>P</v>
      </c>
      <c r="AI176" s="225">
        <f t="shared" si="31"/>
        <v>31</v>
      </c>
      <c r="AJ176" s="220">
        <f t="shared" ca="1" si="36"/>
        <v>24</v>
      </c>
      <c r="AK176" s="226">
        <f t="shared" ca="1" si="37"/>
        <v>7</v>
      </c>
    </row>
    <row r="177" spans="1:37" x14ac:dyDescent="0.25">
      <c r="A177" s="216">
        <v>1170</v>
      </c>
      <c r="B177" s="217" t="s">
        <v>1168</v>
      </c>
      <c r="C177" s="218" t="s">
        <v>1103</v>
      </c>
      <c r="D177" s="219" t="str">
        <f t="shared" ca="1" si="39"/>
        <v>R</v>
      </c>
      <c r="E177" s="219" t="str">
        <f t="shared" ca="1" si="39"/>
        <v>R</v>
      </c>
      <c r="F177" s="219" t="str">
        <f t="shared" ca="1" si="39"/>
        <v>R</v>
      </c>
      <c r="G177" s="219" t="str">
        <f t="shared" ca="1" si="39"/>
        <v>P</v>
      </c>
      <c r="H177" s="219" t="str">
        <f t="shared" ca="1" si="39"/>
        <v>P</v>
      </c>
      <c r="I177" s="219" t="str">
        <f t="shared" ca="1" si="39"/>
        <v>P</v>
      </c>
      <c r="J177" s="219" t="str">
        <f t="shared" ca="1" si="39"/>
        <v>P</v>
      </c>
      <c r="K177" s="219" t="str">
        <f t="shared" ca="1" si="39"/>
        <v>P</v>
      </c>
      <c r="L177" s="219" t="str">
        <f t="shared" ca="1" si="39"/>
        <v>P</v>
      </c>
      <c r="M177" s="219" t="str">
        <f t="shared" ca="1" si="39"/>
        <v>P</v>
      </c>
      <c r="N177" s="219" t="str">
        <f t="shared" ca="1" si="39"/>
        <v>P</v>
      </c>
      <c r="O177" s="219" t="str">
        <f t="shared" ca="1" si="39"/>
        <v>R</v>
      </c>
      <c r="P177" s="219" t="str">
        <f t="shared" ca="1" si="39"/>
        <v>P</v>
      </c>
      <c r="Q177" s="219" t="str">
        <f t="shared" ca="1" si="39"/>
        <v>R</v>
      </c>
      <c r="R177" s="219" t="str">
        <f t="shared" ca="1" si="39"/>
        <v>P</v>
      </c>
      <c r="S177" s="219" t="str">
        <f t="shared" ca="1" si="38"/>
        <v>P</v>
      </c>
      <c r="T177" s="219" t="str">
        <f t="shared" ca="1" si="38"/>
        <v>P</v>
      </c>
      <c r="U177" s="219" t="str">
        <f t="shared" ca="1" si="38"/>
        <v>P</v>
      </c>
      <c r="V177" s="219" t="str">
        <f t="shared" ca="1" si="38"/>
        <v>P</v>
      </c>
      <c r="W177" s="219" t="str">
        <f t="shared" ca="1" si="38"/>
        <v>R</v>
      </c>
      <c r="X177" s="219" t="str">
        <f t="shared" ca="1" si="38"/>
        <v>R</v>
      </c>
      <c r="Y177" s="219" t="str">
        <f t="shared" ca="1" si="38"/>
        <v>R</v>
      </c>
      <c r="Z177" s="219" t="str">
        <f t="shared" ca="1" si="38"/>
        <v>P</v>
      </c>
      <c r="AA177" s="219" t="str">
        <f t="shared" ca="1" si="38"/>
        <v>P</v>
      </c>
      <c r="AB177" s="219" t="str">
        <f t="shared" ca="1" si="38"/>
        <v>P</v>
      </c>
      <c r="AC177" s="219" t="str">
        <f t="shared" ca="1" si="38"/>
        <v>P</v>
      </c>
      <c r="AD177" s="219" t="str">
        <f t="shared" ca="1" si="38"/>
        <v>P</v>
      </c>
      <c r="AE177" s="219" t="str">
        <f t="shared" ca="1" si="38"/>
        <v>P</v>
      </c>
      <c r="AF177" s="219" t="str">
        <f t="shared" ca="1" si="38"/>
        <v>P</v>
      </c>
      <c r="AG177" s="219" t="str">
        <f t="shared" ca="1" si="38"/>
        <v>R</v>
      </c>
      <c r="AH177" s="219" t="str">
        <f t="shared" ca="1" si="38"/>
        <v>P</v>
      </c>
      <c r="AI177" s="225">
        <f t="shared" si="31"/>
        <v>31</v>
      </c>
      <c r="AJ177" s="220">
        <f t="shared" ca="1" si="36"/>
        <v>22</v>
      </c>
      <c r="AK177" s="226">
        <f t="shared" ca="1" si="37"/>
        <v>9</v>
      </c>
    </row>
    <row r="178" spans="1:37" x14ac:dyDescent="0.25">
      <c r="A178" s="216">
        <v>1171</v>
      </c>
      <c r="B178" s="217" t="s">
        <v>1169</v>
      </c>
      <c r="C178" s="218" t="s">
        <v>1111</v>
      </c>
      <c r="D178" s="219" t="str">
        <f t="shared" ca="1" si="39"/>
        <v>R</v>
      </c>
      <c r="E178" s="219" t="str">
        <f t="shared" ca="1" si="39"/>
        <v>P</v>
      </c>
      <c r="F178" s="219" t="str">
        <f t="shared" ca="1" si="39"/>
        <v>P</v>
      </c>
      <c r="G178" s="219" t="str">
        <f t="shared" ca="1" si="39"/>
        <v>P</v>
      </c>
      <c r="H178" s="219" t="str">
        <f t="shared" ca="1" si="39"/>
        <v>P</v>
      </c>
      <c r="I178" s="219" t="str">
        <f t="shared" ca="1" si="39"/>
        <v>R</v>
      </c>
      <c r="J178" s="219" t="str">
        <f t="shared" ca="1" si="39"/>
        <v>P</v>
      </c>
      <c r="K178" s="219" t="str">
        <f t="shared" ca="1" si="39"/>
        <v>P</v>
      </c>
      <c r="L178" s="219" t="str">
        <f t="shared" ca="1" si="39"/>
        <v>R</v>
      </c>
      <c r="M178" s="219" t="str">
        <f t="shared" ca="1" si="39"/>
        <v>P</v>
      </c>
      <c r="N178" s="219" t="str">
        <f t="shared" ca="1" si="39"/>
        <v>P</v>
      </c>
      <c r="O178" s="219" t="str">
        <f t="shared" ca="1" si="39"/>
        <v>P</v>
      </c>
      <c r="P178" s="219" t="str">
        <f t="shared" ca="1" si="39"/>
        <v>P</v>
      </c>
      <c r="Q178" s="219" t="str">
        <f t="shared" ca="1" si="39"/>
        <v>P</v>
      </c>
      <c r="R178" s="219" t="str">
        <f t="shared" ca="1" si="39"/>
        <v>P</v>
      </c>
      <c r="S178" s="219" t="str">
        <f t="shared" ca="1" si="38"/>
        <v>P</v>
      </c>
      <c r="T178" s="219" t="str">
        <f t="shared" ca="1" si="38"/>
        <v>R</v>
      </c>
      <c r="U178" s="219" t="str">
        <f t="shared" ca="1" si="38"/>
        <v>R</v>
      </c>
      <c r="V178" s="219" t="str">
        <f t="shared" ca="1" si="38"/>
        <v>P</v>
      </c>
      <c r="W178" s="219" t="str">
        <f t="shared" ca="1" si="38"/>
        <v>P</v>
      </c>
      <c r="X178" s="219" t="str">
        <f t="shared" ca="1" si="38"/>
        <v>R</v>
      </c>
      <c r="Y178" s="219" t="str">
        <f t="shared" ca="1" si="38"/>
        <v>P</v>
      </c>
      <c r="Z178" s="219" t="str">
        <f t="shared" ca="1" si="38"/>
        <v>R</v>
      </c>
      <c r="AA178" s="219" t="str">
        <f t="shared" ca="1" si="38"/>
        <v>P</v>
      </c>
      <c r="AB178" s="219" t="str">
        <f t="shared" ca="1" si="38"/>
        <v>P</v>
      </c>
      <c r="AC178" s="219" t="str">
        <f t="shared" ca="1" si="38"/>
        <v>P</v>
      </c>
      <c r="AD178" s="219" t="str">
        <f t="shared" ca="1" si="38"/>
        <v>P</v>
      </c>
      <c r="AE178" s="219" t="str">
        <f t="shared" ca="1" si="38"/>
        <v>P</v>
      </c>
      <c r="AF178" s="219" t="str">
        <f t="shared" ca="1" si="38"/>
        <v>R</v>
      </c>
      <c r="AG178" s="219" t="str">
        <f t="shared" ca="1" si="38"/>
        <v>R</v>
      </c>
      <c r="AH178" s="219" t="str">
        <f t="shared" ca="1" si="38"/>
        <v>P</v>
      </c>
      <c r="AI178" s="225">
        <f t="shared" si="31"/>
        <v>31</v>
      </c>
      <c r="AJ178" s="220">
        <f t="shared" ca="1" si="36"/>
        <v>22</v>
      </c>
      <c r="AK178" s="226">
        <f t="shared" ca="1" si="37"/>
        <v>9</v>
      </c>
    </row>
    <row r="179" spans="1:37" x14ac:dyDescent="0.25">
      <c r="A179" s="216">
        <v>1172</v>
      </c>
      <c r="B179" s="217" t="s">
        <v>1170</v>
      </c>
      <c r="C179" s="218" t="s">
        <v>1101</v>
      </c>
      <c r="D179" s="219" t="str">
        <f t="shared" ca="1" si="39"/>
        <v>P</v>
      </c>
      <c r="E179" s="219" t="str">
        <f t="shared" ca="1" si="39"/>
        <v>P</v>
      </c>
      <c r="F179" s="219" t="str">
        <f t="shared" ca="1" si="39"/>
        <v>R</v>
      </c>
      <c r="G179" s="219" t="str">
        <f t="shared" ca="1" si="39"/>
        <v>P</v>
      </c>
      <c r="H179" s="219" t="str">
        <f t="shared" ca="1" si="39"/>
        <v>P</v>
      </c>
      <c r="I179" s="219" t="str">
        <f t="shared" ca="1" si="39"/>
        <v>P</v>
      </c>
      <c r="J179" s="219" t="str">
        <f t="shared" ca="1" si="39"/>
        <v>P</v>
      </c>
      <c r="K179" s="219" t="str">
        <f t="shared" ca="1" si="39"/>
        <v>P</v>
      </c>
      <c r="L179" s="219" t="str">
        <f t="shared" ca="1" si="39"/>
        <v>P</v>
      </c>
      <c r="M179" s="219" t="str">
        <f t="shared" ca="1" si="39"/>
        <v>P</v>
      </c>
      <c r="N179" s="219" t="str">
        <f t="shared" ca="1" si="39"/>
        <v>P</v>
      </c>
      <c r="O179" s="219" t="str">
        <f t="shared" ca="1" si="39"/>
        <v>R</v>
      </c>
      <c r="P179" s="219" t="str">
        <f t="shared" ca="1" si="39"/>
        <v>P</v>
      </c>
      <c r="Q179" s="219" t="str">
        <f t="shared" ca="1" si="39"/>
        <v>P</v>
      </c>
      <c r="R179" s="219" t="str">
        <f t="shared" ca="1" si="39"/>
        <v>P</v>
      </c>
      <c r="S179" s="219" t="str">
        <f t="shared" ca="1" si="38"/>
        <v>P</v>
      </c>
      <c r="T179" s="219" t="str">
        <f t="shared" ca="1" si="38"/>
        <v>R</v>
      </c>
      <c r="U179" s="219" t="str">
        <f t="shared" ca="1" si="38"/>
        <v>R</v>
      </c>
      <c r="V179" s="219" t="str">
        <f t="shared" ca="1" si="38"/>
        <v>P</v>
      </c>
      <c r="W179" s="219" t="str">
        <f t="shared" ca="1" si="38"/>
        <v>P</v>
      </c>
      <c r="X179" s="219" t="str">
        <f t="shared" ca="1" si="38"/>
        <v>P</v>
      </c>
      <c r="Y179" s="219" t="str">
        <f t="shared" ca="1" si="38"/>
        <v>P</v>
      </c>
      <c r="Z179" s="219" t="str">
        <f t="shared" ca="1" si="38"/>
        <v>R</v>
      </c>
      <c r="AA179" s="219" t="str">
        <f t="shared" ca="1" si="38"/>
        <v>P</v>
      </c>
      <c r="AB179" s="219" t="str">
        <f t="shared" ca="1" si="38"/>
        <v>P</v>
      </c>
      <c r="AC179" s="219" t="str">
        <f t="shared" ca="1" si="38"/>
        <v>P</v>
      </c>
      <c r="AD179" s="219" t="str">
        <f t="shared" ca="1" si="38"/>
        <v>P</v>
      </c>
      <c r="AE179" s="219" t="str">
        <f t="shared" ca="1" si="38"/>
        <v>P</v>
      </c>
      <c r="AF179" s="219" t="str">
        <f t="shared" ca="1" si="38"/>
        <v>P</v>
      </c>
      <c r="AG179" s="219" t="str">
        <f t="shared" ca="1" si="38"/>
        <v>P</v>
      </c>
      <c r="AH179" s="219" t="str">
        <f t="shared" ca="1" si="38"/>
        <v>P</v>
      </c>
      <c r="AI179" s="225">
        <f t="shared" si="31"/>
        <v>31</v>
      </c>
      <c r="AJ179" s="220">
        <f t="shared" ca="1" si="36"/>
        <v>26</v>
      </c>
      <c r="AK179" s="226">
        <f t="shared" ca="1" si="37"/>
        <v>5</v>
      </c>
    </row>
    <row r="180" spans="1:37" x14ac:dyDescent="0.25">
      <c r="A180" s="216">
        <v>1173</v>
      </c>
      <c r="B180" s="217" t="s">
        <v>1171</v>
      </c>
      <c r="C180" s="218" t="s">
        <v>1108</v>
      </c>
      <c r="D180" s="219" t="str">
        <f t="shared" ca="1" si="39"/>
        <v>R</v>
      </c>
      <c r="E180" s="219" t="str">
        <f t="shared" ca="1" si="39"/>
        <v>P</v>
      </c>
      <c r="F180" s="219" t="str">
        <f t="shared" ca="1" si="39"/>
        <v>P</v>
      </c>
      <c r="G180" s="219" t="str">
        <f t="shared" ca="1" si="39"/>
        <v>P</v>
      </c>
      <c r="H180" s="219" t="str">
        <f t="shared" ca="1" si="39"/>
        <v>P</v>
      </c>
      <c r="I180" s="219" t="str">
        <f t="shared" ca="1" si="39"/>
        <v>R</v>
      </c>
      <c r="J180" s="219" t="str">
        <f t="shared" ca="1" si="39"/>
        <v>P</v>
      </c>
      <c r="K180" s="219" t="str">
        <f t="shared" ca="1" si="39"/>
        <v>R</v>
      </c>
      <c r="L180" s="219" t="str">
        <f t="shared" ca="1" si="39"/>
        <v>P</v>
      </c>
      <c r="M180" s="219" t="str">
        <f t="shared" ca="1" si="39"/>
        <v>P</v>
      </c>
      <c r="N180" s="219" t="str">
        <f t="shared" ca="1" si="39"/>
        <v>P</v>
      </c>
      <c r="O180" s="219" t="str">
        <f t="shared" ca="1" si="39"/>
        <v>P</v>
      </c>
      <c r="P180" s="219" t="str">
        <f t="shared" ca="1" si="39"/>
        <v>P</v>
      </c>
      <c r="Q180" s="219" t="str">
        <f t="shared" ca="1" si="39"/>
        <v>P</v>
      </c>
      <c r="R180" s="219" t="str">
        <f t="shared" ca="1" si="39"/>
        <v>P</v>
      </c>
      <c r="S180" s="219" t="str">
        <f t="shared" ca="1" si="38"/>
        <v>R</v>
      </c>
      <c r="T180" s="219" t="str">
        <f t="shared" ca="1" si="38"/>
        <v>P</v>
      </c>
      <c r="U180" s="219" t="str">
        <f t="shared" ca="1" si="38"/>
        <v>P</v>
      </c>
      <c r="V180" s="219" t="str">
        <f t="shared" ca="1" si="38"/>
        <v>P</v>
      </c>
      <c r="W180" s="219" t="str">
        <f t="shared" ca="1" si="38"/>
        <v>P</v>
      </c>
      <c r="X180" s="219" t="str">
        <f t="shared" ca="1" si="38"/>
        <v>R</v>
      </c>
      <c r="Y180" s="219" t="str">
        <f t="shared" ca="1" si="38"/>
        <v>P</v>
      </c>
      <c r="Z180" s="219" t="str">
        <f t="shared" ca="1" si="38"/>
        <v>P</v>
      </c>
      <c r="AA180" s="219" t="str">
        <f t="shared" ca="1" si="38"/>
        <v>R</v>
      </c>
      <c r="AB180" s="219" t="str">
        <f t="shared" ca="1" si="38"/>
        <v>P</v>
      </c>
      <c r="AC180" s="219" t="str">
        <f t="shared" ca="1" si="38"/>
        <v>P</v>
      </c>
      <c r="AD180" s="219" t="str">
        <f t="shared" ca="1" si="38"/>
        <v>P</v>
      </c>
      <c r="AE180" s="219" t="str">
        <f t="shared" ca="1" si="38"/>
        <v>P</v>
      </c>
      <c r="AF180" s="219" t="str">
        <f t="shared" ca="1" si="38"/>
        <v>R</v>
      </c>
      <c r="AG180" s="219" t="str">
        <f t="shared" ca="1" si="38"/>
        <v>P</v>
      </c>
      <c r="AH180" s="219" t="str">
        <f t="shared" ca="1" si="38"/>
        <v>P</v>
      </c>
      <c r="AI180" s="225">
        <f t="shared" si="31"/>
        <v>31</v>
      </c>
      <c r="AJ180" s="220">
        <f t="shared" ca="1" si="36"/>
        <v>24</v>
      </c>
      <c r="AK180" s="226">
        <f t="shared" ca="1" si="37"/>
        <v>7</v>
      </c>
    </row>
    <row r="181" spans="1:37" x14ac:dyDescent="0.25">
      <c r="A181" s="216">
        <v>1174</v>
      </c>
      <c r="B181" s="217" t="s">
        <v>1172</v>
      </c>
      <c r="C181" s="218" t="s">
        <v>1106</v>
      </c>
      <c r="D181" s="219" t="str">
        <f t="shared" ca="1" si="39"/>
        <v>P</v>
      </c>
      <c r="E181" s="219" t="str">
        <f t="shared" ca="1" si="39"/>
        <v>R</v>
      </c>
      <c r="F181" s="219" t="str">
        <f t="shared" ca="1" si="39"/>
        <v>R</v>
      </c>
      <c r="G181" s="219" t="str">
        <f t="shared" ca="1" si="39"/>
        <v>P</v>
      </c>
      <c r="H181" s="219" t="str">
        <f t="shared" ca="1" si="39"/>
        <v>P</v>
      </c>
      <c r="I181" s="219" t="str">
        <f t="shared" ca="1" si="39"/>
        <v>P</v>
      </c>
      <c r="J181" s="219" t="str">
        <f t="shared" ca="1" si="39"/>
        <v>P</v>
      </c>
      <c r="K181" s="219" t="str">
        <f t="shared" ca="1" si="39"/>
        <v>P</v>
      </c>
      <c r="L181" s="219" t="str">
        <f t="shared" ca="1" si="39"/>
        <v>P</v>
      </c>
      <c r="M181" s="219" t="str">
        <f t="shared" ca="1" si="39"/>
        <v>P</v>
      </c>
      <c r="N181" s="219" t="str">
        <f t="shared" ca="1" si="39"/>
        <v>P</v>
      </c>
      <c r="O181" s="219" t="str">
        <f t="shared" ca="1" si="39"/>
        <v>P</v>
      </c>
      <c r="P181" s="219" t="str">
        <f t="shared" ca="1" si="39"/>
        <v>P</v>
      </c>
      <c r="Q181" s="219" t="str">
        <f t="shared" ca="1" si="39"/>
        <v>P</v>
      </c>
      <c r="R181" s="219" t="str">
        <f t="shared" ca="1" si="39"/>
        <v>P</v>
      </c>
      <c r="S181" s="219" t="str">
        <f t="shared" ca="1" si="38"/>
        <v>P</v>
      </c>
      <c r="T181" s="219" t="str">
        <f t="shared" ca="1" si="38"/>
        <v>P</v>
      </c>
      <c r="U181" s="219" t="str">
        <f t="shared" ca="1" si="38"/>
        <v>P</v>
      </c>
      <c r="V181" s="219" t="str">
        <f t="shared" ca="1" si="38"/>
        <v>P</v>
      </c>
      <c r="W181" s="219" t="str">
        <f t="shared" ca="1" si="38"/>
        <v>P</v>
      </c>
      <c r="X181" s="219" t="str">
        <f t="shared" ca="1" si="38"/>
        <v>P</v>
      </c>
      <c r="Y181" s="219" t="str">
        <f t="shared" ca="1" si="38"/>
        <v>R</v>
      </c>
      <c r="Z181" s="219" t="str">
        <f t="shared" ca="1" si="38"/>
        <v>P</v>
      </c>
      <c r="AA181" s="219" t="str">
        <f t="shared" ca="1" si="38"/>
        <v>R</v>
      </c>
      <c r="AB181" s="219" t="str">
        <f t="shared" ca="1" si="38"/>
        <v>P</v>
      </c>
      <c r="AC181" s="219" t="str">
        <f t="shared" ca="1" si="38"/>
        <v>P</v>
      </c>
      <c r="AD181" s="219" t="str">
        <f t="shared" ca="1" si="38"/>
        <v>P</v>
      </c>
      <c r="AE181" s="219" t="str">
        <f t="shared" ca="1" si="38"/>
        <v>P</v>
      </c>
      <c r="AF181" s="219" t="str">
        <f t="shared" ca="1" si="38"/>
        <v>P</v>
      </c>
      <c r="AG181" s="219" t="str">
        <f t="shared" ca="1" si="38"/>
        <v>P</v>
      </c>
      <c r="AH181" s="219" t="str">
        <f t="shared" ca="1" si="38"/>
        <v>P</v>
      </c>
      <c r="AI181" s="225">
        <f t="shared" si="31"/>
        <v>31</v>
      </c>
      <c r="AJ181" s="220">
        <f t="shared" ca="1" si="36"/>
        <v>27</v>
      </c>
      <c r="AK181" s="226">
        <f t="shared" ca="1" si="37"/>
        <v>4</v>
      </c>
    </row>
    <row r="182" spans="1:37" x14ac:dyDescent="0.25">
      <c r="A182" s="216">
        <v>1175</v>
      </c>
      <c r="B182" s="217" t="s">
        <v>1173</v>
      </c>
      <c r="C182" s="218" t="s">
        <v>1107</v>
      </c>
      <c r="D182" s="219" t="str">
        <f t="shared" ca="1" si="39"/>
        <v>P</v>
      </c>
      <c r="E182" s="219" t="str">
        <f t="shared" ca="1" si="39"/>
        <v>P</v>
      </c>
      <c r="F182" s="219" t="str">
        <f t="shared" ca="1" si="39"/>
        <v>R</v>
      </c>
      <c r="G182" s="219" t="str">
        <f t="shared" ca="1" si="39"/>
        <v>P</v>
      </c>
      <c r="H182" s="219" t="str">
        <f t="shared" ca="1" si="39"/>
        <v>P</v>
      </c>
      <c r="I182" s="219" t="str">
        <f t="shared" ca="1" si="39"/>
        <v>P</v>
      </c>
      <c r="J182" s="219" t="str">
        <f t="shared" ca="1" si="39"/>
        <v>P</v>
      </c>
      <c r="K182" s="219" t="str">
        <f t="shared" ca="1" si="39"/>
        <v>P</v>
      </c>
      <c r="L182" s="219" t="str">
        <f t="shared" ca="1" si="39"/>
        <v>P</v>
      </c>
      <c r="M182" s="219" t="str">
        <f t="shared" ca="1" si="39"/>
        <v>R</v>
      </c>
      <c r="N182" s="219" t="str">
        <f t="shared" ca="1" si="39"/>
        <v>P</v>
      </c>
      <c r="O182" s="219" t="str">
        <f t="shared" ca="1" si="39"/>
        <v>R</v>
      </c>
      <c r="P182" s="219" t="str">
        <f t="shared" ca="1" si="39"/>
        <v>P</v>
      </c>
      <c r="Q182" s="219" t="str">
        <f t="shared" ca="1" si="39"/>
        <v>P</v>
      </c>
      <c r="R182" s="219" t="str">
        <f t="shared" ca="1" si="39"/>
        <v>P</v>
      </c>
      <c r="S182" s="219" t="str">
        <f t="shared" ca="1" si="38"/>
        <v>P</v>
      </c>
      <c r="T182" s="219" t="str">
        <f t="shared" ca="1" si="38"/>
        <v>P</v>
      </c>
      <c r="U182" s="219" t="str">
        <f t="shared" ca="1" si="38"/>
        <v>R</v>
      </c>
      <c r="V182" s="219" t="str">
        <f t="shared" ca="1" si="38"/>
        <v>P</v>
      </c>
      <c r="W182" s="219" t="str">
        <f t="shared" ca="1" si="38"/>
        <v>P</v>
      </c>
      <c r="X182" s="219" t="str">
        <f t="shared" ca="1" si="38"/>
        <v>P</v>
      </c>
      <c r="Y182" s="219" t="str">
        <f t="shared" ca="1" si="38"/>
        <v>R</v>
      </c>
      <c r="Z182" s="219" t="str">
        <f t="shared" ca="1" si="38"/>
        <v>P</v>
      </c>
      <c r="AA182" s="219" t="str">
        <f t="shared" ca="1" si="38"/>
        <v>P</v>
      </c>
      <c r="AB182" s="219" t="str">
        <f t="shared" ca="1" si="38"/>
        <v>P</v>
      </c>
      <c r="AC182" s="219" t="str">
        <f t="shared" ca="1" si="38"/>
        <v>P</v>
      </c>
      <c r="AD182" s="219" t="str">
        <f t="shared" ca="1" si="38"/>
        <v>P</v>
      </c>
      <c r="AE182" s="219" t="str">
        <f t="shared" ca="1" si="38"/>
        <v>R</v>
      </c>
      <c r="AF182" s="219" t="str">
        <f t="shared" ca="1" si="38"/>
        <v>P</v>
      </c>
      <c r="AG182" s="219" t="str">
        <f t="shared" ca="1" si="38"/>
        <v>P</v>
      </c>
      <c r="AH182" s="219" t="str">
        <f t="shared" ca="1" si="38"/>
        <v>P</v>
      </c>
      <c r="AI182" s="225">
        <f t="shared" si="31"/>
        <v>31</v>
      </c>
      <c r="AJ182" s="220">
        <f t="shared" ca="1" si="36"/>
        <v>25</v>
      </c>
      <c r="AK182" s="226">
        <f t="shared" ca="1" si="37"/>
        <v>6</v>
      </c>
    </row>
    <row r="183" spans="1:37" x14ac:dyDescent="0.25">
      <c r="A183" s="216">
        <v>1176</v>
      </c>
      <c r="B183" s="217" t="s">
        <v>1174</v>
      </c>
      <c r="C183" s="218" t="s">
        <v>1109</v>
      </c>
      <c r="D183" s="219" t="str">
        <f t="shared" ca="1" si="39"/>
        <v>P</v>
      </c>
      <c r="E183" s="219" t="str">
        <f t="shared" ca="1" si="39"/>
        <v>R</v>
      </c>
      <c r="F183" s="219" t="str">
        <f t="shared" ca="1" si="39"/>
        <v>P</v>
      </c>
      <c r="G183" s="219" t="str">
        <f t="shared" ca="1" si="39"/>
        <v>P</v>
      </c>
      <c r="H183" s="219" t="str">
        <f t="shared" ca="1" si="39"/>
        <v>P</v>
      </c>
      <c r="I183" s="219" t="str">
        <f t="shared" ca="1" si="39"/>
        <v>P</v>
      </c>
      <c r="J183" s="219" t="str">
        <f t="shared" ca="1" si="39"/>
        <v>P</v>
      </c>
      <c r="K183" s="219" t="str">
        <f t="shared" ca="1" si="39"/>
        <v>P</v>
      </c>
      <c r="L183" s="219" t="str">
        <f t="shared" ca="1" si="39"/>
        <v>P</v>
      </c>
      <c r="M183" s="219" t="str">
        <f t="shared" ca="1" si="39"/>
        <v>P</v>
      </c>
      <c r="N183" s="219" t="str">
        <f t="shared" ca="1" si="39"/>
        <v>P</v>
      </c>
      <c r="O183" s="219" t="str">
        <f t="shared" ca="1" si="39"/>
        <v>P</v>
      </c>
      <c r="P183" s="219" t="str">
        <f t="shared" ca="1" si="39"/>
        <v>P</v>
      </c>
      <c r="Q183" s="219" t="str">
        <f t="shared" ca="1" si="39"/>
        <v>P</v>
      </c>
      <c r="R183" s="219" t="str">
        <f t="shared" ca="1" si="39"/>
        <v>R</v>
      </c>
      <c r="S183" s="219" t="str">
        <f t="shared" ca="1" si="38"/>
        <v>P</v>
      </c>
      <c r="T183" s="219" t="str">
        <f t="shared" ca="1" si="38"/>
        <v>P</v>
      </c>
      <c r="U183" s="219" t="str">
        <f t="shared" ca="1" si="38"/>
        <v>P</v>
      </c>
      <c r="V183" s="219" t="str">
        <f t="shared" ca="1" si="38"/>
        <v>P</v>
      </c>
      <c r="W183" s="219" t="str">
        <f t="shared" ca="1" si="38"/>
        <v>P</v>
      </c>
      <c r="X183" s="219" t="str">
        <f t="shared" ca="1" si="38"/>
        <v>R</v>
      </c>
      <c r="Y183" s="219" t="str">
        <f t="shared" ca="1" si="38"/>
        <v>P</v>
      </c>
      <c r="Z183" s="219" t="str">
        <f t="shared" ca="1" si="38"/>
        <v>P</v>
      </c>
      <c r="AA183" s="219" t="str">
        <f t="shared" ca="1" si="38"/>
        <v>P</v>
      </c>
      <c r="AB183" s="219" t="str">
        <f t="shared" ca="1" si="38"/>
        <v>P</v>
      </c>
      <c r="AC183" s="219" t="str">
        <f t="shared" ca="1" si="38"/>
        <v>R</v>
      </c>
      <c r="AD183" s="219" t="str">
        <f t="shared" ca="1" si="38"/>
        <v>R</v>
      </c>
      <c r="AE183" s="219" t="str">
        <f t="shared" ca="1" si="38"/>
        <v>R</v>
      </c>
      <c r="AF183" s="219" t="str">
        <f t="shared" ca="1" si="38"/>
        <v>P</v>
      </c>
      <c r="AG183" s="219" t="str">
        <f t="shared" ca="1" si="38"/>
        <v>P</v>
      </c>
      <c r="AH183" s="219" t="str">
        <f t="shared" ca="1" si="38"/>
        <v>P</v>
      </c>
      <c r="AI183" s="225">
        <f t="shared" si="31"/>
        <v>31</v>
      </c>
      <c r="AJ183" s="220">
        <f t="shared" ca="1" si="36"/>
        <v>25</v>
      </c>
      <c r="AK183" s="226">
        <f t="shared" ca="1" si="37"/>
        <v>6</v>
      </c>
    </row>
    <row r="184" spans="1:37" x14ac:dyDescent="0.25">
      <c r="A184" s="216">
        <v>1177</v>
      </c>
      <c r="B184" s="217" t="s">
        <v>1175</v>
      </c>
      <c r="C184" s="218" t="s">
        <v>1104</v>
      </c>
      <c r="D184" s="219" t="str">
        <f t="shared" ca="1" si="39"/>
        <v>P</v>
      </c>
      <c r="E184" s="219" t="str">
        <f t="shared" ca="1" si="39"/>
        <v>P</v>
      </c>
      <c r="F184" s="219" t="str">
        <f t="shared" ca="1" si="39"/>
        <v>P</v>
      </c>
      <c r="G184" s="219" t="str">
        <f t="shared" ca="1" si="39"/>
        <v>P</v>
      </c>
      <c r="H184" s="219" t="str">
        <f t="shared" ca="1" si="39"/>
        <v>P</v>
      </c>
      <c r="I184" s="219" t="str">
        <f t="shared" ca="1" si="39"/>
        <v>P</v>
      </c>
      <c r="J184" s="219" t="str">
        <f t="shared" ca="1" si="39"/>
        <v>P</v>
      </c>
      <c r="K184" s="219" t="str">
        <f t="shared" ca="1" si="39"/>
        <v>P</v>
      </c>
      <c r="L184" s="219" t="str">
        <f t="shared" ca="1" si="39"/>
        <v>P</v>
      </c>
      <c r="M184" s="219" t="str">
        <f t="shared" ca="1" si="39"/>
        <v>P</v>
      </c>
      <c r="N184" s="219" t="str">
        <f t="shared" ca="1" si="39"/>
        <v>P</v>
      </c>
      <c r="O184" s="219" t="str">
        <f t="shared" ca="1" si="39"/>
        <v>P</v>
      </c>
      <c r="P184" s="219" t="str">
        <f t="shared" ca="1" si="39"/>
        <v>P</v>
      </c>
      <c r="Q184" s="219" t="str">
        <f t="shared" ca="1" si="39"/>
        <v>R</v>
      </c>
      <c r="R184" s="219" t="str">
        <f t="shared" ca="1" si="39"/>
        <v>R</v>
      </c>
      <c r="S184" s="219" t="str">
        <f t="shared" ca="1" si="39"/>
        <v>P</v>
      </c>
      <c r="T184" s="219" t="str">
        <f t="shared" ref="S184:AH199" ca="1" si="40">IF(T$6="","",IF(RAND()&lt;0.8,"P","R"))</f>
        <v>P</v>
      </c>
      <c r="U184" s="219" t="str">
        <f t="shared" ca="1" si="40"/>
        <v>P</v>
      </c>
      <c r="V184" s="219" t="str">
        <f t="shared" ca="1" si="40"/>
        <v>P</v>
      </c>
      <c r="W184" s="219" t="str">
        <f t="shared" ca="1" si="40"/>
        <v>P</v>
      </c>
      <c r="X184" s="219" t="str">
        <f t="shared" ca="1" si="40"/>
        <v>R</v>
      </c>
      <c r="Y184" s="219" t="str">
        <f t="shared" ca="1" si="40"/>
        <v>P</v>
      </c>
      <c r="Z184" s="219" t="str">
        <f t="shared" ca="1" si="40"/>
        <v>R</v>
      </c>
      <c r="AA184" s="219" t="str">
        <f t="shared" ca="1" si="40"/>
        <v>P</v>
      </c>
      <c r="AB184" s="219" t="str">
        <f t="shared" ca="1" si="40"/>
        <v>R</v>
      </c>
      <c r="AC184" s="219" t="str">
        <f t="shared" ca="1" si="40"/>
        <v>P</v>
      </c>
      <c r="AD184" s="219" t="str">
        <f t="shared" ca="1" si="40"/>
        <v>P</v>
      </c>
      <c r="AE184" s="219" t="str">
        <f t="shared" ca="1" si="40"/>
        <v>P</v>
      </c>
      <c r="AF184" s="219" t="str">
        <f t="shared" ca="1" si="40"/>
        <v>R</v>
      </c>
      <c r="AG184" s="219" t="str">
        <f t="shared" ca="1" si="40"/>
        <v>P</v>
      </c>
      <c r="AH184" s="219" t="str">
        <f t="shared" ca="1" si="40"/>
        <v>R</v>
      </c>
      <c r="AI184" s="225">
        <f t="shared" si="31"/>
        <v>31</v>
      </c>
      <c r="AJ184" s="220">
        <f t="shared" ca="1" si="36"/>
        <v>24</v>
      </c>
      <c r="AK184" s="226">
        <f t="shared" ca="1" si="37"/>
        <v>7</v>
      </c>
    </row>
    <row r="185" spans="1:37" x14ac:dyDescent="0.25">
      <c r="A185" s="216">
        <v>1178</v>
      </c>
      <c r="B185" s="217" t="s">
        <v>1176</v>
      </c>
      <c r="C185" s="218" t="s">
        <v>1115</v>
      </c>
      <c r="D185" s="219" t="str">
        <f t="shared" ca="1" si="39"/>
        <v>P</v>
      </c>
      <c r="E185" s="219" t="str">
        <f t="shared" ca="1" si="39"/>
        <v>P</v>
      </c>
      <c r="F185" s="219" t="str">
        <f t="shared" ca="1" si="39"/>
        <v>R</v>
      </c>
      <c r="G185" s="219" t="str">
        <f t="shared" ca="1" si="39"/>
        <v>P</v>
      </c>
      <c r="H185" s="219" t="str">
        <f t="shared" ca="1" si="39"/>
        <v>P</v>
      </c>
      <c r="I185" s="219" t="str">
        <f t="shared" ca="1" si="39"/>
        <v>P</v>
      </c>
      <c r="J185" s="219" t="str">
        <f t="shared" ca="1" si="39"/>
        <v>P</v>
      </c>
      <c r="K185" s="219" t="str">
        <f t="shared" ca="1" si="39"/>
        <v>P</v>
      </c>
      <c r="L185" s="219" t="str">
        <f t="shared" ca="1" si="39"/>
        <v>P</v>
      </c>
      <c r="M185" s="219" t="str">
        <f t="shared" ca="1" si="39"/>
        <v>P</v>
      </c>
      <c r="N185" s="219" t="str">
        <f t="shared" ca="1" si="39"/>
        <v>P</v>
      </c>
      <c r="O185" s="219" t="str">
        <f t="shared" ca="1" si="39"/>
        <v>P</v>
      </c>
      <c r="P185" s="219" t="str">
        <f t="shared" ca="1" si="39"/>
        <v>P</v>
      </c>
      <c r="Q185" s="219" t="str">
        <f t="shared" ca="1" si="39"/>
        <v>R</v>
      </c>
      <c r="R185" s="219" t="str">
        <f t="shared" ca="1" si="39"/>
        <v>R</v>
      </c>
      <c r="S185" s="219" t="str">
        <f t="shared" ca="1" si="40"/>
        <v>P</v>
      </c>
      <c r="T185" s="219" t="str">
        <f t="shared" ca="1" si="40"/>
        <v>R</v>
      </c>
      <c r="U185" s="219" t="str">
        <f t="shared" ca="1" si="40"/>
        <v>P</v>
      </c>
      <c r="V185" s="219" t="str">
        <f t="shared" ca="1" si="40"/>
        <v>P</v>
      </c>
      <c r="W185" s="219" t="str">
        <f t="shared" ca="1" si="40"/>
        <v>R</v>
      </c>
      <c r="X185" s="219" t="str">
        <f t="shared" ca="1" si="40"/>
        <v>P</v>
      </c>
      <c r="Y185" s="219" t="str">
        <f t="shared" ca="1" si="40"/>
        <v>P</v>
      </c>
      <c r="Z185" s="219" t="str">
        <f t="shared" ca="1" si="40"/>
        <v>P</v>
      </c>
      <c r="AA185" s="219" t="str">
        <f t="shared" ca="1" si="40"/>
        <v>P</v>
      </c>
      <c r="AB185" s="219" t="str">
        <f t="shared" ca="1" si="40"/>
        <v>P</v>
      </c>
      <c r="AC185" s="219" t="str">
        <f t="shared" ca="1" si="40"/>
        <v>R</v>
      </c>
      <c r="AD185" s="219" t="str">
        <f t="shared" ca="1" si="40"/>
        <v>P</v>
      </c>
      <c r="AE185" s="219" t="str">
        <f t="shared" ca="1" si="40"/>
        <v>P</v>
      </c>
      <c r="AF185" s="219" t="str">
        <f t="shared" ca="1" si="40"/>
        <v>P</v>
      </c>
      <c r="AG185" s="219" t="str">
        <f t="shared" ca="1" si="40"/>
        <v>R</v>
      </c>
      <c r="AH185" s="219" t="str">
        <f t="shared" ca="1" si="40"/>
        <v>P</v>
      </c>
      <c r="AI185" s="225">
        <f t="shared" si="31"/>
        <v>31</v>
      </c>
      <c r="AJ185" s="220">
        <f t="shared" ca="1" si="36"/>
        <v>24</v>
      </c>
      <c r="AK185" s="226">
        <f t="shared" ca="1" si="37"/>
        <v>7</v>
      </c>
    </row>
    <row r="186" spans="1:37" x14ac:dyDescent="0.25">
      <c r="A186" s="216">
        <v>1179</v>
      </c>
      <c r="B186" s="217" t="s">
        <v>1177</v>
      </c>
      <c r="C186" s="218" t="s">
        <v>1113</v>
      </c>
      <c r="D186" s="219" t="str">
        <f t="shared" ca="1" si="39"/>
        <v>P</v>
      </c>
      <c r="E186" s="219" t="str">
        <f t="shared" ca="1" si="39"/>
        <v>P</v>
      </c>
      <c r="F186" s="219" t="str">
        <f t="shared" ca="1" si="39"/>
        <v>P</v>
      </c>
      <c r="G186" s="219" t="str">
        <f t="shared" ca="1" si="39"/>
        <v>R</v>
      </c>
      <c r="H186" s="219" t="str">
        <f t="shared" ca="1" si="39"/>
        <v>P</v>
      </c>
      <c r="I186" s="219" t="str">
        <f t="shared" ca="1" si="39"/>
        <v>P</v>
      </c>
      <c r="J186" s="219" t="str">
        <f t="shared" ca="1" si="39"/>
        <v>R</v>
      </c>
      <c r="K186" s="219" t="str">
        <f t="shared" ca="1" si="39"/>
        <v>P</v>
      </c>
      <c r="L186" s="219" t="str">
        <f t="shared" ca="1" si="39"/>
        <v>P</v>
      </c>
      <c r="M186" s="219" t="str">
        <f t="shared" ca="1" si="39"/>
        <v>P</v>
      </c>
      <c r="N186" s="219" t="str">
        <f t="shared" ca="1" si="39"/>
        <v>R</v>
      </c>
      <c r="O186" s="219" t="str">
        <f t="shared" ca="1" si="39"/>
        <v>P</v>
      </c>
      <c r="P186" s="219" t="str">
        <f t="shared" ca="1" si="39"/>
        <v>P</v>
      </c>
      <c r="Q186" s="219" t="str">
        <f t="shared" ca="1" si="39"/>
        <v>P</v>
      </c>
      <c r="R186" s="219" t="str">
        <f t="shared" ref="D186:S203" ca="1" si="41">IF(R$6="","",IF(RAND()&lt;0.8,"P","R"))</f>
        <v>P</v>
      </c>
      <c r="S186" s="219" t="str">
        <f t="shared" ca="1" si="40"/>
        <v>R</v>
      </c>
      <c r="T186" s="219" t="str">
        <f t="shared" ca="1" si="40"/>
        <v>P</v>
      </c>
      <c r="U186" s="219" t="str">
        <f t="shared" ca="1" si="40"/>
        <v>R</v>
      </c>
      <c r="V186" s="219" t="str">
        <f t="shared" ca="1" si="40"/>
        <v>R</v>
      </c>
      <c r="W186" s="219" t="str">
        <f t="shared" ca="1" si="40"/>
        <v>P</v>
      </c>
      <c r="X186" s="219" t="str">
        <f t="shared" ca="1" si="40"/>
        <v>R</v>
      </c>
      <c r="Y186" s="219" t="str">
        <f t="shared" ca="1" si="40"/>
        <v>R</v>
      </c>
      <c r="Z186" s="219" t="str">
        <f t="shared" ca="1" si="40"/>
        <v>P</v>
      </c>
      <c r="AA186" s="219" t="str">
        <f t="shared" ca="1" si="40"/>
        <v>P</v>
      </c>
      <c r="AB186" s="219" t="str">
        <f t="shared" ca="1" si="40"/>
        <v>P</v>
      </c>
      <c r="AC186" s="219" t="str">
        <f t="shared" ca="1" si="40"/>
        <v>P</v>
      </c>
      <c r="AD186" s="219" t="str">
        <f t="shared" ca="1" si="40"/>
        <v>R</v>
      </c>
      <c r="AE186" s="219" t="str">
        <f t="shared" ca="1" si="40"/>
        <v>R</v>
      </c>
      <c r="AF186" s="219" t="str">
        <f t="shared" ca="1" si="40"/>
        <v>P</v>
      </c>
      <c r="AG186" s="219" t="str">
        <f t="shared" ca="1" si="40"/>
        <v>P</v>
      </c>
      <c r="AH186" s="219" t="str">
        <f t="shared" ca="1" si="40"/>
        <v>P</v>
      </c>
      <c r="AI186" s="225">
        <f t="shared" si="31"/>
        <v>31</v>
      </c>
      <c r="AJ186" s="220">
        <f t="shared" ca="1" si="36"/>
        <v>21</v>
      </c>
      <c r="AK186" s="226">
        <f t="shared" ca="1" si="37"/>
        <v>10</v>
      </c>
    </row>
    <row r="187" spans="1:37" x14ac:dyDescent="0.25">
      <c r="A187" s="216">
        <v>1180</v>
      </c>
      <c r="B187" s="217" t="s">
        <v>1178</v>
      </c>
      <c r="C187" s="218" t="s">
        <v>1112</v>
      </c>
      <c r="D187" s="219" t="str">
        <f t="shared" ca="1" si="41"/>
        <v>P</v>
      </c>
      <c r="E187" s="219" t="str">
        <f t="shared" ca="1" si="41"/>
        <v>P</v>
      </c>
      <c r="F187" s="219" t="str">
        <f t="shared" ca="1" si="41"/>
        <v>P</v>
      </c>
      <c r="G187" s="219" t="str">
        <f t="shared" ca="1" si="41"/>
        <v>R</v>
      </c>
      <c r="H187" s="219" t="str">
        <f t="shared" ca="1" si="41"/>
        <v>P</v>
      </c>
      <c r="I187" s="219" t="str">
        <f t="shared" ca="1" si="41"/>
        <v>P</v>
      </c>
      <c r="J187" s="219" t="str">
        <f t="shared" ca="1" si="41"/>
        <v>R</v>
      </c>
      <c r="K187" s="219" t="str">
        <f t="shared" ca="1" si="41"/>
        <v>P</v>
      </c>
      <c r="L187" s="219" t="str">
        <f t="shared" ca="1" si="41"/>
        <v>P</v>
      </c>
      <c r="M187" s="219" t="str">
        <f t="shared" ca="1" si="41"/>
        <v>P</v>
      </c>
      <c r="N187" s="219" t="str">
        <f t="shared" ca="1" si="41"/>
        <v>P</v>
      </c>
      <c r="O187" s="219" t="str">
        <f t="shared" ca="1" si="41"/>
        <v>P</v>
      </c>
      <c r="P187" s="219" t="str">
        <f t="shared" ca="1" si="41"/>
        <v>R</v>
      </c>
      <c r="Q187" s="219" t="str">
        <f t="shared" ca="1" si="41"/>
        <v>P</v>
      </c>
      <c r="R187" s="219" t="str">
        <f t="shared" ca="1" si="41"/>
        <v>P</v>
      </c>
      <c r="S187" s="219" t="str">
        <f t="shared" ca="1" si="40"/>
        <v>P</v>
      </c>
      <c r="T187" s="219" t="str">
        <f t="shared" ca="1" si="40"/>
        <v>P</v>
      </c>
      <c r="U187" s="219" t="str">
        <f t="shared" ca="1" si="40"/>
        <v>P</v>
      </c>
      <c r="V187" s="219" t="str">
        <f t="shared" ca="1" si="40"/>
        <v>P</v>
      </c>
      <c r="W187" s="219" t="str">
        <f t="shared" ca="1" si="40"/>
        <v>P</v>
      </c>
      <c r="X187" s="219" t="str">
        <f t="shared" ca="1" si="40"/>
        <v>R</v>
      </c>
      <c r="Y187" s="219" t="str">
        <f t="shared" ca="1" si="40"/>
        <v>P</v>
      </c>
      <c r="Z187" s="219" t="str">
        <f t="shared" ca="1" si="40"/>
        <v>P</v>
      </c>
      <c r="AA187" s="219" t="str">
        <f t="shared" ca="1" si="40"/>
        <v>P</v>
      </c>
      <c r="AB187" s="219" t="str">
        <f t="shared" ca="1" si="40"/>
        <v>P</v>
      </c>
      <c r="AC187" s="219" t="str">
        <f t="shared" ca="1" si="40"/>
        <v>P</v>
      </c>
      <c r="AD187" s="219" t="str">
        <f t="shared" ca="1" si="40"/>
        <v>P</v>
      </c>
      <c r="AE187" s="219" t="str">
        <f t="shared" ca="1" si="40"/>
        <v>P</v>
      </c>
      <c r="AF187" s="219" t="str">
        <f t="shared" ca="1" si="40"/>
        <v>P</v>
      </c>
      <c r="AG187" s="219" t="str">
        <f t="shared" ca="1" si="40"/>
        <v>R</v>
      </c>
      <c r="AH187" s="219" t="str">
        <f t="shared" ca="1" si="40"/>
        <v>P</v>
      </c>
      <c r="AI187" s="225">
        <f t="shared" si="31"/>
        <v>31</v>
      </c>
      <c r="AJ187" s="220">
        <f t="shared" ca="1" si="36"/>
        <v>26</v>
      </c>
      <c r="AK187" s="226">
        <f t="shared" ca="1" si="37"/>
        <v>5</v>
      </c>
    </row>
    <row r="188" spans="1:37" x14ac:dyDescent="0.25">
      <c r="A188" s="216">
        <v>1181</v>
      </c>
      <c r="B188" s="217" t="s">
        <v>1179</v>
      </c>
      <c r="C188" s="218" t="s">
        <v>1114</v>
      </c>
      <c r="D188" s="219" t="str">
        <f t="shared" ca="1" si="41"/>
        <v>P</v>
      </c>
      <c r="E188" s="219" t="str">
        <f t="shared" ca="1" si="41"/>
        <v>R</v>
      </c>
      <c r="F188" s="219" t="str">
        <f t="shared" ca="1" si="41"/>
        <v>P</v>
      </c>
      <c r="G188" s="219" t="str">
        <f t="shared" ca="1" si="41"/>
        <v>P</v>
      </c>
      <c r="H188" s="219" t="str">
        <f t="shared" ca="1" si="41"/>
        <v>P</v>
      </c>
      <c r="I188" s="219" t="str">
        <f t="shared" ca="1" si="41"/>
        <v>P</v>
      </c>
      <c r="J188" s="219" t="str">
        <f t="shared" ca="1" si="41"/>
        <v>P</v>
      </c>
      <c r="K188" s="219" t="str">
        <f t="shared" ca="1" si="41"/>
        <v>P</v>
      </c>
      <c r="L188" s="219" t="str">
        <f t="shared" ca="1" si="41"/>
        <v>P</v>
      </c>
      <c r="M188" s="219" t="str">
        <f t="shared" ca="1" si="41"/>
        <v>R</v>
      </c>
      <c r="N188" s="219" t="str">
        <f t="shared" ca="1" si="41"/>
        <v>P</v>
      </c>
      <c r="O188" s="219" t="str">
        <f t="shared" ca="1" si="41"/>
        <v>R</v>
      </c>
      <c r="P188" s="219" t="str">
        <f t="shared" ca="1" si="41"/>
        <v>P</v>
      </c>
      <c r="Q188" s="219" t="str">
        <f t="shared" ca="1" si="41"/>
        <v>R</v>
      </c>
      <c r="R188" s="219" t="str">
        <f t="shared" ca="1" si="41"/>
        <v>P</v>
      </c>
      <c r="S188" s="219" t="str">
        <f t="shared" ca="1" si="40"/>
        <v>P</v>
      </c>
      <c r="T188" s="219" t="str">
        <f t="shared" ca="1" si="40"/>
        <v>P</v>
      </c>
      <c r="U188" s="219" t="str">
        <f t="shared" ca="1" si="40"/>
        <v>P</v>
      </c>
      <c r="V188" s="219" t="str">
        <f t="shared" ca="1" si="40"/>
        <v>R</v>
      </c>
      <c r="W188" s="219" t="str">
        <f t="shared" ca="1" si="40"/>
        <v>P</v>
      </c>
      <c r="X188" s="219" t="str">
        <f t="shared" ca="1" si="40"/>
        <v>P</v>
      </c>
      <c r="Y188" s="219" t="str">
        <f t="shared" ca="1" si="40"/>
        <v>P</v>
      </c>
      <c r="Z188" s="219" t="str">
        <f t="shared" ca="1" si="40"/>
        <v>R</v>
      </c>
      <c r="AA188" s="219" t="str">
        <f t="shared" ca="1" si="40"/>
        <v>R</v>
      </c>
      <c r="AB188" s="219" t="str">
        <f t="shared" ca="1" si="40"/>
        <v>P</v>
      </c>
      <c r="AC188" s="219" t="str">
        <f t="shared" ca="1" si="40"/>
        <v>R</v>
      </c>
      <c r="AD188" s="219" t="str">
        <f t="shared" ca="1" si="40"/>
        <v>R</v>
      </c>
      <c r="AE188" s="219" t="str">
        <f t="shared" ca="1" si="40"/>
        <v>P</v>
      </c>
      <c r="AF188" s="219" t="str">
        <f t="shared" ca="1" si="40"/>
        <v>P</v>
      </c>
      <c r="AG188" s="219" t="str">
        <f t="shared" ca="1" si="40"/>
        <v>P</v>
      </c>
      <c r="AH188" s="219" t="str">
        <f t="shared" ca="1" si="40"/>
        <v>P</v>
      </c>
      <c r="AI188" s="225">
        <f t="shared" si="31"/>
        <v>31</v>
      </c>
      <c r="AJ188" s="220">
        <f t="shared" ca="1" si="36"/>
        <v>22</v>
      </c>
      <c r="AK188" s="226">
        <f t="shared" ca="1" si="37"/>
        <v>9</v>
      </c>
    </row>
    <row r="189" spans="1:37" x14ac:dyDescent="0.25">
      <c r="A189" s="216">
        <v>1182</v>
      </c>
      <c r="B189" s="217" t="s">
        <v>1180</v>
      </c>
      <c r="C189" s="218" t="s">
        <v>1103</v>
      </c>
      <c r="D189" s="219" t="str">
        <f t="shared" ca="1" si="41"/>
        <v>P</v>
      </c>
      <c r="E189" s="219" t="str">
        <f t="shared" ca="1" si="41"/>
        <v>R</v>
      </c>
      <c r="F189" s="219" t="str">
        <f t="shared" ca="1" si="41"/>
        <v>P</v>
      </c>
      <c r="G189" s="219" t="str">
        <f t="shared" ca="1" si="41"/>
        <v>P</v>
      </c>
      <c r="H189" s="219" t="str">
        <f t="shared" ca="1" si="41"/>
        <v>R</v>
      </c>
      <c r="I189" s="219" t="str">
        <f t="shared" ca="1" si="41"/>
        <v>P</v>
      </c>
      <c r="J189" s="219" t="str">
        <f t="shared" ca="1" si="41"/>
        <v>P</v>
      </c>
      <c r="K189" s="219" t="str">
        <f t="shared" ca="1" si="41"/>
        <v>P</v>
      </c>
      <c r="L189" s="219" t="str">
        <f t="shared" ca="1" si="41"/>
        <v>P</v>
      </c>
      <c r="M189" s="219" t="str">
        <f t="shared" ca="1" si="41"/>
        <v>P</v>
      </c>
      <c r="N189" s="219" t="str">
        <f t="shared" ca="1" si="41"/>
        <v>P</v>
      </c>
      <c r="O189" s="219" t="str">
        <f t="shared" ca="1" si="41"/>
        <v>P</v>
      </c>
      <c r="P189" s="219" t="str">
        <f t="shared" ca="1" si="41"/>
        <v>P</v>
      </c>
      <c r="Q189" s="219" t="str">
        <f t="shared" ca="1" si="41"/>
        <v>P</v>
      </c>
      <c r="R189" s="219" t="str">
        <f t="shared" ca="1" si="41"/>
        <v>P</v>
      </c>
      <c r="S189" s="219" t="str">
        <f t="shared" ca="1" si="40"/>
        <v>P</v>
      </c>
      <c r="T189" s="219" t="str">
        <f t="shared" ca="1" si="40"/>
        <v>R</v>
      </c>
      <c r="U189" s="219" t="str">
        <f t="shared" ca="1" si="40"/>
        <v>P</v>
      </c>
      <c r="V189" s="219" t="str">
        <f t="shared" ca="1" si="40"/>
        <v>P</v>
      </c>
      <c r="W189" s="219" t="str">
        <f t="shared" ca="1" si="40"/>
        <v>P</v>
      </c>
      <c r="X189" s="219" t="str">
        <f t="shared" ca="1" si="40"/>
        <v>P</v>
      </c>
      <c r="Y189" s="219" t="str">
        <f t="shared" ca="1" si="40"/>
        <v>P</v>
      </c>
      <c r="Z189" s="219" t="str">
        <f t="shared" ca="1" si="40"/>
        <v>P</v>
      </c>
      <c r="AA189" s="219" t="str">
        <f t="shared" ca="1" si="40"/>
        <v>P</v>
      </c>
      <c r="AB189" s="219" t="str">
        <f t="shared" ca="1" si="40"/>
        <v>P</v>
      </c>
      <c r="AC189" s="219" t="str">
        <f t="shared" ca="1" si="40"/>
        <v>P</v>
      </c>
      <c r="AD189" s="219" t="str">
        <f t="shared" ca="1" si="40"/>
        <v>P</v>
      </c>
      <c r="AE189" s="219" t="str">
        <f t="shared" ca="1" si="40"/>
        <v>P</v>
      </c>
      <c r="AF189" s="219" t="str">
        <f t="shared" ca="1" si="40"/>
        <v>P</v>
      </c>
      <c r="AG189" s="219" t="str">
        <f t="shared" ca="1" si="40"/>
        <v>R</v>
      </c>
      <c r="AH189" s="219" t="str">
        <f t="shared" ca="1" si="40"/>
        <v>R</v>
      </c>
      <c r="AI189" s="225">
        <f t="shared" si="31"/>
        <v>31</v>
      </c>
      <c r="AJ189" s="220">
        <f t="shared" ca="1" si="36"/>
        <v>26</v>
      </c>
      <c r="AK189" s="226">
        <f t="shared" ca="1" si="37"/>
        <v>5</v>
      </c>
    </row>
    <row r="190" spans="1:37" x14ac:dyDescent="0.25">
      <c r="A190" s="216">
        <v>1183</v>
      </c>
      <c r="B190" s="217" t="s">
        <v>1181</v>
      </c>
      <c r="C190" s="218" t="s">
        <v>1111</v>
      </c>
      <c r="D190" s="219" t="str">
        <f t="shared" ca="1" si="41"/>
        <v>P</v>
      </c>
      <c r="E190" s="219" t="str">
        <f t="shared" ca="1" si="41"/>
        <v>P</v>
      </c>
      <c r="F190" s="219" t="str">
        <f t="shared" ca="1" si="41"/>
        <v>P</v>
      </c>
      <c r="G190" s="219" t="str">
        <f t="shared" ca="1" si="41"/>
        <v>P</v>
      </c>
      <c r="H190" s="219" t="str">
        <f t="shared" ca="1" si="41"/>
        <v>P</v>
      </c>
      <c r="I190" s="219" t="str">
        <f t="shared" ca="1" si="41"/>
        <v>P</v>
      </c>
      <c r="J190" s="219" t="str">
        <f t="shared" ca="1" si="41"/>
        <v>P</v>
      </c>
      <c r="K190" s="219" t="str">
        <f t="shared" ca="1" si="41"/>
        <v>P</v>
      </c>
      <c r="L190" s="219" t="str">
        <f t="shared" ca="1" si="41"/>
        <v>R</v>
      </c>
      <c r="M190" s="219" t="str">
        <f t="shared" ca="1" si="41"/>
        <v>P</v>
      </c>
      <c r="N190" s="219" t="str">
        <f t="shared" ca="1" si="41"/>
        <v>P</v>
      </c>
      <c r="O190" s="219" t="str">
        <f t="shared" ca="1" si="41"/>
        <v>P</v>
      </c>
      <c r="P190" s="219" t="str">
        <f t="shared" ca="1" si="41"/>
        <v>P</v>
      </c>
      <c r="Q190" s="219" t="str">
        <f t="shared" ca="1" si="41"/>
        <v>P</v>
      </c>
      <c r="R190" s="219" t="str">
        <f t="shared" ca="1" si="41"/>
        <v>P</v>
      </c>
      <c r="S190" s="219" t="str">
        <f t="shared" ca="1" si="40"/>
        <v>P</v>
      </c>
      <c r="T190" s="219" t="str">
        <f t="shared" ca="1" si="40"/>
        <v>R</v>
      </c>
      <c r="U190" s="219" t="str">
        <f t="shared" ca="1" si="40"/>
        <v>P</v>
      </c>
      <c r="V190" s="219" t="str">
        <f t="shared" ca="1" si="40"/>
        <v>P</v>
      </c>
      <c r="W190" s="219" t="str">
        <f t="shared" ca="1" si="40"/>
        <v>R</v>
      </c>
      <c r="X190" s="219" t="str">
        <f t="shared" ca="1" si="40"/>
        <v>R</v>
      </c>
      <c r="Y190" s="219" t="str">
        <f t="shared" ca="1" si="40"/>
        <v>P</v>
      </c>
      <c r="Z190" s="219" t="str">
        <f t="shared" ca="1" si="40"/>
        <v>P</v>
      </c>
      <c r="AA190" s="219" t="str">
        <f t="shared" ca="1" si="40"/>
        <v>P</v>
      </c>
      <c r="AB190" s="219" t="str">
        <f t="shared" ca="1" si="40"/>
        <v>P</v>
      </c>
      <c r="AC190" s="219" t="str">
        <f t="shared" ca="1" si="40"/>
        <v>P</v>
      </c>
      <c r="AD190" s="219" t="str">
        <f t="shared" ca="1" si="40"/>
        <v>P</v>
      </c>
      <c r="AE190" s="219" t="str">
        <f t="shared" ca="1" si="40"/>
        <v>P</v>
      </c>
      <c r="AF190" s="219" t="str">
        <f t="shared" ca="1" si="40"/>
        <v>P</v>
      </c>
      <c r="AG190" s="219" t="str">
        <f t="shared" ca="1" si="40"/>
        <v>P</v>
      </c>
      <c r="AH190" s="219" t="str">
        <f t="shared" ca="1" si="40"/>
        <v>P</v>
      </c>
      <c r="AI190" s="225">
        <f t="shared" si="31"/>
        <v>31</v>
      </c>
      <c r="AJ190" s="220">
        <f t="shared" ca="1" si="36"/>
        <v>27</v>
      </c>
      <c r="AK190" s="226">
        <f t="shared" ca="1" si="37"/>
        <v>4</v>
      </c>
    </row>
    <row r="191" spans="1:37" x14ac:dyDescent="0.25">
      <c r="A191" s="216">
        <v>1184</v>
      </c>
      <c r="B191" s="217" t="s">
        <v>1182</v>
      </c>
      <c r="C191" s="218" t="s">
        <v>1101</v>
      </c>
      <c r="D191" s="219" t="str">
        <f t="shared" ca="1" si="41"/>
        <v>P</v>
      </c>
      <c r="E191" s="219" t="str">
        <f t="shared" ca="1" si="41"/>
        <v>R</v>
      </c>
      <c r="F191" s="219" t="str">
        <f t="shared" ca="1" si="41"/>
        <v>P</v>
      </c>
      <c r="G191" s="219" t="str">
        <f t="shared" ca="1" si="41"/>
        <v>R</v>
      </c>
      <c r="H191" s="219" t="str">
        <f t="shared" ca="1" si="41"/>
        <v>R</v>
      </c>
      <c r="I191" s="219" t="str">
        <f t="shared" ca="1" si="41"/>
        <v>R</v>
      </c>
      <c r="J191" s="219" t="str">
        <f t="shared" ca="1" si="41"/>
        <v>P</v>
      </c>
      <c r="K191" s="219" t="str">
        <f t="shared" ca="1" si="41"/>
        <v>P</v>
      </c>
      <c r="L191" s="219" t="str">
        <f t="shared" ca="1" si="41"/>
        <v>P</v>
      </c>
      <c r="M191" s="219" t="str">
        <f t="shared" ca="1" si="41"/>
        <v>P</v>
      </c>
      <c r="N191" s="219" t="str">
        <f t="shared" ca="1" si="41"/>
        <v>R</v>
      </c>
      <c r="O191" s="219" t="str">
        <f t="shared" ca="1" si="41"/>
        <v>P</v>
      </c>
      <c r="P191" s="219" t="str">
        <f t="shared" ca="1" si="41"/>
        <v>P</v>
      </c>
      <c r="Q191" s="219" t="str">
        <f t="shared" ca="1" si="41"/>
        <v>P</v>
      </c>
      <c r="R191" s="219" t="str">
        <f t="shared" ca="1" si="41"/>
        <v>P</v>
      </c>
      <c r="S191" s="219" t="str">
        <f t="shared" ca="1" si="40"/>
        <v>R</v>
      </c>
      <c r="T191" s="219" t="str">
        <f t="shared" ca="1" si="40"/>
        <v>P</v>
      </c>
      <c r="U191" s="219" t="str">
        <f t="shared" ca="1" si="40"/>
        <v>P</v>
      </c>
      <c r="V191" s="219" t="str">
        <f t="shared" ca="1" si="40"/>
        <v>R</v>
      </c>
      <c r="W191" s="219" t="str">
        <f t="shared" ca="1" si="40"/>
        <v>P</v>
      </c>
      <c r="X191" s="219" t="str">
        <f t="shared" ca="1" si="40"/>
        <v>R</v>
      </c>
      <c r="Y191" s="219" t="str">
        <f t="shared" ca="1" si="40"/>
        <v>P</v>
      </c>
      <c r="Z191" s="219" t="str">
        <f t="shared" ca="1" si="40"/>
        <v>R</v>
      </c>
      <c r="AA191" s="219" t="str">
        <f t="shared" ca="1" si="40"/>
        <v>P</v>
      </c>
      <c r="AB191" s="219" t="str">
        <f t="shared" ca="1" si="40"/>
        <v>P</v>
      </c>
      <c r="AC191" s="219" t="str">
        <f t="shared" ca="1" si="40"/>
        <v>P</v>
      </c>
      <c r="AD191" s="219" t="str">
        <f t="shared" ca="1" si="40"/>
        <v>P</v>
      </c>
      <c r="AE191" s="219" t="str">
        <f t="shared" ca="1" si="40"/>
        <v>P</v>
      </c>
      <c r="AF191" s="219" t="str">
        <f t="shared" ca="1" si="40"/>
        <v>P</v>
      </c>
      <c r="AG191" s="219" t="str">
        <f t="shared" ca="1" si="40"/>
        <v>R</v>
      </c>
      <c r="AH191" s="219" t="str">
        <f t="shared" ca="1" si="40"/>
        <v>P</v>
      </c>
      <c r="AI191" s="225">
        <f t="shared" si="31"/>
        <v>31</v>
      </c>
      <c r="AJ191" s="220">
        <f t="shared" ca="1" si="36"/>
        <v>21</v>
      </c>
      <c r="AK191" s="226">
        <f t="shared" ca="1" si="37"/>
        <v>10</v>
      </c>
    </row>
    <row r="192" spans="1:37" x14ac:dyDescent="0.25">
      <c r="A192" s="216">
        <v>1185</v>
      </c>
      <c r="B192" s="217" t="s">
        <v>1183</v>
      </c>
      <c r="C192" s="218" t="s">
        <v>1108</v>
      </c>
      <c r="D192" s="219" t="str">
        <f t="shared" ca="1" si="41"/>
        <v>P</v>
      </c>
      <c r="E192" s="219" t="str">
        <f t="shared" ca="1" si="41"/>
        <v>R</v>
      </c>
      <c r="F192" s="219" t="str">
        <f t="shared" ca="1" si="41"/>
        <v>P</v>
      </c>
      <c r="G192" s="219" t="str">
        <f t="shared" ca="1" si="41"/>
        <v>P</v>
      </c>
      <c r="H192" s="219" t="str">
        <f t="shared" ca="1" si="41"/>
        <v>P</v>
      </c>
      <c r="I192" s="219" t="str">
        <f t="shared" ca="1" si="41"/>
        <v>P</v>
      </c>
      <c r="J192" s="219" t="str">
        <f t="shared" ca="1" si="41"/>
        <v>P</v>
      </c>
      <c r="K192" s="219" t="str">
        <f t="shared" ca="1" si="41"/>
        <v>R</v>
      </c>
      <c r="L192" s="219" t="str">
        <f t="shared" ca="1" si="41"/>
        <v>P</v>
      </c>
      <c r="M192" s="219" t="str">
        <f t="shared" ca="1" si="41"/>
        <v>P</v>
      </c>
      <c r="N192" s="219" t="str">
        <f t="shared" ca="1" si="41"/>
        <v>P</v>
      </c>
      <c r="O192" s="219" t="str">
        <f t="shared" ca="1" si="41"/>
        <v>P</v>
      </c>
      <c r="P192" s="219" t="str">
        <f t="shared" ca="1" si="41"/>
        <v>P</v>
      </c>
      <c r="Q192" s="219" t="str">
        <f t="shared" ca="1" si="41"/>
        <v>P</v>
      </c>
      <c r="R192" s="219" t="str">
        <f t="shared" ca="1" si="41"/>
        <v>P</v>
      </c>
      <c r="S192" s="219" t="str">
        <f t="shared" ca="1" si="40"/>
        <v>P</v>
      </c>
      <c r="T192" s="219" t="str">
        <f t="shared" ca="1" si="40"/>
        <v>P</v>
      </c>
      <c r="U192" s="219" t="str">
        <f t="shared" ca="1" si="40"/>
        <v>P</v>
      </c>
      <c r="V192" s="219" t="str">
        <f t="shared" ca="1" si="40"/>
        <v>P</v>
      </c>
      <c r="W192" s="219" t="str">
        <f t="shared" ca="1" si="40"/>
        <v>P</v>
      </c>
      <c r="X192" s="219" t="str">
        <f t="shared" ca="1" si="40"/>
        <v>P</v>
      </c>
      <c r="Y192" s="219" t="str">
        <f t="shared" ca="1" si="40"/>
        <v>P</v>
      </c>
      <c r="Z192" s="219" t="str">
        <f t="shared" ca="1" si="40"/>
        <v>R</v>
      </c>
      <c r="AA192" s="219" t="str">
        <f t="shared" ca="1" si="40"/>
        <v>R</v>
      </c>
      <c r="AB192" s="219" t="str">
        <f t="shared" ca="1" si="40"/>
        <v>R</v>
      </c>
      <c r="AC192" s="219" t="str">
        <f t="shared" ca="1" si="40"/>
        <v>P</v>
      </c>
      <c r="AD192" s="219" t="str">
        <f t="shared" ca="1" si="40"/>
        <v>P</v>
      </c>
      <c r="AE192" s="219" t="str">
        <f t="shared" ca="1" si="40"/>
        <v>P</v>
      </c>
      <c r="AF192" s="219" t="str">
        <f t="shared" ca="1" si="40"/>
        <v>P</v>
      </c>
      <c r="AG192" s="219" t="str">
        <f t="shared" ca="1" si="40"/>
        <v>R</v>
      </c>
      <c r="AH192" s="219" t="str">
        <f t="shared" ca="1" si="40"/>
        <v>P</v>
      </c>
      <c r="AI192" s="225">
        <f t="shared" si="31"/>
        <v>31</v>
      </c>
      <c r="AJ192" s="220">
        <f t="shared" ca="1" si="36"/>
        <v>25</v>
      </c>
      <c r="AK192" s="226">
        <f t="shared" ca="1" si="37"/>
        <v>6</v>
      </c>
    </row>
    <row r="193" spans="1:37" x14ac:dyDescent="0.25">
      <c r="A193" s="216">
        <v>1186</v>
      </c>
      <c r="B193" s="217" t="s">
        <v>1184</v>
      </c>
      <c r="C193" s="218" t="s">
        <v>1106</v>
      </c>
      <c r="D193" s="219" t="str">
        <f t="shared" ca="1" si="41"/>
        <v>P</v>
      </c>
      <c r="E193" s="219" t="str">
        <f t="shared" ca="1" si="41"/>
        <v>R</v>
      </c>
      <c r="F193" s="219" t="str">
        <f t="shared" ca="1" si="41"/>
        <v>P</v>
      </c>
      <c r="G193" s="219" t="str">
        <f t="shared" ca="1" si="41"/>
        <v>P</v>
      </c>
      <c r="H193" s="219" t="str">
        <f t="shared" ca="1" si="41"/>
        <v>P</v>
      </c>
      <c r="I193" s="219" t="str">
        <f t="shared" ca="1" si="41"/>
        <v>P</v>
      </c>
      <c r="J193" s="219" t="str">
        <f t="shared" ca="1" si="41"/>
        <v>P</v>
      </c>
      <c r="K193" s="219" t="str">
        <f t="shared" ca="1" si="41"/>
        <v>R</v>
      </c>
      <c r="L193" s="219" t="str">
        <f t="shared" ca="1" si="41"/>
        <v>R</v>
      </c>
      <c r="M193" s="219" t="str">
        <f t="shared" ca="1" si="41"/>
        <v>P</v>
      </c>
      <c r="N193" s="219" t="str">
        <f t="shared" ca="1" si="41"/>
        <v>P</v>
      </c>
      <c r="O193" s="219" t="str">
        <f t="shared" ca="1" si="41"/>
        <v>P</v>
      </c>
      <c r="P193" s="219" t="str">
        <f t="shared" ca="1" si="41"/>
        <v>P</v>
      </c>
      <c r="Q193" s="219" t="str">
        <f t="shared" ca="1" si="41"/>
        <v>P</v>
      </c>
      <c r="R193" s="219" t="str">
        <f t="shared" ca="1" si="41"/>
        <v>P</v>
      </c>
      <c r="S193" s="219" t="str">
        <f t="shared" ca="1" si="40"/>
        <v>P</v>
      </c>
      <c r="T193" s="219" t="str">
        <f t="shared" ca="1" si="40"/>
        <v>P</v>
      </c>
      <c r="U193" s="219" t="str">
        <f t="shared" ca="1" si="40"/>
        <v>P</v>
      </c>
      <c r="V193" s="219" t="str">
        <f t="shared" ca="1" si="40"/>
        <v>P</v>
      </c>
      <c r="W193" s="219" t="str">
        <f t="shared" ca="1" si="40"/>
        <v>P</v>
      </c>
      <c r="X193" s="219" t="str">
        <f t="shared" ca="1" si="40"/>
        <v>P</v>
      </c>
      <c r="Y193" s="219" t="str">
        <f t="shared" ca="1" si="40"/>
        <v>P</v>
      </c>
      <c r="Z193" s="219" t="str">
        <f t="shared" ca="1" si="40"/>
        <v>P</v>
      </c>
      <c r="AA193" s="219" t="str">
        <f t="shared" ca="1" si="40"/>
        <v>R</v>
      </c>
      <c r="AB193" s="219" t="str">
        <f t="shared" ca="1" si="40"/>
        <v>P</v>
      </c>
      <c r="AC193" s="219" t="str">
        <f t="shared" ca="1" si="40"/>
        <v>P</v>
      </c>
      <c r="AD193" s="219" t="str">
        <f t="shared" ca="1" si="40"/>
        <v>P</v>
      </c>
      <c r="AE193" s="219" t="str">
        <f t="shared" ca="1" si="40"/>
        <v>P</v>
      </c>
      <c r="AF193" s="219" t="str">
        <f t="shared" ca="1" si="40"/>
        <v>R</v>
      </c>
      <c r="AG193" s="219" t="str">
        <f t="shared" ca="1" si="40"/>
        <v>P</v>
      </c>
      <c r="AH193" s="219" t="str">
        <f t="shared" ca="1" si="40"/>
        <v>P</v>
      </c>
      <c r="AI193" s="225">
        <f t="shared" si="31"/>
        <v>31</v>
      </c>
      <c r="AJ193" s="220">
        <f t="shared" ca="1" si="36"/>
        <v>26</v>
      </c>
      <c r="AK193" s="226">
        <f t="shared" ca="1" si="37"/>
        <v>5</v>
      </c>
    </row>
    <row r="194" spans="1:37" x14ac:dyDescent="0.25">
      <c r="A194" s="216">
        <v>1187</v>
      </c>
      <c r="B194" s="217" t="s">
        <v>1185</v>
      </c>
      <c r="C194" s="218" t="s">
        <v>1107</v>
      </c>
      <c r="D194" s="219" t="str">
        <f t="shared" ca="1" si="41"/>
        <v>R</v>
      </c>
      <c r="E194" s="219" t="str">
        <f t="shared" ca="1" si="41"/>
        <v>P</v>
      </c>
      <c r="F194" s="219" t="str">
        <f t="shared" ca="1" si="41"/>
        <v>R</v>
      </c>
      <c r="G194" s="219" t="str">
        <f t="shared" ca="1" si="41"/>
        <v>P</v>
      </c>
      <c r="H194" s="219" t="str">
        <f t="shared" ca="1" si="41"/>
        <v>P</v>
      </c>
      <c r="I194" s="219" t="str">
        <f t="shared" ca="1" si="41"/>
        <v>P</v>
      </c>
      <c r="J194" s="219" t="str">
        <f t="shared" ca="1" si="41"/>
        <v>P</v>
      </c>
      <c r="K194" s="219" t="str">
        <f t="shared" ca="1" si="41"/>
        <v>P</v>
      </c>
      <c r="L194" s="219" t="str">
        <f t="shared" ca="1" si="41"/>
        <v>P</v>
      </c>
      <c r="M194" s="219" t="str">
        <f t="shared" ca="1" si="41"/>
        <v>P</v>
      </c>
      <c r="N194" s="219" t="str">
        <f t="shared" ca="1" si="41"/>
        <v>P</v>
      </c>
      <c r="O194" s="219" t="str">
        <f t="shared" ca="1" si="41"/>
        <v>R</v>
      </c>
      <c r="P194" s="219" t="str">
        <f t="shared" ca="1" si="41"/>
        <v>P</v>
      </c>
      <c r="Q194" s="219" t="str">
        <f t="shared" ca="1" si="41"/>
        <v>P</v>
      </c>
      <c r="R194" s="219" t="str">
        <f t="shared" ca="1" si="41"/>
        <v>R</v>
      </c>
      <c r="S194" s="219" t="str">
        <f t="shared" ca="1" si="40"/>
        <v>P</v>
      </c>
      <c r="T194" s="219" t="str">
        <f t="shared" ca="1" si="40"/>
        <v>P</v>
      </c>
      <c r="U194" s="219" t="str">
        <f t="shared" ca="1" si="40"/>
        <v>P</v>
      </c>
      <c r="V194" s="219" t="str">
        <f t="shared" ca="1" si="40"/>
        <v>P</v>
      </c>
      <c r="W194" s="219" t="str">
        <f t="shared" ca="1" si="40"/>
        <v>P</v>
      </c>
      <c r="X194" s="219" t="str">
        <f t="shared" ca="1" si="40"/>
        <v>P</v>
      </c>
      <c r="Y194" s="219" t="str">
        <f t="shared" ca="1" si="40"/>
        <v>P</v>
      </c>
      <c r="Z194" s="219" t="str">
        <f t="shared" ca="1" si="40"/>
        <v>P</v>
      </c>
      <c r="AA194" s="219" t="str">
        <f t="shared" ca="1" si="40"/>
        <v>R</v>
      </c>
      <c r="AB194" s="219" t="str">
        <f t="shared" ca="1" si="40"/>
        <v>P</v>
      </c>
      <c r="AC194" s="219" t="str">
        <f t="shared" ca="1" si="40"/>
        <v>R</v>
      </c>
      <c r="AD194" s="219" t="str">
        <f t="shared" ca="1" si="40"/>
        <v>P</v>
      </c>
      <c r="AE194" s="219" t="str">
        <f t="shared" ca="1" si="40"/>
        <v>P</v>
      </c>
      <c r="AF194" s="219" t="str">
        <f t="shared" ca="1" si="40"/>
        <v>P</v>
      </c>
      <c r="AG194" s="219" t="str">
        <f t="shared" ca="1" si="40"/>
        <v>P</v>
      </c>
      <c r="AH194" s="219" t="str">
        <f t="shared" ca="1" si="40"/>
        <v>P</v>
      </c>
      <c r="AI194" s="225">
        <f t="shared" si="31"/>
        <v>31</v>
      </c>
      <c r="AJ194" s="220">
        <f t="shared" ca="1" si="36"/>
        <v>25</v>
      </c>
      <c r="AK194" s="226">
        <f t="shared" ca="1" si="37"/>
        <v>6</v>
      </c>
    </row>
    <row r="195" spans="1:37" x14ac:dyDescent="0.25">
      <c r="A195" s="216">
        <v>1188</v>
      </c>
      <c r="B195" s="217" t="s">
        <v>1186</v>
      </c>
      <c r="C195" s="218" t="s">
        <v>1109</v>
      </c>
      <c r="D195" s="219" t="str">
        <f t="shared" ca="1" si="41"/>
        <v>P</v>
      </c>
      <c r="E195" s="219" t="str">
        <f t="shared" ca="1" si="41"/>
        <v>R</v>
      </c>
      <c r="F195" s="219" t="str">
        <f t="shared" ca="1" si="41"/>
        <v>P</v>
      </c>
      <c r="G195" s="219" t="str">
        <f t="shared" ca="1" si="41"/>
        <v>P</v>
      </c>
      <c r="H195" s="219" t="str">
        <f t="shared" ca="1" si="41"/>
        <v>P</v>
      </c>
      <c r="I195" s="219" t="str">
        <f t="shared" ca="1" si="41"/>
        <v>P</v>
      </c>
      <c r="J195" s="219" t="str">
        <f t="shared" ca="1" si="41"/>
        <v>R</v>
      </c>
      <c r="K195" s="219" t="str">
        <f t="shared" ca="1" si="41"/>
        <v>P</v>
      </c>
      <c r="L195" s="219" t="str">
        <f t="shared" ca="1" si="41"/>
        <v>R</v>
      </c>
      <c r="M195" s="219" t="str">
        <f t="shared" ca="1" si="41"/>
        <v>P</v>
      </c>
      <c r="N195" s="219" t="str">
        <f t="shared" ca="1" si="41"/>
        <v>P</v>
      </c>
      <c r="O195" s="219" t="str">
        <f t="shared" ca="1" si="41"/>
        <v>P</v>
      </c>
      <c r="P195" s="219" t="str">
        <f t="shared" ca="1" si="41"/>
        <v>P</v>
      </c>
      <c r="Q195" s="219" t="str">
        <f t="shared" ca="1" si="41"/>
        <v>P</v>
      </c>
      <c r="R195" s="219" t="str">
        <f t="shared" ca="1" si="41"/>
        <v>R</v>
      </c>
      <c r="S195" s="219" t="str">
        <f t="shared" ca="1" si="40"/>
        <v>P</v>
      </c>
      <c r="T195" s="219" t="str">
        <f t="shared" ca="1" si="40"/>
        <v>R</v>
      </c>
      <c r="U195" s="219" t="str">
        <f t="shared" ca="1" si="40"/>
        <v>P</v>
      </c>
      <c r="V195" s="219" t="str">
        <f t="shared" ca="1" si="40"/>
        <v>P</v>
      </c>
      <c r="W195" s="219" t="str">
        <f t="shared" ca="1" si="40"/>
        <v>P</v>
      </c>
      <c r="X195" s="219" t="str">
        <f t="shared" ca="1" si="40"/>
        <v>R</v>
      </c>
      <c r="Y195" s="219" t="str">
        <f t="shared" ca="1" si="40"/>
        <v>R</v>
      </c>
      <c r="Z195" s="219" t="str">
        <f t="shared" ca="1" si="40"/>
        <v>P</v>
      </c>
      <c r="AA195" s="219" t="str">
        <f t="shared" ca="1" si="40"/>
        <v>P</v>
      </c>
      <c r="AB195" s="219" t="str">
        <f t="shared" ca="1" si="40"/>
        <v>R</v>
      </c>
      <c r="AC195" s="219" t="str">
        <f t="shared" ca="1" si="40"/>
        <v>P</v>
      </c>
      <c r="AD195" s="219" t="str">
        <f t="shared" ca="1" si="40"/>
        <v>R</v>
      </c>
      <c r="AE195" s="219" t="str">
        <f t="shared" ca="1" si="40"/>
        <v>P</v>
      </c>
      <c r="AF195" s="219" t="str">
        <f t="shared" ca="1" si="40"/>
        <v>P</v>
      </c>
      <c r="AG195" s="219" t="str">
        <f t="shared" ca="1" si="40"/>
        <v>R</v>
      </c>
      <c r="AH195" s="219" t="str">
        <f t="shared" ca="1" si="40"/>
        <v>P</v>
      </c>
      <c r="AI195" s="225">
        <f t="shared" si="31"/>
        <v>31</v>
      </c>
      <c r="AJ195" s="220">
        <f t="shared" ca="1" si="36"/>
        <v>21</v>
      </c>
      <c r="AK195" s="226">
        <f t="shared" ca="1" si="37"/>
        <v>10</v>
      </c>
    </row>
    <row r="196" spans="1:37" x14ac:dyDescent="0.25">
      <c r="A196" s="216">
        <v>1189</v>
      </c>
      <c r="B196" s="217" t="s">
        <v>1187</v>
      </c>
      <c r="C196" s="218" t="s">
        <v>1104</v>
      </c>
      <c r="D196" s="219" t="str">
        <f t="shared" ca="1" si="41"/>
        <v>P</v>
      </c>
      <c r="E196" s="219" t="str">
        <f t="shared" ca="1" si="41"/>
        <v>P</v>
      </c>
      <c r="F196" s="219" t="str">
        <f t="shared" ca="1" si="41"/>
        <v>P</v>
      </c>
      <c r="G196" s="219" t="str">
        <f t="shared" ca="1" si="41"/>
        <v>P</v>
      </c>
      <c r="H196" s="219" t="str">
        <f t="shared" ca="1" si="41"/>
        <v>P</v>
      </c>
      <c r="I196" s="219" t="str">
        <f t="shared" ca="1" si="41"/>
        <v>P</v>
      </c>
      <c r="J196" s="219" t="str">
        <f t="shared" ca="1" si="41"/>
        <v>P</v>
      </c>
      <c r="K196" s="219" t="str">
        <f t="shared" ca="1" si="41"/>
        <v>P</v>
      </c>
      <c r="L196" s="219" t="str">
        <f t="shared" ca="1" si="41"/>
        <v>P</v>
      </c>
      <c r="M196" s="219" t="str">
        <f t="shared" ca="1" si="41"/>
        <v>P</v>
      </c>
      <c r="N196" s="219" t="str">
        <f t="shared" ca="1" si="41"/>
        <v>P</v>
      </c>
      <c r="O196" s="219" t="str">
        <f t="shared" ca="1" si="41"/>
        <v>P</v>
      </c>
      <c r="P196" s="219" t="str">
        <f t="shared" ca="1" si="41"/>
        <v>R</v>
      </c>
      <c r="Q196" s="219" t="str">
        <f t="shared" ca="1" si="41"/>
        <v>P</v>
      </c>
      <c r="R196" s="219" t="str">
        <f t="shared" ca="1" si="41"/>
        <v>P</v>
      </c>
      <c r="S196" s="219" t="str">
        <f t="shared" ca="1" si="40"/>
        <v>R</v>
      </c>
      <c r="T196" s="219" t="str">
        <f t="shared" ca="1" si="40"/>
        <v>R</v>
      </c>
      <c r="U196" s="219" t="str">
        <f t="shared" ca="1" si="40"/>
        <v>R</v>
      </c>
      <c r="V196" s="219" t="str">
        <f t="shared" ca="1" si="40"/>
        <v>R</v>
      </c>
      <c r="W196" s="219" t="str">
        <f t="shared" ca="1" si="40"/>
        <v>P</v>
      </c>
      <c r="X196" s="219" t="str">
        <f t="shared" ca="1" si="40"/>
        <v>P</v>
      </c>
      <c r="Y196" s="219" t="str">
        <f t="shared" ca="1" si="40"/>
        <v>P</v>
      </c>
      <c r="Z196" s="219" t="str">
        <f t="shared" ca="1" si="40"/>
        <v>P</v>
      </c>
      <c r="AA196" s="219" t="str">
        <f t="shared" ca="1" si="40"/>
        <v>P</v>
      </c>
      <c r="AB196" s="219" t="str">
        <f t="shared" ca="1" si="40"/>
        <v>P</v>
      </c>
      <c r="AC196" s="219" t="str">
        <f t="shared" ca="1" si="40"/>
        <v>P</v>
      </c>
      <c r="AD196" s="219" t="str">
        <f t="shared" ca="1" si="40"/>
        <v>P</v>
      </c>
      <c r="AE196" s="219" t="str">
        <f t="shared" ca="1" si="40"/>
        <v>P</v>
      </c>
      <c r="AF196" s="219" t="str">
        <f t="shared" ca="1" si="40"/>
        <v>R</v>
      </c>
      <c r="AG196" s="219" t="str">
        <f t="shared" ca="1" si="40"/>
        <v>P</v>
      </c>
      <c r="AH196" s="219" t="str">
        <f t="shared" ca="1" si="40"/>
        <v>P</v>
      </c>
      <c r="AI196" s="225">
        <f t="shared" si="31"/>
        <v>31</v>
      </c>
      <c r="AJ196" s="220">
        <f t="shared" ca="1" si="36"/>
        <v>25</v>
      </c>
      <c r="AK196" s="226">
        <f t="shared" ca="1" si="37"/>
        <v>6</v>
      </c>
    </row>
    <row r="197" spans="1:37" x14ac:dyDescent="0.25">
      <c r="A197" s="216">
        <v>1190</v>
      </c>
      <c r="B197" s="217" t="s">
        <v>1188</v>
      </c>
      <c r="C197" s="218" t="s">
        <v>1115</v>
      </c>
      <c r="D197" s="219" t="str">
        <f t="shared" ca="1" si="41"/>
        <v>R</v>
      </c>
      <c r="E197" s="219" t="str">
        <f t="shared" ca="1" si="41"/>
        <v>P</v>
      </c>
      <c r="F197" s="219" t="str">
        <f t="shared" ca="1" si="41"/>
        <v>P</v>
      </c>
      <c r="G197" s="219" t="str">
        <f t="shared" ca="1" si="41"/>
        <v>P</v>
      </c>
      <c r="H197" s="219" t="str">
        <f t="shared" ca="1" si="41"/>
        <v>P</v>
      </c>
      <c r="I197" s="219" t="str">
        <f t="shared" ca="1" si="41"/>
        <v>P</v>
      </c>
      <c r="J197" s="219" t="str">
        <f t="shared" ca="1" si="41"/>
        <v>P</v>
      </c>
      <c r="K197" s="219" t="str">
        <f t="shared" ca="1" si="41"/>
        <v>P</v>
      </c>
      <c r="L197" s="219" t="str">
        <f t="shared" ca="1" si="41"/>
        <v>P</v>
      </c>
      <c r="M197" s="219" t="str">
        <f t="shared" ca="1" si="41"/>
        <v>P</v>
      </c>
      <c r="N197" s="219" t="str">
        <f t="shared" ca="1" si="41"/>
        <v>P</v>
      </c>
      <c r="O197" s="219" t="str">
        <f t="shared" ca="1" si="41"/>
        <v>P</v>
      </c>
      <c r="P197" s="219" t="str">
        <f t="shared" ca="1" si="41"/>
        <v>P</v>
      </c>
      <c r="Q197" s="219" t="str">
        <f t="shared" ca="1" si="41"/>
        <v>R</v>
      </c>
      <c r="R197" s="219" t="str">
        <f t="shared" ca="1" si="41"/>
        <v>P</v>
      </c>
      <c r="S197" s="219" t="str">
        <f t="shared" ca="1" si="40"/>
        <v>R</v>
      </c>
      <c r="T197" s="219" t="str">
        <f t="shared" ca="1" si="40"/>
        <v>P</v>
      </c>
      <c r="U197" s="219" t="str">
        <f t="shared" ca="1" si="40"/>
        <v>R</v>
      </c>
      <c r="V197" s="219" t="str">
        <f t="shared" ca="1" si="40"/>
        <v>P</v>
      </c>
      <c r="W197" s="219" t="str">
        <f t="shared" ca="1" si="40"/>
        <v>P</v>
      </c>
      <c r="X197" s="219" t="str">
        <f t="shared" ca="1" si="40"/>
        <v>R</v>
      </c>
      <c r="Y197" s="219" t="str">
        <f t="shared" ca="1" si="40"/>
        <v>P</v>
      </c>
      <c r="Z197" s="219" t="str">
        <f t="shared" ca="1" si="40"/>
        <v>P</v>
      </c>
      <c r="AA197" s="219" t="str">
        <f t="shared" ca="1" si="40"/>
        <v>P</v>
      </c>
      <c r="AB197" s="219" t="str">
        <f t="shared" ca="1" si="40"/>
        <v>P</v>
      </c>
      <c r="AC197" s="219" t="str">
        <f t="shared" ca="1" si="40"/>
        <v>P</v>
      </c>
      <c r="AD197" s="219" t="str">
        <f t="shared" ca="1" si="40"/>
        <v>P</v>
      </c>
      <c r="AE197" s="219" t="str">
        <f t="shared" ca="1" si="40"/>
        <v>P</v>
      </c>
      <c r="AF197" s="219" t="str">
        <f t="shared" ca="1" si="40"/>
        <v>R</v>
      </c>
      <c r="AG197" s="219" t="str">
        <f t="shared" ca="1" si="40"/>
        <v>P</v>
      </c>
      <c r="AH197" s="219" t="str">
        <f t="shared" ca="1" si="40"/>
        <v>P</v>
      </c>
      <c r="AI197" s="225">
        <f t="shared" si="31"/>
        <v>31</v>
      </c>
      <c r="AJ197" s="220">
        <f t="shared" ca="1" si="36"/>
        <v>25</v>
      </c>
      <c r="AK197" s="226">
        <f t="shared" ca="1" si="37"/>
        <v>6</v>
      </c>
    </row>
    <row r="198" spans="1:37" x14ac:dyDescent="0.25">
      <c r="A198" s="216">
        <v>1191</v>
      </c>
      <c r="B198" s="217" t="s">
        <v>1189</v>
      </c>
      <c r="C198" s="218" t="s">
        <v>1113</v>
      </c>
      <c r="D198" s="219" t="str">
        <f t="shared" ca="1" si="41"/>
        <v>P</v>
      </c>
      <c r="E198" s="219" t="str">
        <f t="shared" ca="1" si="41"/>
        <v>P</v>
      </c>
      <c r="F198" s="219" t="str">
        <f t="shared" ca="1" si="41"/>
        <v>P</v>
      </c>
      <c r="G198" s="219" t="str">
        <f t="shared" ca="1" si="41"/>
        <v>P</v>
      </c>
      <c r="H198" s="219" t="str">
        <f t="shared" ca="1" si="41"/>
        <v>P</v>
      </c>
      <c r="I198" s="219" t="str">
        <f t="shared" ca="1" si="41"/>
        <v>P</v>
      </c>
      <c r="J198" s="219" t="str">
        <f t="shared" ca="1" si="41"/>
        <v>P</v>
      </c>
      <c r="K198" s="219" t="str">
        <f t="shared" ca="1" si="41"/>
        <v>P</v>
      </c>
      <c r="L198" s="219" t="str">
        <f t="shared" ca="1" si="41"/>
        <v>P</v>
      </c>
      <c r="M198" s="219" t="str">
        <f t="shared" ca="1" si="41"/>
        <v>P</v>
      </c>
      <c r="N198" s="219" t="str">
        <f t="shared" ca="1" si="41"/>
        <v>P</v>
      </c>
      <c r="O198" s="219" t="str">
        <f t="shared" ca="1" si="41"/>
        <v>R</v>
      </c>
      <c r="P198" s="219" t="str">
        <f t="shared" ca="1" si="41"/>
        <v>P</v>
      </c>
      <c r="Q198" s="219" t="str">
        <f t="shared" ca="1" si="41"/>
        <v>P</v>
      </c>
      <c r="R198" s="219" t="str">
        <f t="shared" ca="1" si="41"/>
        <v>R</v>
      </c>
      <c r="S198" s="219" t="str">
        <f t="shared" ca="1" si="40"/>
        <v>P</v>
      </c>
      <c r="T198" s="219" t="str">
        <f t="shared" ca="1" si="40"/>
        <v>P</v>
      </c>
      <c r="U198" s="219" t="str">
        <f t="shared" ca="1" si="40"/>
        <v>R</v>
      </c>
      <c r="V198" s="219" t="str">
        <f t="shared" ca="1" si="40"/>
        <v>P</v>
      </c>
      <c r="W198" s="219" t="str">
        <f t="shared" ca="1" si="40"/>
        <v>P</v>
      </c>
      <c r="X198" s="219" t="str">
        <f t="shared" ca="1" si="40"/>
        <v>P</v>
      </c>
      <c r="Y198" s="219" t="str">
        <f t="shared" ca="1" si="40"/>
        <v>P</v>
      </c>
      <c r="Z198" s="219" t="str">
        <f t="shared" ca="1" si="40"/>
        <v>R</v>
      </c>
      <c r="AA198" s="219" t="str">
        <f t="shared" ca="1" si="40"/>
        <v>P</v>
      </c>
      <c r="AB198" s="219" t="str">
        <f t="shared" ca="1" si="40"/>
        <v>R</v>
      </c>
      <c r="AC198" s="219" t="str">
        <f t="shared" ca="1" si="40"/>
        <v>P</v>
      </c>
      <c r="AD198" s="219" t="str">
        <f t="shared" ca="1" si="40"/>
        <v>P</v>
      </c>
      <c r="AE198" s="219" t="str">
        <f t="shared" ca="1" si="40"/>
        <v>R</v>
      </c>
      <c r="AF198" s="219" t="str">
        <f t="shared" ca="1" si="40"/>
        <v>P</v>
      </c>
      <c r="AG198" s="219" t="str">
        <f t="shared" ca="1" si="40"/>
        <v>P</v>
      </c>
      <c r="AH198" s="219" t="str">
        <f t="shared" ca="1" si="40"/>
        <v>P</v>
      </c>
      <c r="AI198" s="225">
        <f t="shared" si="31"/>
        <v>31</v>
      </c>
      <c r="AJ198" s="220">
        <f t="shared" ca="1" si="36"/>
        <v>25</v>
      </c>
      <c r="AK198" s="226">
        <f t="shared" ca="1" si="37"/>
        <v>6</v>
      </c>
    </row>
    <row r="199" spans="1:37" x14ac:dyDescent="0.25">
      <c r="A199" s="216">
        <v>1192</v>
      </c>
      <c r="B199" s="217" t="s">
        <v>1190</v>
      </c>
      <c r="C199" s="218" t="s">
        <v>1112</v>
      </c>
      <c r="D199" s="219" t="str">
        <f t="shared" ca="1" si="41"/>
        <v>P</v>
      </c>
      <c r="E199" s="219" t="str">
        <f t="shared" ca="1" si="41"/>
        <v>R</v>
      </c>
      <c r="F199" s="219" t="str">
        <f t="shared" ca="1" si="41"/>
        <v>R</v>
      </c>
      <c r="G199" s="219" t="str">
        <f t="shared" ca="1" si="41"/>
        <v>P</v>
      </c>
      <c r="H199" s="219" t="str">
        <f t="shared" ca="1" si="41"/>
        <v>P</v>
      </c>
      <c r="I199" s="219" t="str">
        <f t="shared" ca="1" si="41"/>
        <v>P</v>
      </c>
      <c r="J199" s="219" t="str">
        <f t="shared" ca="1" si="41"/>
        <v>P</v>
      </c>
      <c r="K199" s="219" t="str">
        <f t="shared" ca="1" si="41"/>
        <v>P</v>
      </c>
      <c r="L199" s="219" t="str">
        <f t="shared" ca="1" si="41"/>
        <v>P</v>
      </c>
      <c r="M199" s="219" t="str">
        <f t="shared" ca="1" si="41"/>
        <v>P</v>
      </c>
      <c r="N199" s="219" t="str">
        <f t="shared" ca="1" si="41"/>
        <v>R</v>
      </c>
      <c r="O199" s="219" t="str">
        <f t="shared" ca="1" si="41"/>
        <v>P</v>
      </c>
      <c r="P199" s="219" t="str">
        <f t="shared" ca="1" si="41"/>
        <v>P</v>
      </c>
      <c r="Q199" s="219" t="str">
        <f t="shared" ca="1" si="41"/>
        <v>P</v>
      </c>
      <c r="R199" s="219" t="str">
        <f t="shared" ca="1" si="41"/>
        <v>P</v>
      </c>
      <c r="S199" s="219" t="str">
        <f t="shared" ca="1" si="40"/>
        <v>P</v>
      </c>
      <c r="T199" s="219" t="str">
        <f t="shared" ca="1" si="40"/>
        <v>P</v>
      </c>
      <c r="U199" s="219" t="str">
        <f t="shared" ca="1" si="40"/>
        <v>P</v>
      </c>
      <c r="V199" s="219" t="str">
        <f t="shared" ca="1" si="40"/>
        <v>P</v>
      </c>
      <c r="W199" s="219" t="str">
        <f t="shared" ca="1" si="40"/>
        <v>P</v>
      </c>
      <c r="X199" s="219" t="str">
        <f t="shared" ca="1" si="40"/>
        <v>P</v>
      </c>
      <c r="Y199" s="219" t="str">
        <f t="shared" ca="1" si="40"/>
        <v>P</v>
      </c>
      <c r="Z199" s="219" t="str">
        <f t="shared" ca="1" si="40"/>
        <v>P</v>
      </c>
      <c r="AA199" s="219" t="str">
        <f t="shared" ca="1" si="40"/>
        <v>R</v>
      </c>
      <c r="AB199" s="219" t="str">
        <f t="shared" ca="1" si="40"/>
        <v>P</v>
      </c>
      <c r="AC199" s="219" t="str">
        <f t="shared" ca="1" si="40"/>
        <v>P</v>
      </c>
      <c r="AD199" s="219" t="str">
        <f t="shared" ca="1" si="40"/>
        <v>P</v>
      </c>
      <c r="AE199" s="219" t="str">
        <f t="shared" ca="1" si="40"/>
        <v>P</v>
      </c>
      <c r="AF199" s="219" t="str">
        <f t="shared" ca="1" si="40"/>
        <v>P</v>
      </c>
      <c r="AG199" s="219" t="str">
        <f t="shared" ca="1" si="40"/>
        <v>P</v>
      </c>
      <c r="AH199" s="219" t="str">
        <f t="shared" ca="1" si="40"/>
        <v>R</v>
      </c>
      <c r="AI199" s="225">
        <f t="shared" ref="AI199:AI211" si="42">DAY($X$4)</f>
        <v>31</v>
      </c>
      <c r="AJ199" s="220">
        <f t="shared" ca="1" si="36"/>
        <v>26</v>
      </c>
      <c r="AK199" s="226">
        <f t="shared" ca="1" si="37"/>
        <v>5</v>
      </c>
    </row>
    <row r="200" spans="1:37" x14ac:dyDescent="0.25">
      <c r="A200" s="216">
        <v>1193</v>
      </c>
      <c r="B200" s="217" t="s">
        <v>1191</v>
      </c>
      <c r="C200" s="218" t="s">
        <v>1114</v>
      </c>
      <c r="D200" s="219" t="str">
        <f t="shared" ca="1" si="41"/>
        <v>P</v>
      </c>
      <c r="E200" s="219" t="str">
        <f t="shared" ca="1" si="41"/>
        <v>R</v>
      </c>
      <c r="F200" s="219" t="str">
        <f t="shared" ca="1" si="41"/>
        <v>P</v>
      </c>
      <c r="G200" s="219" t="str">
        <f t="shared" ca="1" si="41"/>
        <v>P</v>
      </c>
      <c r="H200" s="219" t="str">
        <f t="shared" ca="1" si="41"/>
        <v>P</v>
      </c>
      <c r="I200" s="219" t="str">
        <f t="shared" ca="1" si="41"/>
        <v>P</v>
      </c>
      <c r="J200" s="219" t="str">
        <f t="shared" ca="1" si="41"/>
        <v>P</v>
      </c>
      <c r="K200" s="219" t="str">
        <f t="shared" ca="1" si="41"/>
        <v>P</v>
      </c>
      <c r="L200" s="219" t="str">
        <f t="shared" ca="1" si="41"/>
        <v>R</v>
      </c>
      <c r="M200" s="219" t="str">
        <f t="shared" ca="1" si="41"/>
        <v>R</v>
      </c>
      <c r="N200" s="219" t="str">
        <f t="shared" ca="1" si="41"/>
        <v>P</v>
      </c>
      <c r="O200" s="219" t="str">
        <f t="shared" ca="1" si="41"/>
        <v>P</v>
      </c>
      <c r="P200" s="219" t="str">
        <f t="shared" ca="1" si="41"/>
        <v>P</v>
      </c>
      <c r="Q200" s="219" t="str">
        <f t="shared" ca="1" si="41"/>
        <v>R</v>
      </c>
      <c r="R200" s="219" t="str">
        <f t="shared" ca="1" si="41"/>
        <v>P</v>
      </c>
      <c r="S200" s="219" t="str">
        <f t="shared" ca="1" si="41"/>
        <v>R</v>
      </c>
      <c r="T200" s="219" t="str">
        <f t="shared" ref="S200:AH211" ca="1" si="43">IF(T$6="","",IF(RAND()&lt;0.8,"P","R"))</f>
        <v>R</v>
      </c>
      <c r="U200" s="219" t="str">
        <f t="shared" ca="1" si="43"/>
        <v>R</v>
      </c>
      <c r="V200" s="219" t="str">
        <f t="shared" ca="1" si="43"/>
        <v>P</v>
      </c>
      <c r="W200" s="219" t="str">
        <f t="shared" ca="1" si="43"/>
        <v>P</v>
      </c>
      <c r="X200" s="219" t="str">
        <f t="shared" ca="1" si="43"/>
        <v>P</v>
      </c>
      <c r="Y200" s="219" t="str">
        <f t="shared" ca="1" si="43"/>
        <v>R</v>
      </c>
      <c r="Z200" s="219" t="str">
        <f t="shared" ca="1" si="43"/>
        <v>R</v>
      </c>
      <c r="AA200" s="219" t="str">
        <f t="shared" ca="1" si="43"/>
        <v>R</v>
      </c>
      <c r="AB200" s="219" t="str">
        <f t="shared" ca="1" si="43"/>
        <v>P</v>
      </c>
      <c r="AC200" s="219" t="str">
        <f t="shared" ca="1" si="43"/>
        <v>P</v>
      </c>
      <c r="AD200" s="219" t="str">
        <f t="shared" ca="1" si="43"/>
        <v>P</v>
      </c>
      <c r="AE200" s="219" t="str">
        <f t="shared" ca="1" si="43"/>
        <v>P</v>
      </c>
      <c r="AF200" s="219" t="str">
        <f t="shared" ca="1" si="43"/>
        <v>R</v>
      </c>
      <c r="AG200" s="219" t="str">
        <f t="shared" ca="1" si="43"/>
        <v>P</v>
      </c>
      <c r="AH200" s="219" t="str">
        <f t="shared" ca="1" si="43"/>
        <v>R</v>
      </c>
      <c r="AI200" s="225">
        <f t="shared" si="42"/>
        <v>31</v>
      </c>
      <c r="AJ200" s="220">
        <f t="shared" ca="1" si="36"/>
        <v>19</v>
      </c>
      <c r="AK200" s="226">
        <f t="shared" ca="1" si="37"/>
        <v>12</v>
      </c>
    </row>
    <row r="201" spans="1:37" x14ac:dyDescent="0.25">
      <c r="A201" s="216">
        <v>1194</v>
      </c>
      <c r="B201" s="217" t="s">
        <v>202</v>
      </c>
      <c r="C201" s="218" t="s">
        <v>1103</v>
      </c>
      <c r="D201" s="219" t="str">
        <f t="shared" ca="1" si="41"/>
        <v>P</v>
      </c>
      <c r="E201" s="219" t="str">
        <f t="shared" ca="1" si="41"/>
        <v>R</v>
      </c>
      <c r="F201" s="219" t="str">
        <f t="shared" ca="1" si="41"/>
        <v>P</v>
      </c>
      <c r="G201" s="219" t="str">
        <f t="shared" ca="1" si="41"/>
        <v>R</v>
      </c>
      <c r="H201" s="219" t="str">
        <f t="shared" ca="1" si="41"/>
        <v>P</v>
      </c>
      <c r="I201" s="219" t="str">
        <f t="shared" ca="1" si="41"/>
        <v>P</v>
      </c>
      <c r="J201" s="219" t="str">
        <f t="shared" ca="1" si="41"/>
        <v>R</v>
      </c>
      <c r="K201" s="219" t="str">
        <f t="shared" ca="1" si="41"/>
        <v>R</v>
      </c>
      <c r="L201" s="219" t="str">
        <f t="shared" ca="1" si="41"/>
        <v>R</v>
      </c>
      <c r="M201" s="219" t="str">
        <f t="shared" ca="1" si="41"/>
        <v>P</v>
      </c>
      <c r="N201" s="219" t="str">
        <f t="shared" ca="1" si="41"/>
        <v>P</v>
      </c>
      <c r="O201" s="219" t="str">
        <f t="shared" ca="1" si="41"/>
        <v>P</v>
      </c>
      <c r="P201" s="219" t="str">
        <f t="shared" ca="1" si="41"/>
        <v>R</v>
      </c>
      <c r="Q201" s="219" t="str">
        <f t="shared" ca="1" si="41"/>
        <v>R</v>
      </c>
      <c r="R201" s="219" t="str">
        <f t="shared" ca="1" si="41"/>
        <v>P</v>
      </c>
      <c r="S201" s="219" t="str">
        <f t="shared" ca="1" si="43"/>
        <v>P</v>
      </c>
      <c r="T201" s="219" t="str">
        <f t="shared" ca="1" si="43"/>
        <v>P</v>
      </c>
      <c r="U201" s="219" t="str">
        <f t="shared" ca="1" si="43"/>
        <v>R</v>
      </c>
      <c r="V201" s="219" t="str">
        <f t="shared" ca="1" si="43"/>
        <v>P</v>
      </c>
      <c r="W201" s="219" t="str">
        <f t="shared" ca="1" si="43"/>
        <v>P</v>
      </c>
      <c r="X201" s="219" t="str">
        <f t="shared" ca="1" si="43"/>
        <v>P</v>
      </c>
      <c r="Y201" s="219" t="str">
        <f t="shared" ca="1" si="43"/>
        <v>P</v>
      </c>
      <c r="Z201" s="219" t="str">
        <f t="shared" ca="1" si="43"/>
        <v>P</v>
      </c>
      <c r="AA201" s="219" t="str">
        <f t="shared" ca="1" si="43"/>
        <v>P</v>
      </c>
      <c r="AB201" s="219" t="str">
        <f t="shared" ca="1" si="43"/>
        <v>P</v>
      </c>
      <c r="AC201" s="219" t="str">
        <f t="shared" ca="1" si="43"/>
        <v>P</v>
      </c>
      <c r="AD201" s="219" t="str">
        <f t="shared" ca="1" si="43"/>
        <v>P</v>
      </c>
      <c r="AE201" s="219" t="str">
        <f t="shared" ca="1" si="43"/>
        <v>P</v>
      </c>
      <c r="AF201" s="219" t="str">
        <f t="shared" ca="1" si="43"/>
        <v>R</v>
      </c>
      <c r="AG201" s="219" t="str">
        <f t="shared" ca="1" si="43"/>
        <v>P</v>
      </c>
      <c r="AH201" s="219" t="str">
        <f t="shared" ca="1" si="43"/>
        <v>P</v>
      </c>
      <c r="AI201" s="225">
        <f t="shared" si="42"/>
        <v>31</v>
      </c>
      <c r="AJ201" s="220">
        <f t="shared" ca="1" si="36"/>
        <v>22</v>
      </c>
      <c r="AK201" s="226">
        <f t="shared" ca="1" si="37"/>
        <v>9</v>
      </c>
    </row>
    <row r="202" spans="1:37" x14ac:dyDescent="0.25">
      <c r="A202" s="216">
        <v>1195</v>
      </c>
      <c r="B202" s="217" t="s">
        <v>1192</v>
      </c>
      <c r="C202" s="218" t="s">
        <v>1111</v>
      </c>
      <c r="D202" s="219" t="str">
        <f t="shared" ca="1" si="41"/>
        <v>P</v>
      </c>
      <c r="E202" s="219" t="str">
        <f t="shared" ca="1" si="41"/>
        <v>P</v>
      </c>
      <c r="F202" s="219" t="str">
        <f t="shared" ca="1" si="41"/>
        <v>P</v>
      </c>
      <c r="G202" s="219" t="str">
        <f t="shared" ca="1" si="41"/>
        <v>P</v>
      </c>
      <c r="H202" s="219" t="str">
        <f t="shared" ca="1" si="41"/>
        <v>P</v>
      </c>
      <c r="I202" s="219" t="str">
        <f t="shared" ca="1" si="41"/>
        <v>P</v>
      </c>
      <c r="J202" s="219" t="str">
        <f t="shared" ca="1" si="41"/>
        <v>P</v>
      </c>
      <c r="K202" s="219" t="str">
        <f t="shared" ca="1" si="41"/>
        <v>P</v>
      </c>
      <c r="L202" s="219" t="str">
        <f t="shared" ca="1" si="41"/>
        <v>P</v>
      </c>
      <c r="M202" s="219" t="str">
        <f t="shared" ca="1" si="41"/>
        <v>R</v>
      </c>
      <c r="N202" s="219" t="str">
        <f t="shared" ca="1" si="41"/>
        <v>P</v>
      </c>
      <c r="O202" s="219" t="str">
        <f t="shared" ca="1" si="41"/>
        <v>P</v>
      </c>
      <c r="P202" s="219" t="str">
        <f t="shared" ca="1" si="41"/>
        <v>P</v>
      </c>
      <c r="Q202" s="219" t="str">
        <f t="shared" ca="1" si="41"/>
        <v>P</v>
      </c>
      <c r="R202" s="219" t="str">
        <f t="shared" ca="1" si="41"/>
        <v>P</v>
      </c>
      <c r="S202" s="219" t="str">
        <f t="shared" ca="1" si="43"/>
        <v>P</v>
      </c>
      <c r="T202" s="219" t="str">
        <f t="shared" ca="1" si="43"/>
        <v>P</v>
      </c>
      <c r="U202" s="219" t="str">
        <f t="shared" ca="1" si="43"/>
        <v>P</v>
      </c>
      <c r="V202" s="219" t="str">
        <f t="shared" ca="1" si="43"/>
        <v>P</v>
      </c>
      <c r="W202" s="219" t="str">
        <f t="shared" ca="1" si="43"/>
        <v>P</v>
      </c>
      <c r="X202" s="219" t="str">
        <f t="shared" ca="1" si="43"/>
        <v>P</v>
      </c>
      <c r="Y202" s="219" t="str">
        <f t="shared" ca="1" si="43"/>
        <v>P</v>
      </c>
      <c r="Z202" s="219" t="str">
        <f t="shared" ca="1" si="43"/>
        <v>P</v>
      </c>
      <c r="AA202" s="219" t="str">
        <f t="shared" ca="1" si="43"/>
        <v>P</v>
      </c>
      <c r="AB202" s="219" t="str">
        <f t="shared" ca="1" si="43"/>
        <v>P</v>
      </c>
      <c r="AC202" s="219" t="str">
        <f t="shared" ca="1" si="43"/>
        <v>P</v>
      </c>
      <c r="AD202" s="219" t="str">
        <f t="shared" ca="1" si="43"/>
        <v>P</v>
      </c>
      <c r="AE202" s="219" t="str">
        <f t="shared" ca="1" si="43"/>
        <v>P</v>
      </c>
      <c r="AF202" s="219" t="str">
        <f t="shared" ca="1" si="43"/>
        <v>R</v>
      </c>
      <c r="AG202" s="219" t="str">
        <f t="shared" ca="1" si="43"/>
        <v>P</v>
      </c>
      <c r="AH202" s="219" t="str">
        <f t="shared" ca="1" si="43"/>
        <v>P</v>
      </c>
      <c r="AI202" s="225">
        <f t="shared" si="42"/>
        <v>31</v>
      </c>
      <c r="AJ202" s="220">
        <f t="shared" ca="1" si="36"/>
        <v>29</v>
      </c>
      <c r="AK202" s="226">
        <f t="shared" ca="1" si="37"/>
        <v>2</v>
      </c>
    </row>
    <row r="203" spans="1:37" x14ac:dyDescent="0.25">
      <c r="A203" s="216">
        <v>1196</v>
      </c>
      <c r="B203" s="217" t="s">
        <v>1193</v>
      </c>
      <c r="C203" s="218" t="s">
        <v>1101</v>
      </c>
      <c r="D203" s="219" t="str">
        <f t="shared" ca="1" si="41"/>
        <v>P</v>
      </c>
      <c r="E203" s="219" t="str">
        <f t="shared" ca="1" si="41"/>
        <v>P</v>
      </c>
      <c r="F203" s="219" t="str">
        <f t="shared" ca="1" si="41"/>
        <v>R</v>
      </c>
      <c r="G203" s="219" t="str">
        <f t="shared" ca="1" si="41"/>
        <v>P</v>
      </c>
      <c r="H203" s="219" t="str">
        <f t="shared" ca="1" si="41"/>
        <v>R</v>
      </c>
      <c r="I203" s="219" t="str">
        <f t="shared" ca="1" si="41"/>
        <v>P</v>
      </c>
      <c r="J203" s="219" t="str">
        <f t="shared" ca="1" si="41"/>
        <v>R</v>
      </c>
      <c r="K203" s="219" t="str">
        <f t="shared" ca="1" si="41"/>
        <v>P</v>
      </c>
      <c r="L203" s="219" t="str">
        <f t="shared" ca="1" si="41"/>
        <v>P</v>
      </c>
      <c r="M203" s="219" t="str">
        <f t="shared" ca="1" si="41"/>
        <v>P</v>
      </c>
      <c r="N203" s="219" t="str">
        <f t="shared" ca="1" si="41"/>
        <v>P</v>
      </c>
      <c r="O203" s="219" t="str">
        <f t="shared" ca="1" si="41"/>
        <v>P</v>
      </c>
      <c r="P203" s="219" t="str">
        <f t="shared" ca="1" si="41"/>
        <v>P</v>
      </c>
      <c r="Q203" s="219" t="str">
        <f t="shared" ref="D203:R211" ca="1" si="44">IF(Q$6="","",IF(RAND()&lt;0.8,"P","R"))</f>
        <v>P</v>
      </c>
      <c r="R203" s="219" t="str">
        <f t="shared" ca="1" si="44"/>
        <v>P</v>
      </c>
      <c r="S203" s="219" t="str">
        <f t="shared" ca="1" si="43"/>
        <v>P</v>
      </c>
      <c r="T203" s="219" t="str">
        <f t="shared" ca="1" si="43"/>
        <v>P</v>
      </c>
      <c r="U203" s="219" t="str">
        <f t="shared" ca="1" si="43"/>
        <v>P</v>
      </c>
      <c r="V203" s="219" t="str">
        <f t="shared" ca="1" si="43"/>
        <v>R</v>
      </c>
      <c r="W203" s="219" t="str">
        <f t="shared" ca="1" si="43"/>
        <v>P</v>
      </c>
      <c r="X203" s="219" t="str">
        <f t="shared" ca="1" si="43"/>
        <v>R</v>
      </c>
      <c r="Y203" s="219" t="str">
        <f t="shared" ca="1" si="43"/>
        <v>R</v>
      </c>
      <c r="Z203" s="219" t="str">
        <f t="shared" ca="1" si="43"/>
        <v>P</v>
      </c>
      <c r="AA203" s="219" t="str">
        <f t="shared" ca="1" si="43"/>
        <v>P</v>
      </c>
      <c r="AB203" s="219" t="str">
        <f t="shared" ca="1" si="43"/>
        <v>P</v>
      </c>
      <c r="AC203" s="219" t="str">
        <f t="shared" ca="1" si="43"/>
        <v>P</v>
      </c>
      <c r="AD203" s="219" t="str">
        <f t="shared" ca="1" si="43"/>
        <v>R</v>
      </c>
      <c r="AE203" s="219" t="str">
        <f t="shared" ca="1" si="43"/>
        <v>P</v>
      </c>
      <c r="AF203" s="219" t="str">
        <f t="shared" ca="1" si="43"/>
        <v>P</v>
      </c>
      <c r="AG203" s="219" t="str">
        <f t="shared" ca="1" si="43"/>
        <v>P</v>
      </c>
      <c r="AH203" s="219" t="str">
        <f t="shared" ca="1" si="43"/>
        <v>P</v>
      </c>
      <c r="AI203" s="225">
        <f t="shared" si="42"/>
        <v>31</v>
      </c>
      <c r="AJ203" s="220">
        <f t="shared" ca="1" si="36"/>
        <v>24</v>
      </c>
      <c r="AK203" s="226">
        <f t="shared" ca="1" si="37"/>
        <v>7</v>
      </c>
    </row>
    <row r="204" spans="1:37" x14ac:dyDescent="0.25">
      <c r="A204" s="216">
        <v>1197</v>
      </c>
      <c r="B204" s="217" t="s">
        <v>1194</v>
      </c>
      <c r="C204" s="218" t="s">
        <v>1108</v>
      </c>
      <c r="D204" s="219" t="str">
        <f t="shared" ca="1" si="44"/>
        <v>P</v>
      </c>
      <c r="E204" s="219" t="str">
        <f t="shared" ca="1" si="44"/>
        <v>P</v>
      </c>
      <c r="F204" s="219" t="str">
        <f t="shared" ca="1" si="44"/>
        <v>P</v>
      </c>
      <c r="G204" s="219" t="str">
        <f t="shared" ca="1" si="44"/>
        <v>P</v>
      </c>
      <c r="H204" s="219" t="str">
        <f t="shared" ca="1" si="44"/>
        <v>R</v>
      </c>
      <c r="I204" s="219" t="str">
        <f t="shared" ca="1" si="44"/>
        <v>R</v>
      </c>
      <c r="J204" s="219" t="str">
        <f t="shared" ca="1" si="44"/>
        <v>R</v>
      </c>
      <c r="K204" s="219" t="str">
        <f t="shared" ca="1" si="44"/>
        <v>P</v>
      </c>
      <c r="L204" s="219" t="str">
        <f t="shared" ca="1" si="44"/>
        <v>P</v>
      </c>
      <c r="M204" s="219" t="str">
        <f t="shared" ca="1" si="44"/>
        <v>P</v>
      </c>
      <c r="N204" s="219" t="str">
        <f t="shared" ca="1" si="44"/>
        <v>P</v>
      </c>
      <c r="O204" s="219" t="str">
        <f t="shared" ca="1" si="44"/>
        <v>P</v>
      </c>
      <c r="P204" s="219" t="str">
        <f t="shared" ca="1" si="44"/>
        <v>R</v>
      </c>
      <c r="Q204" s="219" t="str">
        <f t="shared" ca="1" si="44"/>
        <v>P</v>
      </c>
      <c r="R204" s="219" t="str">
        <f t="shared" ca="1" si="44"/>
        <v>P</v>
      </c>
      <c r="S204" s="219" t="str">
        <f t="shared" ca="1" si="43"/>
        <v>P</v>
      </c>
      <c r="T204" s="219" t="str">
        <f t="shared" ca="1" si="43"/>
        <v>R</v>
      </c>
      <c r="U204" s="219" t="str">
        <f t="shared" ca="1" si="43"/>
        <v>P</v>
      </c>
      <c r="V204" s="219" t="str">
        <f t="shared" ca="1" si="43"/>
        <v>P</v>
      </c>
      <c r="W204" s="219" t="str">
        <f t="shared" ca="1" si="43"/>
        <v>P</v>
      </c>
      <c r="X204" s="219" t="str">
        <f t="shared" ca="1" si="43"/>
        <v>R</v>
      </c>
      <c r="Y204" s="219" t="str">
        <f t="shared" ca="1" si="43"/>
        <v>P</v>
      </c>
      <c r="Z204" s="219" t="str">
        <f t="shared" ca="1" si="43"/>
        <v>P</v>
      </c>
      <c r="AA204" s="219" t="str">
        <f t="shared" ca="1" si="43"/>
        <v>P</v>
      </c>
      <c r="AB204" s="219" t="str">
        <f t="shared" ca="1" si="43"/>
        <v>P</v>
      </c>
      <c r="AC204" s="219" t="str">
        <f t="shared" ca="1" si="43"/>
        <v>P</v>
      </c>
      <c r="AD204" s="219" t="str">
        <f t="shared" ca="1" si="43"/>
        <v>P</v>
      </c>
      <c r="AE204" s="219" t="str">
        <f t="shared" ca="1" si="43"/>
        <v>P</v>
      </c>
      <c r="AF204" s="219" t="str">
        <f t="shared" ca="1" si="43"/>
        <v>P</v>
      </c>
      <c r="AG204" s="219" t="str">
        <f t="shared" ca="1" si="43"/>
        <v>P</v>
      </c>
      <c r="AH204" s="219" t="str">
        <f t="shared" ca="1" si="43"/>
        <v>P</v>
      </c>
      <c r="AI204" s="225">
        <f t="shared" si="42"/>
        <v>31</v>
      </c>
      <c r="AJ204" s="220">
        <f t="shared" ca="1" si="36"/>
        <v>25</v>
      </c>
      <c r="AK204" s="226">
        <f t="shared" ca="1" si="37"/>
        <v>6</v>
      </c>
    </row>
    <row r="205" spans="1:37" x14ac:dyDescent="0.25">
      <c r="A205" s="216">
        <v>1198</v>
      </c>
      <c r="B205" s="217" t="s">
        <v>1195</v>
      </c>
      <c r="C205" s="218" t="s">
        <v>1106</v>
      </c>
      <c r="D205" s="219" t="str">
        <f t="shared" ca="1" si="44"/>
        <v>P</v>
      </c>
      <c r="E205" s="219" t="str">
        <f t="shared" ca="1" si="44"/>
        <v>P</v>
      </c>
      <c r="F205" s="219" t="str">
        <f t="shared" ca="1" si="44"/>
        <v>P</v>
      </c>
      <c r="G205" s="219" t="str">
        <f t="shared" ca="1" si="44"/>
        <v>P</v>
      </c>
      <c r="H205" s="219" t="str">
        <f t="shared" ca="1" si="44"/>
        <v>P</v>
      </c>
      <c r="I205" s="219" t="str">
        <f t="shared" ca="1" si="44"/>
        <v>R</v>
      </c>
      <c r="J205" s="219" t="str">
        <f t="shared" ca="1" si="44"/>
        <v>P</v>
      </c>
      <c r="K205" s="219" t="str">
        <f t="shared" ca="1" si="44"/>
        <v>P</v>
      </c>
      <c r="L205" s="219" t="str">
        <f t="shared" ca="1" si="44"/>
        <v>P</v>
      </c>
      <c r="M205" s="219" t="str">
        <f t="shared" ca="1" si="44"/>
        <v>P</v>
      </c>
      <c r="N205" s="219" t="str">
        <f t="shared" ca="1" si="44"/>
        <v>P</v>
      </c>
      <c r="O205" s="219" t="str">
        <f t="shared" ca="1" si="44"/>
        <v>P</v>
      </c>
      <c r="P205" s="219" t="str">
        <f t="shared" ca="1" si="44"/>
        <v>P</v>
      </c>
      <c r="Q205" s="219" t="str">
        <f t="shared" ca="1" si="44"/>
        <v>P</v>
      </c>
      <c r="R205" s="219" t="str">
        <f t="shared" ca="1" si="44"/>
        <v>R</v>
      </c>
      <c r="S205" s="219" t="str">
        <f t="shared" ca="1" si="43"/>
        <v>R</v>
      </c>
      <c r="T205" s="219" t="str">
        <f t="shared" ca="1" si="43"/>
        <v>R</v>
      </c>
      <c r="U205" s="219" t="str">
        <f t="shared" ca="1" si="43"/>
        <v>R</v>
      </c>
      <c r="V205" s="219" t="str">
        <f t="shared" ca="1" si="43"/>
        <v>P</v>
      </c>
      <c r="W205" s="219" t="str">
        <f t="shared" ca="1" si="43"/>
        <v>P</v>
      </c>
      <c r="X205" s="219" t="str">
        <f t="shared" ca="1" si="43"/>
        <v>P</v>
      </c>
      <c r="Y205" s="219" t="str">
        <f t="shared" ca="1" si="43"/>
        <v>P</v>
      </c>
      <c r="Z205" s="219" t="str">
        <f t="shared" ca="1" si="43"/>
        <v>P</v>
      </c>
      <c r="AA205" s="219" t="str">
        <f t="shared" ca="1" si="43"/>
        <v>R</v>
      </c>
      <c r="AB205" s="219" t="str">
        <f t="shared" ca="1" si="43"/>
        <v>P</v>
      </c>
      <c r="AC205" s="219" t="str">
        <f t="shared" ca="1" si="43"/>
        <v>P</v>
      </c>
      <c r="AD205" s="219" t="str">
        <f t="shared" ca="1" si="43"/>
        <v>P</v>
      </c>
      <c r="AE205" s="219" t="str">
        <f t="shared" ca="1" si="43"/>
        <v>P</v>
      </c>
      <c r="AF205" s="219" t="str">
        <f t="shared" ca="1" si="43"/>
        <v>P</v>
      </c>
      <c r="AG205" s="219" t="str">
        <f t="shared" ca="1" si="43"/>
        <v>P</v>
      </c>
      <c r="AH205" s="219" t="str">
        <f t="shared" ca="1" si="43"/>
        <v>P</v>
      </c>
      <c r="AI205" s="225">
        <f t="shared" si="42"/>
        <v>31</v>
      </c>
      <c r="AJ205" s="220">
        <f t="shared" ca="1" si="36"/>
        <v>25</v>
      </c>
      <c r="AK205" s="226">
        <f t="shared" ca="1" si="37"/>
        <v>6</v>
      </c>
    </row>
    <row r="206" spans="1:37" x14ac:dyDescent="0.25">
      <c r="A206" s="216">
        <v>1199</v>
      </c>
      <c r="B206" s="217" t="s">
        <v>1196</v>
      </c>
      <c r="C206" s="218" t="s">
        <v>1107</v>
      </c>
      <c r="D206" s="219" t="str">
        <f t="shared" ca="1" si="44"/>
        <v>P</v>
      </c>
      <c r="E206" s="219" t="str">
        <f t="shared" ca="1" si="44"/>
        <v>P</v>
      </c>
      <c r="F206" s="219" t="str">
        <f t="shared" ca="1" si="44"/>
        <v>P</v>
      </c>
      <c r="G206" s="219" t="str">
        <f t="shared" ca="1" si="44"/>
        <v>R</v>
      </c>
      <c r="H206" s="219" t="str">
        <f t="shared" ca="1" si="44"/>
        <v>R</v>
      </c>
      <c r="I206" s="219" t="str">
        <f t="shared" ca="1" si="44"/>
        <v>P</v>
      </c>
      <c r="J206" s="219" t="str">
        <f t="shared" ca="1" si="44"/>
        <v>P</v>
      </c>
      <c r="K206" s="219" t="str">
        <f t="shared" ca="1" si="44"/>
        <v>P</v>
      </c>
      <c r="L206" s="219" t="str">
        <f t="shared" ca="1" si="44"/>
        <v>P</v>
      </c>
      <c r="M206" s="219" t="str">
        <f t="shared" ca="1" si="44"/>
        <v>P</v>
      </c>
      <c r="N206" s="219" t="str">
        <f t="shared" ca="1" si="44"/>
        <v>P</v>
      </c>
      <c r="O206" s="219" t="str">
        <f t="shared" ca="1" si="44"/>
        <v>P</v>
      </c>
      <c r="P206" s="219" t="str">
        <f t="shared" ca="1" si="44"/>
        <v>R</v>
      </c>
      <c r="Q206" s="219" t="str">
        <f t="shared" ca="1" si="44"/>
        <v>P</v>
      </c>
      <c r="R206" s="219" t="str">
        <f t="shared" ca="1" si="44"/>
        <v>R</v>
      </c>
      <c r="S206" s="219" t="str">
        <f t="shared" ca="1" si="43"/>
        <v>P</v>
      </c>
      <c r="T206" s="219" t="str">
        <f t="shared" ca="1" si="43"/>
        <v>R</v>
      </c>
      <c r="U206" s="219" t="str">
        <f t="shared" ca="1" si="43"/>
        <v>R</v>
      </c>
      <c r="V206" s="219" t="str">
        <f t="shared" ca="1" si="43"/>
        <v>P</v>
      </c>
      <c r="W206" s="219" t="str">
        <f t="shared" ca="1" si="43"/>
        <v>P</v>
      </c>
      <c r="X206" s="219" t="str">
        <f t="shared" ca="1" si="43"/>
        <v>P</v>
      </c>
      <c r="Y206" s="219" t="str">
        <f t="shared" ca="1" si="43"/>
        <v>R</v>
      </c>
      <c r="Z206" s="219" t="str">
        <f t="shared" ca="1" si="43"/>
        <v>P</v>
      </c>
      <c r="AA206" s="219" t="str">
        <f t="shared" ca="1" si="43"/>
        <v>P</v>
      </c>
      <c r="AB206" s="219" t="str">
        <f t="shared" ca="1" si="43"/>
        <v>P</v>
      </c>
      <c r="AC206" s="219" t="str">
        <f t="shared" ca="1" si="43"/>
        <v>R</v>
      </c>
      <c r="AD206" s="219" t="str">
        <f t="shared" ca="1" si="43"/>
        <v>P</v>
      </c>
      <c r="AE206" s="219" t="str">
        <f t="shared" ca="1" si="43"/>
        <v>P</v>
      </c>
      <c r="AF206" s="219" t="str">
        <f t="shared" ca="1" si="43"/>
        <v>P</v>
      </c>
      <c r="AG206" s="219" t="str">
        <f t="shared" ca="1" si="43"/>
        <v>P</v>
      </c>
      <c r="AH206" s="219" t="str">
        <f t="shared" ca="1" si="43"/>
        <v>P</v>
      </c>
      <c r="AI206" s="225">
        <f t="shared" si="42"/>
        <v>31</v>
      </c>
      <c r="AJ206" s="220">
        <f t="shared" ca="1" si="36"/>
        <v>23</v>
      </c>
      <c r="AK206" s="226">
        <f t="shared" ca="1" si="37"/>
        <v>8</v>
      </c>
    </row>
    <row r="207" spans="1:37" x14ac:dyDescent="0.25">
      <c r="A207" s="216">
        <v>1200</v>
      </c>
      <c r="B207" s="217" t="s">
        <v>311</v>
      </c>
      <c r="C207" s="218" t="s">
        <v>1109</v>
      </c>
      <c r="D207" s="219" t="str">
        <f t="shared" ca="1" si="44"/>
        <v>P</v>
      </c>
      <c r="E207" s="219" t="str">
        <f t="shared" ca="1" si="44"/>
        <v>P</v>
      </c>
      <c r="F207" s="219" t="str">
        <f t="shared" ca="1" si="44"/>
        <v>P</v>
      </c>
      <c r="G207" s="219" t="str">
        <f t="shared" ca="1" si="44"/>
        <v>P</v>
      </c>
      <c r="H207" s="219" t="str">
        <f t="shared" ca="1" si="44"/>
        <v>P</v>
      </c>
      <c r="I207" s="219" t="str">
        <f t="shared" ca="1" si="44"/>
        <v>P</v>
      </c>
      <c r="J207" s="219" t="str">
        <f t="shared" ca="1" si="44"/>
        <v>P</v>
      </c>
      <c r="K207" s="219" t="str">
        <f t="shared" ca="1" si="44"/>
        <v>P</v>
      </c>
      <c r="L207" s="219" t="str">
        <f t="shared" ca="1" si="44"/>
        <v>P</v>
      </c>
      <c r="M207" s="219" t="str">
        <f t="shared" ca="1" si="44"/>
        <v>P</v>
      </c>
      <c r="N207" s="219" t="str">
        <f t="shared" ca="1" si="44"/>
        <v>P</v>
      </c>
      <c r="O207" s="219" t="str">
        <f t="shared" ca="1" si="44"/>
        <v>P</v>
      </c>
      <c r="P207" s="219" t="str">
        <f t="shared" ca="1" si="44"/>
        <v>R</v>
      </c>
      <c r="Q207" s="219" t="str">
        <f t="shared" ca="1" si="44"/>
        <v>P</v>
      </c>
      <c r="R207" s="219" t="str">
        <f t="shared" ca="1" si="44"/>
        <v>P</v>
      </c>
      <c r="S207" s="219" t="str">
        <f t="shared" ca="1" si="43"/>
        <v>P</v>
      </c>
      <c r="T207" s="219" t="str">
        <f t="shared" ca="1" si="43"/>
        <v>R</v>
      </c>
      <c r="U207" s="219" t="str">
        <f t="shared" ca="1" si="43"/>
        <v>P</v>
      </c>
      <c r="V207" s="219" t="str">
        <f t="shared" ca="1" si="43"/>
        <v>R</v>
      </c>
      <c r="W207" s="219" t="str">
        <f t="shared" ca="1" si="43"/>
        <v>P</v>
      </c>
      <c r="X207" s="219" t="str">
        <f t="shared" ca="1" si="43"/>
        <v>P</v>
      </c>
      <c r="Y207" s="219" t="str">
        <f t="shared" ca="1" si="43"/>
        <v>P</v>
      </c>
      <c r="Z207" s="219" t="str">
        <f t="shared" ca="1" si="43"/>
        <v>P</v>
      </c>
      <c r="AA207" s="219" t="str">
        <f t="shared" ca="1" si="43"/>
        <v>R</v>
      </c>
      <c r="AB207" s="219" t="str">
        <f t="shared" ca="1" si="43"/>
        <v>P</v>
      </c>
      <c r="AC207" s="219" t="str">
        <f t="shared" ca="1" si="43"/>
        <v>P</v>
      </c>
      <c r="AD207" s="219" t="str">
        <f t="shared" ca="1" si="43"/>
        <v>R</v>
      </c>
      <c r="AE207" s="219" t="str">
        <f t="shared" ca="1" si="43"/>
        <v>P</v>
      </c>
      <c r="AF207" s="219" t="str">
        <f t="shared" ca="1" si="43"/>
        <v>P</v>
      </c>
      <c r="AG207" s="219" t="str">
        <f t="shared" ca="1" si="43"/>
        <v>P</v>
      </c>
      <c r="AH207" s="219" t="str">
        <f t="shared" ca="1" si="43"/>
        <v>P</v>
      </c>
      <c r="AI207" s="225">
        <f t="shared" si="42"/>
        <v>31</v>
      </c>
      <c r="AJ207" s="220">
        <f t="shared" ca="1" si="36"/>
        <v>26</v>
      </c>
      <c r="AK207" s="226">
        <f t="shared" ca="1" si="37"/>
        <v>5</v>
      </c>
    </row>
    <row r="208" spans="1:37" x14ac:dyDescent="0.25">
      <c r="A208" s="216">
        <v>1201</v>
      </c>
      <c r="B208" s="217" t="s">
        <v>1197</v>
      </c>
      <c r="C208" s="218" t="s">
        <v>1104</v>
      </c>
      <c r="D208" s="219" t="str">
        <f t="shared" ca="1" si="44"/>
        <v>P</v>
      </c>
      <c r="E208" s="219" t="str">
        <f t="shared" ca="1" si="44"/>
        <v>R</v>
      </c>
      <c r="F208" s="219" t="str">
        <f t="shared" ca="1" si="44"/>
        <v>P</v>
      </c>
      <c r="G208" s="219" t="str">
        <f t="shared" ca="1" si="44"/>
        <v>P</v>
      </c>
      <c r="H208" s="219" t="str">
        <f t="shared" ca="1" si="44"/>
        <v>P</v>
      </c>
      <c r="I208" s="219" t="str">
        <f t="shared" ca="1" si="44"/>
        <v>P</v>
      </c>
      <c r="J208" s="219" t="str">
        <f t="shared" ca="1" si="44"/>
        <v>P</v>
      </c>
      <c r="K208" s="219" t="str">
        <f t="shared" ca="1" si="44"/>
        <v>P</v>
      </c>
      <c r="L208" s="219" t="str">
        <f t="shared" ca="1" si="44"/>
        <v>P</v>
      </c>
      <c r="M208" s="219" t="str">
        <f t="shared" ca="1" si="44"/>
        <v>R</v>
      </c>
      <c r="N208" s="219" t="str">
        <f t="shared" ca="1" si="44"/>
        <v>P</v>
      </c>
      <c r="O208" s="219" t="str">
        <f t="shared" ca="1" si="44"/>
        <v>P</v>
      </c>
      <c r="P208" s="219" t="str">
        <f t="shared" ca="1" si="44"/>
        <v>P</v>
      </c>
      <c r="Q208" s="219" t="str">
        <f t="shared" ca="1" si="44"/>
        <v>P</v>
      </c>
      <c r="R208" s="219" t="str">
        <f t="shared" ca="1" si="44"/>
        <v>P</v>
      </c>
      <c r="S208" s="219" t="str">
        <f t="shared" ca="1" si="43"/>
        <v>P</v>
      </c>
      <c r="T208" s="219" t="str">
        <f t="shared" ca="1" si="43"/>
        <v>P</v>
      </c>
      <c r="U208" s="219" t="str">
        <f t="shared" ca="1" si="43"/>
        <v>P</v>
      </c>
      <c r="V208" s="219" t="str">
        <f t="shared" ca="1" si="43"/>
        <v>P</v>
      </c>
      <c r="W208" s="219" t="str">
        <f t="shared" ca="1" si="43"/>
        <v>R</v>
      </c>
      <c r="X208" s="219" t="str">
        <f t="shared" ca="1" si="43"/>
        <v>P</v>
      </c>
      <c r="Y208" s="219" t="str">
        <f t="shared" ca="1" si="43"/>
        <v>P</v>
      </c>
      <c r="Z208" s="219" t="str">
        <f t="shared" ca="1" si="43"/>
        <v>P</v>
      </c>
      <c r="AA208" s="219" t="str">
        <f t="shared" ca="1" si="43"/>
        <v>R</v>
      </c>
      <c r="AB208" s="219" t="str">
        <f t="shared" ca="1" si="43"/>
        <v>P</v>
      </c>
      <c r="AC208" s="219" t="str">
        <f t="shared" ca="1" si="43"/>
        <v>P</v>
      </c>
      <c r="AD208" s="219" t="str">
        <f t="shared" ca="1" si="43"/>
        <v>P</v>
      </c>
      <c r="AE208" s="219" t="str">
        <f t="shared" ca="1" si="43"/>
        <v>P</v>
      </c>
      <c r="AF208" s="219" t="str">
        <f t="shared" ca="1" si="43"/>
        <v>P</v>
      </c>
      <c r="AG208" s="219" t="str">
        <f t="shared" ca="1" si="43"/>
        <v>P</v>
      </c>
      <c r="AH208" s="219" t="str">
        <f t="shared" ca="1" si="43"/>
        <v>P</v>
      </c>
      <c r="AI208" s="225">
        <f t="shared" si="42"/>
        <v>31</v>
      </c>
      <c r="AJ208" s="220">
        <f t="shared" ca="1" si="36"/>
        <v>27</v>
      </c>
      <c r="AK208" s="226">
        <f t="shared" ca="1" si="37"/>
        <v>4</v>
      </c>
    </row>
    <row r="209" spans="1:37" x14ac:dyDescent="0.25">
      <c r="A209" s="216">
        <v>1202</v>
      </c>
      <c r="B209" s="217" t="s">
        <v>225</v>
      </c>
      <c r="C209" s="218" t="s">
        <v>1115</v>
      </c>
      <c r="D209" s="219" t="str">
        <f t="shared" ca="1" si="44"/>
        <v>P</v>
      </c>
      <c r="E209" s="219" t="str">
        <f t="shared" ca="1" si="44"/>
        <v>P</v>
      </c>
      <c r="F209" s="219" t="str">
        <f t="shared" ca="1" si="44"/>
        <v>R</v>
      </c>
      <c r="G209" s="219" t="str">
        <f t="shared" ca="1" si="44"/>
        <v>P</v>
      </c>
      <c r="H209" s="219" t="str">
        <f t="shared" ca="1" si="44"/>
        <v>P</v>
      </c>
      <c r="I209" s="219" t="str">
        <f t="shared" ca="1" si="44"/>
        <v>P</v>
      </c>
      <c r="J209" s="219" t="str">
        <f t="shared" ca="1" si="44"/>
        <v>R</v>
      </c>
      <c r="K209" s="219" t="str">
        <f t="shared" ca="1" si="44"/>
        <v>R</v>
      </c>
      <c r="L209" s="219" t="str">
        <f t="shared" ca="1" si="44"/>
        <v>P</v>
      </c>
      <c r="M209" s="219" t="str">
        <f t="shared" ca="1" si="44"/>
        <v>R</v>
      </c>
      <c r="N209" s="219" t="str">
        <f t="shared" ca="1" si="44"/>
        <v>P</v>
      </c>
      <c r="O209" s="219" t="str">
        <f t="shared" ca="1" si="44"/>
        <v>R</v>
      </c>
      <c r="P209" s="219" t="str">
        <f t="shared" ca="1" si="44"/>
        <v>P</v>
      </c>
      <c r="Q209" s="219" t="str">
        <f t="shared" ca="1" si="44"/>
        <v>R</v>
      </c>
      <c r="R209" s="219" t="str">
        <f t="shared" ca="1" si="44"/>
        <v>P</v>
      </c>
      <c r="S209" s="219" t="str">
        <f t="shared" ca="1" si="43"/>
        <v>P</v>
      </c>
      <c r="T209" s="219" t="str">
        <f t="shared" ca="1" si="43"/>
        <v>P</v>
      </c>
      <c r="U209" s="219" t="str">
        <f t="shared" ca="1" si="43"/>
        <v>P</v>
      </c>
      <c r="V209" s="219" t="str">
        <f t="shared" ca="1" si="43"/>
        <v>R</v>
      </c>
      <c r="W209" s="219" t="str">
        <f t="shared" ca="1" si="43"/>
        <v>P</v>
      </c>
      <c r="X209" s="219" t="str">
        <f t="shared" ca="1" si="43"/>
        <v>P</v>
      </c>
      <c r="Y209" s="219" t="str">
        <f t="shared" ca="1" si="43"/>
        <v>P</v>
      </c>
      <c r="Z209" s="219" t="str">
        <f t="shared" ca="1" si="43"/>
        <v>P</v>
      </c>
      <c r="AA209" s="219" t="str">
        <f t="shared" ca="1" si="43"/>
        <v>P</v>
      </c>
      <c r="AB209" s="219" t="str">
        <f t="shared" ca="1" si="43"/>
        <v>P</v>
      </c>
      <c r="AC209" s="219" t="str">
        <f t="shared" ca="1" si="43"/>
        <v>P</v>
      </c>
      <c r="AD209" s="219" t="str">
        <f t="shared" ca="1" si="43"/>
        <v>P</v>
      </c>
      <c r="AE209" s="219" t="str">
        <f t="shared" ca="1" si="43"/>
        <v>P</v>
      </c>
      <c r="AF209" s="219" t="str">
        <f t="shared" ca="1" si="43"/>
        <v>P</v>
      </c>
      <c r="AG209" s="219" t="str">
        <f t="shared" ca="1" si="43"/>
        <v>P</v>
      </c>
      <c r="AH209" s="219" t="str">
        <f t="shared" ca="1" si="43"/>
        <v>R</v>
      </c>
      <c r="AI209" s="225">
        <f t="shared" si="42"/>
        <v>31</v>
      </c>
      <c r="AJ209" s="220">
        <f t="shared" ca="1" si="36"/>
        <v>23</v>
      </c>
      <c r="AK209" s="226">
        <f t="shared" ca="1" si="37"/>
        <v>8</v>
      </c>
    </row>
    <row r="210" spans="1:37" x14ac:dyDescent="0.25">
      <c r="A210" s="216">
        <v>1203</v>
      </c>
      <c r="B210" s="217" t="s">
        <v>1198</v>
      </c>
      <c r="C210" s="218" t="s">
        <v>1113</v>
      </c>
      <c r="D210" s="219" t="str">
        <f t="shared" ca="1" si="44"/>
        <v>P</v>
      </c>
      <c r="E210" s="219" t="str">
        <f t="shared" ca="1" si="44"/>
        <v>P</v>
      </c>
      <c r="F210" s="219" t="str">
        <f t="shared" ca="1" si="44"/>
        <v>P</v>
      </c>
      <c r="G210" s="219" t="str">
        <f t="shared" ca="1" si="44"/>
        <v>P</v>
      </c>
      <c r="H210" s="219" t="str">
        <f t="shared" ca="1" si="44"/>
        <v>R</v>
      </c>
      <c r="I210" s="219" t="str">
        <f t="shared" ca="1" si="44"/>
        <v>P</v>
      </c>
      <c r="J210" s="219" t="str">
        <f t="shared" ca="1" si="44"/>
        <v>R</v>
      </c>
      <c r="K210" s="219" t="str">
        <f t="shared" ca="1" si="44"/>
        <v>P</v>
      </c>
      <c r="L210" s="219" t="str">
        <f t="shared" ca="1" si="44"/>
        <v>P</v>
      </c>
      <c r="M210" s="219" t="str">
        <f t="shared" ca="1" si="44"/>
        <v>P</v>
      </c>
      <c r="N210" s="219" t="str">
        <f t="shared" ca="1" si="44"/>
        <v>P</v>
      </c>
      <c r="O210" s="219" t="str">
        <f t="shared" ca="1" si="44"/>
        <v>P</v>
      </c>
      <c r="P210" s="219" t="str">
        <f t="shared" ca="1" si="44"/>
        <v>P</v>
      </c>
      <c r="Q210" s="219" t="str">
        <f t="shared" ca="1" si="44"/>
        <v>P</v>
      </c>
      <c r="R210" s="219" t="str">
        <f t="shared" ca="1" si="44"/>
        <v>P</v>
      </c>
      <c r="S210" s="219" t="str">
        <f t="shared" ca="1" si="43"/>
        <v>P</v>
      </c>
      <c r="T210" s="219" t="str">
        <f t="shared" ca="1" si="43"/>
        <v>P</v>
      </c>
      <c r="U210" s="219" t="str">
        <f t="shared" ca="1" si="43"/>
        <v>P</v>
      </c>
      <c r="V210" s="219" t="str">
        <f t="shared" ca="1" si="43"/>
        <v>P</v>
      </c>
      <c r="W210" s="219" t="str">
        <f t="shared" ca="1" si="43"/>
        <v>R</v>
      </c>
      <c r="X210" s="219" t="str">
        <f t="shared" ca="1" si="43"/>
        <v>P</v>
      </c>
      <c r="Y210" s="219" t="str">
        <f t="shared" ca="1" si="43"/>
        <v>P</v>
      </c>
      <c r="Z210" s="219" t="str">
        <f t="shared" ca="1" si="43"/>
        <v>P</v>
      </c>
      <c r="AA210" s="219" t="str">
        <f t="shared" ca="1" si="43"/>
        <v>P</v>
      </c>
      <c r="AB210" s="219" t="str">
        <f t="shared" ca="1" si="43"/>
        <v>P</v>
      </c>
      <c r="AC210" s="219" t="str">
        <f t="shared" ca="1" si="43"/>
        <v>P</v>
      </c>
      <c r="AD210" s="219" t="str">
        <f t="shared" ca="1" si="43"/>
        <v>P</v>
      </c>
      <c r="AE210" s="219" t="str">
        <f t="shared" ca="1" si="43"/>
        <v>R</v>
      </c>
      <c r="AF210" s="219" t="str">
        <f t="shared" ca="1" si="43"/>
        <v>P</v>
      </c>
      <c r="AG210" s="219" t="str">
        <f t="shared" ca="1" si="43"/>
        <v>P</v>
      </c>
      <c r="AH210" s="219" t="str">
        <f t="shared" ca="1" si="43"/>
        <v>P</v>
      </c>
      <c r="AI210" s="225">
        <f t="shared" si="42"/>
        <v>31</v>
      </c>
      <c r="AJ210" s="220">
        <f t="shared" ca="1" si="36"/>
        <v>27</v>
      </c>
      <c r="AK210" s="226">
        <f t="shared" ca="1" si="37"/>
        <v>4</v>
      </c>
    </row>
    <row r="211" spans="1:37" x14ac:dyDescent="0.25">
      <c r="A211" s="216">
        <v>1204</v>
      </c>
      <c r="B211" s="217" t="s">
        <v>1199</v>
      </c>
      <c r="C211" s="218" t="s">
        <v>1112</v>
      </c>
      <c r="D211" s="219" t="str">
        <f t="shared" ca="1" si="44"/>
        <v>P</v>
      </c>
      <c r="E211" s="219" t="str">
        <f t="shared" ca="1" si="44"/>
        <v>P</v>
      </c>
      <c r="F211" s="219" t="str">
        <f t="shared" ca="1" si="44"/>
        <v>R</v>
      </c>
      <c r="G211" s="219" t="str">
        <f t="shared" ca="1" si="44"/>
        <v>P</v>
      </c>
      <c r="H211" s="219" t="str">
        <f t="shared" ca="1" si="44"/>
        <v>P</v>
      </c>
      <c r="I211" s="219" t="str">
        <f t="shared" ca="1" si="44"/>
        <v>P</v>
      </c>
      <c r="J211" s="219" t="str">
        <f t="shared" ca="1" si="44"/>
        <v>P</v>
      </c>
      <c r="K211" s="219" t="str">
        <f t="shared" ca="1" si="44"/>
        <v>P</v>
      </c>
      <c r="L211" s="219" t="str">
        <f t="shared" ca="1" si="44"/>
        <v>R</v>
      </c>
      <c r="M211" s="219" t="str">
        <f t="shared" ca="1" si="44"/>
        <v>R</v>
      </c>
      <c r="N211" s="219" t="str">
        <f t="shared" ca="1" si="44"/>
        <v>R</v>
      </c>
      <c r="O211" s="219" t="str">
        <f t="shared" ca="1" si="44"/>
        <v>P</v>
      </c>
      <c r="P211" s="219" t="str">
        <f t="shared" ca="1" si="44"/>
        <v>P</v>
      </c>
      <c r="Q211" s="219" t="str">
        <f t="shared" ca="1" si="44"/>
        <v>P</v>
      </c>
      <c r="R211" s="219" t="str">
        <f t="shared" ca="1" si="44"/>
        <v>P</v>
      </c>
      <c r="S211" s="219" t="str">
        <f t="shared" ca="1" si="43"/>
        <v>P</v>
      </c>
      <c r="T211" s="219" t="str">
        <f t="shared" ca="1" si="43"/>
        <v>P</v>
      </c>
      <c r="U211" s="219" t="str">
        <f t="shared" ca="1" si="43"/>
        <v>P</v>
      </c>
      <c r="V211" s="219" t="str">
        <f t="shared" ca="1" si="43"/>
        <v>P</v>
      </c>
      <c r="W211" s="219" t="str">
        <f t="shared" ca="1" si="43"/>
        <v>P</v>
      </c>
      <c r="X211" s="219" t="str">
        <f t="shared" ca="1" si="43"/>
        <v>P</v>
      </c>
      <c r="Y211" s="219" t="str">
        <f t="shared" ca="1" si="43"/>
        <v>R</v>
      </c>
      <c r="Z211" s="219" t="str">
        <f t="shared" ca="1" si="43"/>
        <v>P</v>
      </c>
      <c r="AA211" s="219" t="str">
        <f t="shared" ca="1" si="43"/>
        <v>P</v>
      </c>
      <c r="AB211" s="219" t="str">
        <f t="shared" ca="1" si="43"/>
        <v>P</v>
      </c>
      <c r="AC211" s="219" t="str">
        <f t="shared" ca="1" si="43"/>
        <v>P</v>
      </c>
      <c r="AD211" s="219" t="str">
        <f t="shared" ca="1" si="43"/>
        <v>P</v>
      </c>
      <c r="AE211" s="219" t="str">
        <f t="shared" ca="1" si="43"/>
        <v>P</v>
      </c>
      <c r="AF211" s="219" t="str">
        <f t="shared" ca="1" si="43"/>
        <v>P</v>
      </c>
      <c r="AG211" s="219" t="str">
        <f t="shared" ca="1" si="43"/>
        <v>P</v>
      </c>
      <c r="AH211" s="219" t="str">
        <f t="shared" ca="1" si="43"/>
        <v>R</v>
      </c>
      <c r="AI211" s="225">
        <f t="shared" si="42"/>
        <v>31</v>
      </c>
      <c r="AJ211" s="220">
        <f t="shared" ca="1" si="36"/>
        <v>25</v>
      </c>
      <c r="AK211" s="226">
        <f t="shared" ca="1" si="37"/>
        <v>6</v>
      </c>
    </row>
  </sheetData>
  <mergeCells count="4">
    <mergeCell ref="A1:AK2"/>
    <mergeCell ref="H3:K3"/>
    <mergeCell ref="T3:W3"/>
    <mergeCell ref="F4:J4"/>
  </mergeCells>
  <phoneticPr fontId="9" type="noConversion"/>
  <dataValidations count="2">
    <dataValidation type="list" allowBlank="1" showInputMessage="1" showErrorMessage="1" sqref="L3" xr:uid="{D1CD6D64-7CF0-4886-AC08-DDA86FF2ED83}">
      <formula1>$AL$9:$AL$20</formula1>
    </dataValidation>
    <dataValidation type="list" allowBlank="1" showInputMessage="1" showErrorMessage="1" sqref="X3" xr:uid="{7BF81D24-5FE1-43B0-81BB-7ED4ECD855B8}">
      <formula1>"2025,2026"</formula1>
    </dataValidation>
  </dataValidation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E721A-F6FC-4C99-8BEF-505F6E597764}">
  <sheetPr codeName="Sheet23"/>
  <dimension ref="A1:S159"/>
  <sheetViews>
    <sheetView showGridLines="0" workbookViewId="0">
      <selection activeCell="A24" sqref="A24:D24"/>
    </sheetView>
  </sheetViews>
  <sheetFormatPr defaultRowHeight="15" x14ac:dyDescent="0.25"/>
  <cols>
    <col min="1" max="1" width="18.7109375" bestFit="1" customWidth="1"/>
    <col min="2" max="2" width="12" bestFit="1" customWidth="1"/>
    <col min="3" max="3" width="16.85546875" bestFit="1" customWidth="1"/>
    <col min="4" max="4" width="12" bestFit="1" customWidth="1"/>
    <col min="5" max="5" width="8.140625" customWidth="1"/>
    <col min="6" max="6" width="18.7109375" bestFit="1" customWidth="1"/>
    <col min="7" max="7" width="12" bestFit="1" customWidth="1"/>
    <col min="8" max="8" width="16.85546875" bestFit="1" customWidth="1"/>
    <col min="9" max="9" width="12" bestFit="1" customWidth="1"/>
    <col min="10" max="10" width="11.42578125" customWidth="1"/>
    <col min="11" max="11" width="18.7109375" bestFit="1" customWidth="1"/>
    <col min="12" max="12" width="12" bestFit="1" customWidth="1"/>
    <col min="13" max="13" width="16.85546875" bestFit="1" customWidth="1"/>
    <col min="14" max="14" width="12" bestFit="1" customWidth="1"/>
    <col min="15" max="15" width="12.85546875" customWidth="1"/>
    <col min="16" max="16" width="18.7109375" bestFit="1" customWidth="1"/>
    <col min="17" max="17" width="12" bestFit="1" customWidth="1"/>
    <col min="18" max="18" width="16.85546875" bestFit="1" customWidth="1"/>
    <col min="19" max="19" width="12" bestFit="1" customWidth="1"/>
    <col min="20" max="20" width="0.5703125" customWidth="1"/>
  </cols>
  <sheetData>
    <row r="1" spans="1:19" ht="18.75" x14ac:dyDescent="0.25">
      <c r="A1" s="490" t="s">
        <v>976</v>
      </c>
      <c r="B1" s="491"/>
      <c r="C1" s="491"/>
      <c r="D1" s="492"/>
      <c r="F1" s="490" t="s">
        <v>976</v>
      </c>
      <c r="G1" s="515"/>
      <c r="H1" s="515"/>
      <c r="I1" s="516"/>
      <c r="K1" s="490" t="s">
        <v>976</v>
      </c>
      <c r="L1" s="515"/>
      <c r="M1" s="515"/>
      <c r="N1" s="516"/>
      <c r="P1" s="490" t="s">
        <v>976</v>
      </c>
      <c r="Q1" s="515"/>
      <c r="R1" s="515"/>
      <c r="S1" s="516"/>
    </row>
    <row r="2" spans="1:19" ht="23.25" x14ac:dyDescent="0.25">
      <c r="A2" s="493" t="s">
        <v>977</v>
      </c>
      <c r="B2" s="494"/>
      <c r="C2" s="494"/>
      <c r="D2" s="495"/>
      <c r="F2" s="493" t="s">
        <v>977</v>
      </c>
      <c r="G2" s="517"/>
      <c r="H2" s="517"/>
      <c r="I2" s="518"/>
      <c r="K2" s="493" t="s">
        <v>977</v>
      </c>
      <c r="L2" s="517"/>
      <c r="M2" s="517"/>
      <c r="N2" s="518"/>
      <c r="P2" s="493" t="s">
        <v>977</v>
      </c>
      <c r="Q2" s="517"/>
      <c r="R2" s="517"/>
      <c r="S2" s="518"/>
    </row>
    <row r="3" spans="1:19" x14ac:dyDescent="0.25">
      <c r="A3" s="496" t="s">
        <v>978</v>
      </c>
      <c r="B3" s="497"/>
      <c r="C3" s="497"/>
      <c r="D3" s="498"/>
      <c r="F3" s="496" t="s">
        <v>978</v>
      </c>
      <c r="G3" s="517"/>
      <c r="H3" s="517"/>
      <c r="I3" s="518"/>
      <c r="K3" s="496" t="s">
        <v>978</v>
      </c>
      <c r="L3" s="517"/>
      <c r="M3" s="517"/>
      <c r="N3" s="518"/>
      <c r="P3" s="496" t="s">
        <v>978</v>
      </c>
      <c r="Q3" s="517"/>
      <c r="R3" s="517"/>
      <c r="S3" s="518"/>
    </row>
    <row r="4" spans="1:19" x14ac:dyDescent="0.25">
      <c r="A4" s="118"/>
      <c r="D4" s="119"/>
      <c r="F4" s="118"/>
      <c r="I4" s="119"/>
      <c r="K4" s="118"/>
      <c r="N4" s="119"/>
      <c r="P4" s="118"/>
      <c r="S4" s="119"/>
    </row>
    <row r="5" spans="1:19" x14ac:dyDescent="0.25">
      <c r="A5" s="127" t="s">
        <v>979</v>
      </c>
      <c r="B5" s="122">
        <v>1000</v>
      </c>
      <c r="C5" s="122" t="s">
        <v>980</v>
      </c>
      <c r="D5" s="131" t="s">
        <v>62</v>
      </c>
      <c r="F5" s="139" t="s">
        <v>979</v>
      </c>
      <c r="G5" s="135">
        <v>1001</v>
      </c>
      <c r="H5" s="135" t="s">
        <v>980</v>
      </c>
      <c r="I5" s="142" t="s">
        <v>69</v>
      </c>
      <c r="K5" s="139" t="s">
        <v>979</v>
      </c>
      <c r="L5" s="135">
        <v>1002</v>
      </c>
      <c r="M5" s="135" t="s">
        <v>980</v>
      </c>
      <c r="N5" s="142" t="s">
        <v>75</v>
      </c>
      <c r="P5" s="139" t="s">
        <v>979</v>
      </c>
      <c r="Q5" s="135">
        <v>1003</v>
      </c>
      <c r="R5" s="135" t="s">
        <v>980</v>
      </c>
      <c r="S5" s="142" t="s">
        <v>81</v>
      </c>
    </row>
    <row r="6" spans="1:19" x14ac:dyDescent="0.25">
      <c r="A6" s="127" t="s">
        <v>981</v>
      </c>
      <c r="B6" s="122" t="s">
        <v>615</v>
      </c>
      <c r="C6" s="122" t="s">
        <v>982</v>
      </c>
      <c r="D6" s="131">
        <v>1</v>
      </c>
      <c r="F6" s="139" t="s">
        <v>981</v>
      </c>
      <c r="G6" s="135" t="s">
        <v>615</v>
      </c>
      <c r="H6" s="135" t="s">
        <v>982</v>
      </c>
      <c r="I6" s="142">
        <v>2</v>
      </c>
      <c r="K6" s="139" t="s">
        <v>981</v>
      </c>
      <c r="L6" s="135" t="s">
        <v>615</v>
      </c>
      <c r="M6" s="135" t="s">
        <v>982</v>
      </c>
      <c r="N6" s="142">
        <v>3</v>
      </c>
      <c r="P6" s="139" t="s">
        <v>981</v>
      </c>
      <c r="Q6" s="135" t="s">
        <v>615</v>
      </c>
      <c r="R6" s="135" t="s">
        <v>982</v>
      </c>
      <c r="S6" s="142">
        <v>4</v>
      </c>
    </row>
    <row r="7" spans="1:19" x14ac:dyDescent="0.25">
      <c r="A7" s="118"/>
      <c r="D7" s="119"/>
      <c r="F7" s="118"/>
      <c r="I7" s="119"/>
      <c r="K7" s="118"/>
      <c r="N7" s="119"/>
      <c r="P7" s="118"/>
      <c r="S7" s="119"/>
    </row>
    <row r="8" spans="1:19" x14ac:dyDescent="0.25">
      <c r="A8" s="499" t="s">
        <v>983</v>
      </c>
      <c r="B8" s="500"/>
      <c r="C8" s="500" t="s">
        <v>984</v>
      </c>
      <c r="D8" s="501"/>
      <c r="F8" s="499" t="s">
        <v>983</v>
      </c>
      <c r="G8" s="500"/>
      <c r="H8" s="500" t="s">
        <v>984</v>
      </c>
      <c r="I8" s="501"/>
      <c r="K8" s="499" t="s">
        <v>983</v>
      </c>
      <c r="L8" s="500"/>
      <c r="M8" s="500" t="s">
        <v>984</v>
      </c>
      <c r="N8" s="501"/>
      <c r="P8" s="499" t="s">
        <v>983</v>
      </c>
      <c r="Q8" s="500"/>
      <c r="R8" s="500" t="s">
        <v>984</v>
      </c>
      <c r="S8" s="501"/>
    </row>
    <row r="9" spans="1:19" x14ac:dyDescent="0.25">
      <c r="A9" s="128" t="s">
        <v>957</v>
      </c>
      <c r="B9" s="123">
        <v>50000</v>
      </c>
      <c r="C9" s="124" t="s">
        <v>985</v>
      </c>
      <c r="D9" s="132">
        <v>6450</v>
      </c>
      <c r="F9" s="140" t="s">
        <v>957</v>
      </c>
      <c r="G9" s="123">
        <v>40000</v>
      </c>
      <c r="H9" s="136" t="s">
        <v>985</v>
      </c>
      <c r="I9" s="132">
        <v>5160</v>
      </c>
      <c r="K9" s="140" t="s">
        <v>957</v>
      </c>
      <c r="L9" s="123">
        <v>40000</v>
      </c>
      <c r="M9" s="136" t="s">
        <v>985</v>
      </c>
      <c r="N9" s="132">
        <v>5160</v>
      </c>
      <c r="P9" s="140" t="s">
        <v>957</v>
      </c>
      <c r="Q9" s="123">
        <v>60000</v>
      </c>
      <c r="R9" s="136" t="s">
        <v>985</v>
      </c>
      <c r="S9" s="132">
        <v>7740</v>
      </c>
    </row>
    <row r="10" spans="1:19" x14ac:dyDescent="0.25">
      <c r="A10" s="129" t="s">
        <v>986</v>
      </c>
      <c r="B10" s="121">
        <v>5000</v>
      </c>
      <c r="C10" s="120" t="s">
        <v>987</v>
      </c>
      <c r="D10" s="133">
        <v>1128.75</v>
      </c>
      <c r="F10" s="141" t="s">
        <v>986</v>
      </c>
      <c r="G10" s="121">
        <v>4000</v>
      </c>
      <c r="H10" s="137" t="s">
        <v>987</v>
      </c>
      <c r="I10" s="133">
        <v>903</v>
      </c>
      <c r="K10" s="141" t="s">
        <v>986</v>
      </c>
      <c r="L10" s="121">
        <v>4000</v>
      </c>
      <c r="M10" s="137" t="s">
        <v>987</v>
      </c>
      <c r="N10" s="133">
        <v>903</v>
      </c>
      <c r="P10" s="141" t="s">
        <v>986</v>
      </c>
      <c r="Q10" s="121">
        <v>6000</v>
      </c>
      <c r="R10" s="137" t="s">
        <v>987</v>
      </c>
      <c r="S10" s="133">
        <v>1354.5</v>
      </c>
    </row>
    <row r="11" spans="1:19" x14ac:dyDescent="0.25">
      <c r="A11" s="128" t="s">
        <v>988</v>
      </c>
      <c r="B11" s="123">
        <v>6000</v>
      </c>
      <c r="C11" s="124" t="s">
        <v>989</v>
      </c>
      <c r="D11" s="132">
        <v>3</v>
      </c>
      <c r="F11" s="140" t="s">
        <v>988</v>
      </c>
      <c r="G11" s="123">
        <v>4800</v>
      </c>
      <c r="H11" s="136" t="s">
        <v>989</v>
      </c>
      <c r="I11" s="132">
        <v>2</v>
      </c>
      <c r="K11" s="140" t="s">
        <v>988</v>
      </c>
      <c r="L11" s="123">
        <v>4800</v>
      </c>
      <c r="M11" s="136" t="s">
        <v>989</v>
      </c>
      <c r="N11" s="132">
        <v>4</v>
      </c>
      <c r="P11" s="140" t="s">
        <v>988</v>
      </c>
      <c r="Q11" s="123">
        <v>7200</v>
      </c>
      <c r="R11" s="136" t="s">
        <v>989</v>
      </c>
      <c r="S11" s="132">
        <v>3</v>
      </c>
    </row>
    <row r="12" spans="1:19" x14ac:dyDescent="0.25">
      <c r="A12" s="129" t="s">
        <v>990</v>
      </c>
      <c r="B12" s="121">
        <v>500</v>
      </c>
      <c r="C12" s="120" t="s">
        <v>991</v>
      </c>
      <c r="D12" s="133">
        <v>5769.2307692307704</v>
      </c>
      <c r="F12" s="141" t="s">
        <v>990</v>
      </c>
      <c r="G12" s="121">
        <v>400</v>
      </c>
      <c r="H12" s="137" t="s">
        <v>991</v>
      </c>
      <c r="I12" s="133">
        <v>3076.9230769230799</v>
      </c>
      <c r="K12" s="141" t="s">
        <v>990</v>
      </c>
      <c r="L12" s="121">
        <v>400</v>
      </c>
      <c r="M12" s="137" t="s">
        <v>991</v>
      </c>
      <c r="N12" s="133">
        <v>6153.8461538461497</v>
      </c>
      <c r="P12" s="141" t="s">
        <v>990</v>
      </c>
      <c r="Q12" s="121">
        <v>600</v>
      </c>
      <c r="R12" s="137" t="s">
        <v>991</v>
      </c>
      <c r="S12" s="133">
        <v>6923.0769230769201</v>
      </c>
    </row>
    <row r="13" spans="1:19" x14ac:dyDescent="0.25">
      <c r="A13" s="128" t="s">
        <v>992</v>
      </c>
      <c r="B13" s="123">
        <v>3000</v>
      </c>
      <c r="C13" s="124"/>
      <c r="D13" s="132"/>
      <c r="F13" s="140" t="s">
        <v>992</v>
      </c>
      <c r="G13" s="123">
        <v>2400</v>
      </c>
      <c r="H13" s="136"/>
      <c r="I13" s="132"/>
      <c r="K13" s="140" t="s">
        <v>992</v>
      </c>
      <c r="L13" s="123">
        <v>2400</v>
      </c>
      <c r="M13" s="136"/>
      <c r="N13" s="132"/>
      <c r="P13" s="140" t="s">
        <v>992</v>
      </c>
      <c r="Q13" s="123">
        <v>3600</v>
      </c>
      <c r="R13" s="136"/>
      <c r="S13" s="132"/>
    </row>
    <row r="14" spans="1:19" x14ac:dyDescent="0.25">
      <c r="A14" s="129" t="s">
        <v>993</v>
      </c>
      <c r="B14" s="121">
        <v>15</v>
      </c>
      <c r="C14" s="120"/>
      <c r="D14" s="133"/>
      <c r="F14" s="141" t="s">
        <v>993</v>
      </c>
      <c r="G14" s="121">
        <v>12</v>
      </c>
      <c r="H14" s="137"/>
      <c r="I14" s="133"/>
      <c r="K14" s="141" t="s">
        <v>993</v>
      </c>
      <c r="L14" s="121">
        <v>13</v>
      </c>
      <c r="M14" s="137"/>
      <c r="N14" s="133"/>
      <c r="P14" s="141" t="s">
        <v>993</v>
      </c>
      <c r="Q14" s="121">
        <v>15</v>
      </c>
      <c r="R14" s="137"/>
      <c r="S14" s="133"/>
    </row>
    <row r="15" spans="1:19" x14ac:dyDescent="0.25">
      <c r="A15" s="128" t="s">
        <v>994</v>
      </c>
      <c r="B15" s="123">
        <v>3125</v>
      </c>
      <c r="C15" s="124"/>
      <c r="D15" s="132"/>
      <c r="F15" s="140" t="s">
        <v>994</v>
      </c>
      <c r="G15" s="123">
        <v>2500</v>
      </c>
      <c r="H15" s="136"/>
      <c r="I15" s="132"/>
      <c r="K15" s="140" t="s">
        <v>994</v>
      </c>
      <c r="L15" s="123">
        <v>2708.3333333333298</v>
      </c>
      <c r="M15" s="136"/>
      <c r="N15" s="132"/>
      <c r="P15" s="140" t="s">
        <v>994</v>
      </c>
      <c r="Q15" s="123">
        <v>4687.5</v>
      </c>
      <c r="R15" s="136"/>
      <c r="S15" s="132"/>
    </row>
    <row r="16" spans="1:19" x14ac:dyDescent="0.25">
      <c r="A16" s="130" t="s">
        <v>995</v>
      </c>
      <c r="B16" s="125">
        <v>64500</v>
      </c>
      <c r="C16" s="126" t="s">
        <v>996</v>
      </c>
      <c r="D16" s="134">
        <v>13347.9807692308</v>
      </c>
      <c r="F16" s="139" t="s">
        <v>995</v>
      </c>
      <c r="G16" s="138">
        <v>51600</v>
      </c>
      <c r="H16" s="135" t="s">
        <v>996</v>
      </c>
      <c r="I16" s="143">
        <v>9139.9230769230799</v>
      </c>
      <c r="K16" s="139" t="s">
        <v>995</v>
      </c>
      <c r="L16" s="138">
        <v>51600</v>
      </c>
      <c r="M16" s="135" t="s">
        <v>996</v>
      </c>
      <c r="N16" s="143">
        <v>12216.8461538461</v>
      </c>
      <c r="P16" s="139" t="s">
        <v>995</v>
      </c>
      <c r="Q16" s="138">
        <v>77400</v>
      </c>
      <c r="R16" s="135" t="s">
        <v>996</v>
      </c>
      <c r="S16" s="143">
        <v>16017.5769230769</v>
      </c>
    </row>
    <row r="17" spans="1:19" x14ac:dyDescent="0.25">
      <c r="A17" s="118"/>
      <c r="D17" s="119"/>
      <c r="F17" s="118"/>
      <c r="I17" s="119"/>
      <c r="K17" s="118"/>
      <c r="N17" s="119"/>
      <c r="P17" s="118"/>
      <c r="S17" s="119"/>
    </row>
    <row r="18" spans="1:19" ht="15.75" x14ac:dyDescent="0.25">
      <c r="A18" s="502" t="s">
        <v>597</v>
      </c>
      <c r="B18" s="503"/>
      <c r="C18" s="504">
        <v>54277.019230769198</v>
      </c>
      <c r="D18" s="505"/>
      <c r="F18" s="519" t="s">
        <v>597</v>
      </c>
      <c r="G18" s="520"/>
      <c r="H18" s="504">
        <v>44960.0769230769</v>
      </c>
      <c r="I18" s="506"/>
      <c r="K18" s="519" t="s">
        <v>597</v>
      </c>
      <c r="L18" s="520"/>
      <c r="M18" s="504">
        <v>42091.487179487202</v>
      </c>
      <c r="N18" s="506"/>
      <c r="P18" s="519" t="s">
        <v>597</v>
      </c>
      <c r="Q18" s="520"/>
      <c r="R18" s="504">
        <v>66069.923076923107</v>
      </c>
      <c r="S18" s="506"/>
    </row>
    <row r="19" spans="1:19" x14ac:dyDescent="0.25">
      <c r="A19" s="521" t="s">
        <v>598</v>
      </c>
      <c r="B19" s="522"/>
      <c r="C19" s="523">
        <v>646029.23076923098</v>
      </c>
      <c r="D19" s="524"/>
      <c r="F19" s="507" t="s">
        <v>598</v>
      </c>
      <c r="G19" s="508"/>
      <c r="H19" s="509">
        <v>535284.92307692301</v>
      </c>
      <c r="I19" s="510"/>
      <c r="K19" s="507" t="s">
        <v>598</v>
      </c>
      <c r="L19" s="508"/>
      <c r="M19" s="509">
        <v>500861.84615384601</v>
      </c>
      <c r="N19" s="510"/>
      <c r="P19" s="507" t="s">
        <v>598</v>
      </c>
      <c r="Q19" s="508"/>
      <c r="R19" s="509">
        <v>786485.07692307699</v>
      </c>
      <c r="S19" s="510"/>
    </row>
    <row r="20" spans="1:19" x14ac:dyDescent="0.25">
      <c r="A20" s="144"/>
      <c r="B20" s="145"/>
      <c r="C20" s="145"/>
      <c r="D20" s="146"/>
      <c r="F20" s="144"/>
      <c r="G20" s="145"/>
      <c r="H20" s="145"/>
      <c r="I20" s="146"/>
      <c r="K20" s="144"/>
      <c r="L20" s="145"/>
      <c r="M20" s="145"/>
      <c r="N20" s="146"/>
      <c r="P20" s="144"/>
      <c r="Q20" s="145"/>
      <c r="R20" s="145"/>
      <c r="S20" s="146"/>
    </row>
    <row r="21" spans="1:19" ht="15.75" thickBot="1" x14ac:dyDescent="0.3">
      <c r="A21" s="525" t="s">
        <v>997</v>
      </c>
      <c r="B21" s="526"/>
      <c r="C21" s="526" t="s">
        <v>998</v>
      </c>
      <c r="D21" s="527"/>
      <c r="F21" s="511" t="s">
        <v>997</v>
      </c>
      <c r="G21" s="512"/>
      <c r="H21" s="513" t="s">
        <v>998</v>
      </c>
      <c r="I21" s="514"/>
      <c r="K21" s="511" t="s">
        <v>997</v>
      </c>
      <c r="L21" s="512"/>
      <c r="M21" s="513" t="s">
        <v>998</v>
      </c>
      <c r="N21" s="514"/>
      <c r="P21" s="511" t="s">
        <v>997</v>
      </c>
      <c r="Q21" s="512"/>
      <c r="R21" s="513" t="s">
        <v>998</v>
      </c>
      <c r="S21" s="514"/>
    </row>
    <row r="23" spans="1:19" ht="15.75" thickBot="1" x14ac:dyDescent="0.3"/>
    <row r="24" spans="1:19" ht="18.75" x14ac:dyDescent="0.25">
      <c r="A24" s="490" t="s">
        <v>976</v>
      </c>
      <c r="B24" s="515"/>
      <c r="C24" s="515"/>
      <c r="D24" s="516"/>
      <c r="F24" s="490" t="s">
        <v>976</v>
      </c>
      <c r="G24" s="515"/>
      <c r="H24" s="515"/>
      <c r="I24" s="516"/>
      <c r="K24" s="490" t="s">
        <v>976</v>
      </c>
      <c r="L24" s="515"/>
      <c r="M24" s="515"/>
      <c r="N24" s="516"/>
      <c r="P24" s="490" t="s">
        <v>976</v>
      </c>
      <c r="Q24" s="515"/>
      <c r="R24" s="515"/>
      <c r="S24" s="516"/>
    </row>
    <row r="25" spans="1:19" ht="23.25" x14ac:dyDescent="0.25">
      <c r="A25" s="493" t="s">
        <v>977</v>
      </c>
      <c r="B25" s="517"/>
      <c r="C25" s="517"/>
      <c r="D25" s="518"/>
      <c r="F25" s="493" t="s">
        <v>977</v>
      </c>
      <c r="G25" s="517"/>
      <c r="H25" s="517"/>
      <c r="I25" s="518"/>
      <c r="K25" s="493" t="s">
        <v>977</v>
      </c>
      <c r="L25" s="517"/>
      <c r="M25" s="517"/>
      <c r="N25" s="518"/>
      <c r="P25" s="493" t="s">
        <v>977</v>
      </c>
      <c r="Q25" s="517"/>
      <c r="R25" s="517"/>
      <c r="S25" s="518"/>
    </row>
    <row r="26" spans="1:19" x14ac:dyDescent="0.25">
      <c r="A26" s="496" t="s">
        <v>978</v>
      </c>
      <c r="B26" s="517"/>
      <c r="C26" s="517"/>
      <c r="D26" s="518"/>
      <c r="F26" s="496" t="s">
        <v>978</v>
      </c>
      <c r="G26" s="517"/>
      <c r="H26" s="517"/>
      <c r="I26" s="518"/>
      <c r="K26" s="496" t="s">
        <v>978</v>
      </c>
      <c r="L26" s="517"/>
      <c r="M26" s="517"/>
      <c r="N26" s="518"/>
      <c r="P26" s="496" t="s">
        <v>978</v>
      </c>
      <c r="Q26" s="517"/>
      <c r="R26" s="517"/>
      <c r="S26" s="518"/>
    </row>
    <row r="27" spans="1:19" x14ac:dyDescent="0.25">
      <c r="A27" s="118"/>
      <c r="D27" s="119"/>
      <c r="F27" s="118"/>
      <c r="I27" s="119"/>
      <c r="K27" s="118"/>
      <c r="N27" s="119"/>
      <c r="P27" s="118"/>
      <c r="S27" s="119"/>
    </row>
    <row r="28" spans="1:19" x14ac:dyDescent="0.25">
      <c r="A28" s="139" t="s">
        <v>979</v>
      </c>
      <c r="B28" s="135">
        <v>1004</v>
      </c>
      <c r="C28" s="135" t="s">
        <v>980</v>
      </c>
      <c r="D28" s="142" t="s">
        <v>88</v>
      </c>
      <c r="F28" s="139" t="s">
        <v>979</v>
      </c>
      <c r="G28" s="135">
        <v>1005</v>
      </c>
      <c r="H28" s="135" t="s">
        <v>980</v>
      </c>
      <c r="I28" s="142" t="s">
        <v>94</v>
      </c>
      <c r="K28" s="139" t="s">
        <v>979</v>
      </c>
      <c r="L28" s="135">
        <v>1006</v>
      </c>
      <c r="M28" s="135" t="s">
        <v>980</v>
      </c>
      <c r="N28" s="142" t="s">
        <v>100</v>
      </c>
      <c r="P28" s="139" t="s">
        <v>979</v>
      </c>
      <c r="Q28" s="135">
        <v>1007</v>
      </c>
      <c r="R28" s="135" t="s">
        <v>980</v>
      </c>
      <c r="S28" s="142" t="s">
        <v>107</v>
      </c>
    </row>
    <row r="29" spans="1:19" x14ac:dyDescent="0.25">
      <c r="A29" s="139" t="s">
        <v>981</v>
      </c>
      <c r="B29" s="135" t="s">
        <v>615</v>
      </c>
      <c r="C29" s="135" t="s">
        <v>982</v>
      </c>
      <c r="D29" s="142">
        <v>5</v>
      </c>
      <c r="F29" s="139" t="s">
        <v>981</v>
      </c>
      <c r="G29" s="135" t="s">
        <v>615</v>
      </c>
      <c r="H29" s="135" t="s">
        <v>982</v>
      </c>
      <c r="I29" s="142">
        <v>6</v>
      </c>
      <c r="K29" s="139" t="s">
        <v>981</v>
      </c>
      <c r="L29" s="135" t="s">
        <v>616</v>
      </c>
      <c r="M29" s="135" t="s">
        <v>982</v>
      </c>
      <c r="N29" s="142">
        <v>7</v>
      </c>
      <c r="P29" s="139" t="s">
        <v>981</v>
      </c>
      <c r="Q29" s="135" t="s">
        <v>616</v>
      </c>
      <c r="R29" s="135" t="s">
        <v>982</v>
      </c>
      <c r="S29" s="142">
        <v>8</v>
      </c>
    </row>
    <row r="30" spans="1:19" x14ac:dyDescent="0.25">
      <c r="A30" s="118"/>
      <c r="D30" s="119"/>
      <c r="F30" s="118"/>
      <c r="I30" s="119"/>
      <c r="K30" s="118"/>
      <c r="N30" s="119"/>
      <c r="P30" s="118"/>
      <c r="S30" s="119"/>
    </row>
    <row r="31" spans="1:19" x14ac:dyDescent="0.25">
      <c r="A31" s="499" t="s">
        <v>983</v>
      </c>
      <c r="B31" s="500"/>
      <c r="C31" s="500" t="s">
        <v>984</v>
      </c>
      <c r="D31" s="501"/>
      <c r="F31" s="499" t="s">
        <v>983</v>
      </c>
      <c r="G31" s="500"/>
      <c r="H31" s="500" t="s">
        <v>984</v>
      </c>
      <c r="I31" s="501"/>
      <c r="K31" s="499" t="s">
        <v>983</v>
      </c>
      <c r="L31" s="500"/>
      <c r="M31" s="500" t="s">
        <v>984</v>
      </c>
      <c r="N31" s="501"/>
      <c r="P31" s="499" t="s">
        <v>983</v>
      </c>
      <c r="Q31" s="500"/>
      <c r="R31" s="500" t="s">
        <v>984</v>
      </c>
      <c r="S31" s="501"/>
    </row>
    <row r="32" spans="1:19" x14ac:dyDescent="0.25">
      <c r="A32" s="140" t="s">
        <v>957</v>
      </c>
      <c r="B32" s="123">
        <v>70000</v>
      </c>
      <c r="C32" s="136" t="s">
        <v>985</v>
      </c>
      <c r="D32" s="132">
        <v>9030</v>
      </c>
      <c r="F32" s="140" t="s">
        <v>957</v>
      </c>
      <c r="G32" s="123">
        <v>50000</v>
      </c>
      <c r="H32" s="136" t="s">
        <v>985</v>
      </c>
      <c r="I32" s="132">
        <v>6450</v>
      </c>
      <c r="K32" s="140" t="s">
        <v>957</v>
      </c>
      <c r="L32" s="123">
        <v>18000</v>
      </c>
      <c r="M32" s="136" t="s">
        <v>985</v>
      </c>
      <c r="N32" s="132">
        <v>2322</v>
      </c>
      <c r="P32" s="140" t="s">
        <v>957</v>
      </c>
      <c r="Q32" s="123">
        <v>26000</v>
      </c>
      <c r="R32" s="136" t="s">
        <v>985</v>
      </c>
      <c r="S32" s="132">
        <v>3354</v>
      </c>
    </row>
    <row r="33" spans="1:19" x14ac:dyDescent="0.25">
      <c r="A33" s="141" t="s">
        <v>986</v>
      </c>
      <c r="B33" s="121">
        <v>7000</v>
      </c>
      <c r="C33" s="137" t="s">
        <v>987</v>
      </c>
      <c r="D33" s="133">
        <v>1580.25</v>
      </c>
      <c r="F33" s="141" t="s">
        <v>986</v>
      </c>
      <c r="G33" s="121">
        <v>5000</v>
      </c>
      <c r="H33" s="137" t="s">
        <v>987</v>
      </c>
      <c r="I33" s="133">
        <v>1128.75</v>
      </c>
      <c r="K33" s="141" t="s">
        <v>986</v>
      </c>
      <c r="L33" s="121">
        <v>1800</v>
      </c>
      <c r="M33" s="137" t="s">
        <v>987</v>
      </c>
      <c r="N33" s="133">
        <v>406.35</v>
      </c>
      <c r="P33" s="141" t="s">
        <v>986</v>
      </c>
      <c r="Q33" s="121">
        <v>2600</v>
      </c>
      <c r="R33" s="137" t="s">
        <v>987</v>
      </c>
      <c r="S33" s="133">
        <v>586.95000000000005</v>
      </c>
    </row>
    <row r="34" spans="1:19" x14ac:dyDescent="0.25">
      <c r="A34" s="140" t="s">
        <v>988</v>
      </c>
      <c r="B34" s="123">
        <v>8400</v>
      </c>
      <c r="C34" s="136" t="s">
        <v>989</v>
      </c>
      <c r="D34" s="132">
        <v>5</v>
      </c>
      <c r="F34" s="140" t="s">
        <v>988</v>
      </c>
      <c r="G34" s="123">
        <v>6000</v>
      </c>
      <c r="H34" s="136" t="s">
        <v>989</v>
      </c>
      <c r="I34" s="132">
        <v>3</v>
      </c>
      <c r="K34" s="140" t="s">
        <v>988</v>
      </c>
      <c r="L34" s="123">
        <v>2160</v>
      </c>
      <c r="M34" s="136" t="s">
        <v>989</v>
      </c>
      <c r="N34" s="132">
        <v>4</v>
      </c>
      <c r="P34" s="140" t="s">
        <v>988</v>
      </c>
      <c r="Q34" s="123">
        <v>3120</v>
      </c>
      <c r="R34" s="136" t="s">
        <v>989</v>
      </c>
      <c r="S34" s="132">
        <v>5</v>
      </c>
    </row>
    <row r="35" spans="1:19" x14ac:dyDescent="0.25">
      <c r="A35" s="141" t="s">
        <v>990</v>
      </c>
      <c r="B35" s="121">
        <v>700</v>
      </c>
      <c r="C35" s="137" t="s">
        <v>991</v>
      </c>
      <c r="D35" s="133">
        <v>13461.538461538499</v>
      </c>
      <c r="F35" s="141" t="s">
        <v>990</v>
      </c>
      <c r="G35" s="121">
        <v>500</v>
      </c>
      <c r="H35" s="137" t="s">
        <v>991</v>
      </c>
      <c r="I35" s="133">
        <v>5769.2307692307704</v>
      </c>
      <c r="K35" s="141" t="s">
        <v>990</v>
      </c>
      <c r="L35" s="121">
        <v>180</v>
      </c>
      <c r="M35" s="137" t="s">
        <v>991</v>
      </c>
      <c r="N35" s="133">
        <v>2769.23076923077</v>
      </c>
      <c r="P35" s="141" t="s">
        <v>990</v>
      </c>
      <c r="Q35" s="121">
        <v>260</v>
      </c>
      <c r="R35" s="137" t="s">
        <v>991</v>
      </c>
      <c r="S35" s="133">
        <v>5000</v>
      </c>
    </row>
    <row r="36" spans="1:19" x14ac:dyDescent="0.25">
      <c r="A36" s="140" t="s">
        <v>992</v>
      </c>
      <c r="B36" s="123">
        <v>4200</v>
      </c>
      <c r="C36" s="136"/>
      <c r="D36" s="132"/>
      <c r="F36" s="140" t="s">
        <v>992</v>
      </c>
      <c r="G36" s="123">
        <v>3000</v>
      </c>
      <c r="H36" s="136"/>
      <c r="I36" s="132"/>
      <c r="K36" s="140" t="s">
        <v>992</v>
      </c>
      <c r="L36" s="123">
        <v>1080</v>
      </c>
      <c r="M36" s="136"/>
      <c r="N36" s="132"/>
      <c r="P36" s="140" t="s">
        <v>992</v>
      </c>
      <c r="Q36" s="123">
        <v>1560</v>
      </c>
      <c r="R36" s="136"/>
      <c r="S36" s="132"/>
    </row>
    <row r="37" spans="1:19" x14ac:dyDescent="0.25">
      <c r="A37" s="141" t="s">
        <v>993</v>
      </c>
      <c r="B37" s="121">
        <v>15</v>
      </c>
      <c r="C37" s="137"/>
      <c r="D37" s="133"/>
      <c r="F37" s="141" t="s">
        <v>993</v>
      </c>
      <c r="G37" s="121">
        <v>12</v>
      </c>
      <c r="H37" s="137"/>
      <c r="I37" s="133"/>
      <c r="K37" s="141" t="s">
        <v>993</v>
      </c>
      <c r="L37" s="121">
        <v>13</v>
      </c>
      <c r="M37" s="137"/>
      <c r="N37" s="133"/>
      <c r="P37" s="141" t="s">
        <v>993</v>
      </c>
      <c r="Q37" s="121">
        <v>13</v>
      </c>
      <c r="R37" s="137"/>
      <c r="S37" s="133"/>
    </row>
    <row r="38" spans="1:19" x14ac:dyDescent="0.25">
      <c r="A38" s="140" t="s">
        <v>994</v>
      </c>
      <c r="B38" s="123">
        <v>5468.75</v>
      </c>
      <c r="C38" s="136"/>
      <c r="D38" s="132"/>
      <c r="F38" s="140" t="s">
        <v>994</v>
      </c>
      <c r="G38" s="123">
        <v>3125</v>
      </c>
      <c r="H38" s="136"/>
      <c r="I38" s="132"/>
      <c r="K38" s="140" t="s">
        <v>994</v>
      </c>
      <c r="L38" s="123">
        <v>1218.75</v>
      </c>
      <c r="M38" s="136"/>
      <c r="N38" s="132"/>
      <c r="P38" s="140" t="s">
        <v>994</v>
      </c>
      <c r="Q38" s="123">
        <v>1760.4166666666699</v>
      </c>
      <c r="R38" s="136"/>
      <c r="S38" s="132"/>
    </row>
    <row r="39" spans="1:19" x14ac:dyDescent="0.25">
      <c r="A39" s="139" t="s">
        <v>995</v>
      </c>
      <c r="B39" s="138">
        <v>90300</v>
      </c>
      <c r="C39" s="135" t="s">
        <v>996</v>
      </c>
      <c r="D39" s="143">
        <v>24071.788461538501</v>
      </c>
      <c r="F39" s="139" t="s">
        <v>995</v>
      </c>
      <c r="G39" s="138">
        <v>64500</v>
      </c>
      <c r="H39" s="135" t="s">
        <v>996</v>
      </c>
      <c r="I39" s="143">
        <v>13347.9807692308</v>
      </c>
      <c r="K39" s="139" t="s">
        <v>995</v>
      </c>
      <c r="L39" s="138">
        <v>23220</v>
      </c>
      <c r="M39" s="135" t="s">
        <v>996</v>
      </c>
      <c r="N39" s="143">
        <v>5497.5807692307699</v>
      </c>
      <c r="P39" s="139" t="s">
        <v>995</v>
      </c>
      <c r="Q39" s="138">
        <v>33540</v>
      </c>
      <c r="R39" s="135" t="s">
        <v>996</v>
      </c>
      <c r="S39" s="143">
        <v>8940.9500000000007</v>
      </c>
    </row>
    <row r="40" spans="1:19" x14ac:dyDescent="0.25">
      <c r="A40" s="118"/>
      <c r="D40" s="119"/>
      <c r="F40" s="118"/>
      <c r="I40" s="119"/>
      <c r="K40" s="118"/>
      <c r="N40" s="119"/>
      <c r="P40" s="118"/>
      <c r="S40" s="119"/>
    </row>
    <row r="41" spans="1:19" ht="15.75" x14ac:dyDescent="0.25">
      <c r="A41" s="519" t="s">
        <v>597</v>
      </c>
      <c r="B41" s="520"/>
      <c r="C41" s="504">
        <v>71696.961538461503</v>
      </c>
      <c r="D41" s="506"/>
      <c r="F41" s="519" t="s">
        <v>597</v>
      </c>
      <c r="G41" s="520"/>
      <c r="H41" s="504">
        <v>54277.019230769198</v>
      </c>
      <c r="I41" s="506"/>
      <c r="K41" s="519" t="s">
        <v>597</v>
      </c>
      <c r="L41" s="520"/>
      <c r="M41" s="504">
        <v>18941.169230769199</v>
      </c>
      <c r="N41" s="506"/>
      <c r="P41" s="519" t="s">
        <v>597</v>
      </c>
      <c r="Q41" s="520"/>
      <c r="R41" s="504">
        <v>26359.4666666667</v>
      </c>
      <c r="S41" s="506"/>
    </row>
    <row r="42" spans="1:19" x14ac:dyDescent="0.25">
      <c r="A42" s="507" t="s">
        <v>598</v>
      </c>
      <c r="B42" s="508"/>
      <c r="C42" s="509">
        <v>852950.53846153803</v>
      </c>
      <c r="D42" s="510"/>
      <c r="F42" s="507" t="s">
        <v>598</v>
      </c>
      <c r="G42" s="508"/>
      <c r="H42" s="509">
        <v>646029.23076923098</v>
      </c>
      <c r="I42" s="510"/>
      <c r="K42" s="507" t="s">
        <v>598</v>
      </c>
      <c r="L42" s="508"/>
      <c r="M42" s="509">
        <v>225387.83076923099</v>
      </c>
      <c r="N42" s="510"/>
      <c r="P42" s="507" t="s">
        <v>598</v>
      </c>
      <c r="Q42" s="508"/>
      <c r="R42" s="509">
        <v>313560.2</v>
      </c>
      <c r="S42" s="510"/>
    </row>
    <row r="43" spans="1:19" x14ac:dyDescent="0.25">
      <c r="A43" s="144"/>
      <c r="B43" s="145"/>
      <c r="C43" s="145"/>
      <c r="D43" s="146"/>
      <c r="F43" s="144"/>
      <c r="G43" s="145"/>
      <c r="H43" s="145"/>
      <c r="I43" s="146"/>
      <c r="K43" s="144"/>
      <c r="L43" s="145"/>
      <c r="M43" s="145"/>
      <c r="N43" s="146"/>
      <c r="P43" s="144"/>
      <c r="Q43" s="145"/>
      <c r="R43" s="145"/>
      <c r="S43" s="146"/>
    </row>
    <row r="44" spans="1:19" ht="15.75" thickBot="1" x14ac:dyDescent="0.3">
      <c r="A44" s="511" t="s">
        <v>997</v>
      </c>
      <c r="B44" s="512"/>
      <c r="C44" s="513" t="s">
        <v>998</v>
      </c>
      <c r="D44" s="514"/>
      <c r="F44" s="511" t="s">
        <v>997</v>
      </c>
      <c r="G44" s="512"/>
      <c r="H44" s="513" t="s">
        <v>998</v>
      </c>
      <c r="I44" s="514"/>
      <c r="K44" s="511" t="s">
        <v>997</v>
      </c>
      <c r="L44" s="512"/>
      <c r="M44" s="513" t="s">
        <v>998</v>
      </c>
      <c r="N44" s="514"/>
      <c r="P44" s="511" t="s">
        <v>997</v>
      </c>
      <c r="Q44" s="512"/>
      <c r="R44" s="513" t="s">
        <v>998</v>
      </c>
      <c r="S44" s="514"/>
    </row>
    <row r="46" spans="1:19" ht="15.75" thickBot="1" x14ac:dyDescent="0.3"/>
    <row r="47" spans="1:19" ht="18.75" x14ac:dyDescent="0.25">
      <c r="A47" s="490" t="s">
        <v>976</v>
      </c>
      <c r="B47" s="515"/>
      <c r="C47" s="515"/>
      <c r="D47" s="516"/>
      <c r="F47" s="490" t="s">
        <v>976</v>
      </c>
      <c r="G47" s="515"/>
      <c r="H47" s="515"/>
      <c r="I47" s="516"/>
      <c r="K47" s="490" t="s">
        <v>976</v>
      </c>
      <c r="L47" s="515"/>
      <c r="M47" s="515"/>
      <c r="N47" s="516"/>
      <c r="P47" s="490" t="s">
        <v>976</v>
      </c>
      <c r="Q47" s="515"/>
      <c r="R47" s="515"/>
      <c r="S47" s="516"/>
    </row>
    <row r="48" spans="1:19" ht="23.25" x14ac:dyDescent="0.25">
      <c r="A48" s="493" t="s">
        <v>977</v>
      </c>
      <c r="B48" s="517"/>
      <c r="C48" s="517"/>
      <c r="D48" s="518"/>
      <c r="F48" s="493" t="s">
        <v>977</v>
      </c>
      <c r="G48" s="517"/>
      <c r="H48" s="517"/>
      <c r="I48" s="518"/>
      <c r="K48" s="493" t="s">
        <v>977</v>
      </c>
      <c r="L48" s="517"/>
      <c r="M48" s="517"/>
      <c r="N48" s="518"/>
      <c r="P48" s="493" t="s">
        <v>977</v>
      </c>
      <c r="Q48" s="517"/>
      <c r="R48" s="517"/>
      <c r="S48" s="518"/>
    </row>
    <row r="49" spans="1:19" x14ac:dyDescent="0.25">
      <c r="A49" s="496" t="s">
        <v>978</v>
      </c>
      <c r="B49" s="517"/>
      <c r="C49" s="517"/>
      <c r="D49" s="518"/>
      <c r="F49" s="496" t="s">
        <v>978</v>
      </c>
      <c r="G49" s="517"/>
      <c r="H49" s="517"/>
      <c r="I49" s="518"/>
      <c r="K49" s="496" t="s">
        <v>978</v>
      </c>
      <c r="L49" s="517"/>
      <c r="M49" s="517"/>
      <c r="N49" s="518"/>
      <c r="P49" s="496" t="s">
        <v>978</v>
      </c>
      <c r="Q49" s="517"/>
      <c r="R49" s="517"/>
      <c r="S49" s="518"/>
    </row>
    <row r="50" spans="1:19" x14ac:dyDescent="0.25">
      <c r="A50" s="118"/>
      <c r="D50" s="119"/>
      <c r="F50" s="118"/>
      <c r="I50" s="119"/>
      <c r="K50" s="118"/>
      <c r="N50" s="119"/>
      <c r="P50" s="118"/>
      <c r="S50" s="119"/>
    </row>
    <row r="51" spans="1:19" x14ac:dyDescent="0.25">
      <c r="A51" s="139" t="s">
        <v>979</v>
      </c>
      <c r="B51" s="135">
        <v>1008</v>
      </c>
      <c r="C51" s="135" t="s">
        <v>980</v>
      </c>
      <c r="D51" s="142" t="s">
        <v>100</v>
      </c>
      <c r="F51" s="139" t="s">
        <v>979</v>
      </c>
      <c r="G51" s="135">
        <v>1009</v>
      </c>
      <c r="H51" s="135" t="s">
        <v>980</v>
      </c>
      <c r="I51" s="142" t="s">
        <v>120</v>
      </c>
      <c r="K51" s="139" t="s">
        <v>979</v>
      </c>
      <c r="L51" s="135">
        <v>1010</v>
      </c>
      <c r="M51" s="135" t="s">
        <v>980</v>
      </c>
      <c r="N51" s="142" t="s">
        <v>75</v>
      </c>
      <c r="P51" s="139" t="s">
        <v>979</v>
      </c>
      <c r="Q51" s="135">
        <v>1011</v>
      </c>
      <c r="R51" s="135" t="s">
        <v>980</v>
      </c>
      <c r="S51" s="142" t="s">
        <v>131</v>
      </c>
    </row>
    <row r="52" spans="1:19" x14ac:dyDescent="0.25">
      <c r="A52" s="139" t="s">
        <v>981</v>
      </c>
      <c r="B52" s="135" t="s">
        <v>616</v>
      </c>
      <c r="C52" s="135" t="s">
        <v>982</v>
      </c>
      <c r="D52" s="142">
        <v>9</v>
      </c>
      <c r="F52" s="139" t="s">
        <v>981</v>
      </c>
      <c r="G52" s="135" t="s">
        <v>616</v>
      </c>
      <c r="H52" s="135" t="s">
        <v>982</v>
      </c>
      <c r="I52" s="142">
        <v>10</v>
      </c>
      <c r="K52" s="139" t="s">
        <v>981</v>
      </c>
      <c r="L52" s="135" t="s">
        <v>616</v>
      </c>
      <c r="M52" s="135" t="s">
        <v>982</v>
      </c>
      <c r="N52" s="142">
        <v>11</v>
      </c>
      <c r="P52" s="139" t="s">
        <v>981</v>
      </c>
      <c r="Q52" s="135" t="s">
        <v>616</v>
      </c>
      <c r="R52" s="135" t="s">
        <v>982</v>
      </c>
      <c r="S52" s="142">
        <v>12</v>
      </c>
    </row>
    <row r="53" spans="1:19" x14ac:dyDescent="0.25">
      <c r="A53" s="118"/>
      <c r="D53" s="119"/>
      <c r="F53" s="118"/>
      <c r="I53" s="119"/>
      <c r="K53" s="118"/>
      <c r="N53" s="119"/>
      <c r="P53" s="118"/>
      <c r="S53" s="119"/>
    </row>
    <row r="54" spans="1:19" x14ac:dyDescent="0.25">
      <c r="A54" s="499" t="s">
        <v>983</v>
      </c>
      <c r="B54" s="500"/>
      <c r="C54" s="500" t="s">
        <v>984</v>
      </c>
      <c r="D54" s="501"/>
      <c r="F54" s="499" t="s">
        <v>983</v>
      </c>
      <c r="G54" s="500"/>
      <c r="H54" s="500" t="s">
        <v>984</v>
      </c>
      <c r="I54" s="501"/>
      <c r="K54" s="499" t="s">
        <v>983</v>
      </c>
      <c r="L54" s="500"/>
      <c r="M54" s="500" t="s">
        <v>984</v>
      </c>
      <c r="N54" s="501"/>
      <c r="P54" s="499" t="s">
        <v>983</v>
      </c>
      <c r="Q54" s="500"/>
      <c r="R54" s="500" t="s">
        <v>984</v>
      </c>
      <c r="S54" s="501"/>
    </row>
    <row r="55" spans="1:19" x14ac:dyDescent="0.25">
      <c r="A55" s="140" t="s">
        <v>957</v>
      </c>
      <c r="B55" s="123">
        <v>11000</v>
      </c>
      <c r="C55" s="136" t="s">
        <v>985</v>
      </c>
      <c r="D55" s="132">
        <v>1419</v>
      </c>
      <c r="F55" s="140" t="s">
        <v>957</v>
      </c>
      <c r="G55" s="123">
        <v>22000</v>
      </c>
      <c r="H55" s="136" t="s">
        <v>985</v>
      </c>
      <c r="I55" s="132">
        <v>2838</v>
      </c>
      <c r="K55" s="140" t="s">
        <v>957</v>
      </c>
      <c r="L55" s="123">
        <v>22000</v>
      </c>
      <c r="M55" s="136" t="s">
        <v>985</v>
      </c>
      <c r="N55" s="132">
        <v>2816</v>
      </c>
      <c r="P55" s="140" t="s">
        <v>957</v>
      </c>
      <c r="Q55" s="123">
        <v>29000</v>
      </c>
      <c r="R55" s="136" t="s">
        <v>985</v>
      </c>
      <c r="S55" s="132">
        <v>3712</v>
      </c>
    </row>
    <row r="56" spans="1:19" x14ac:dyDescent="0.25">
      <c r="A56" s="141" t="s">
        <v>986</v>
      </c>
      <c r="B56" s="121">
        <v>1100</v>
      </c>
      <c r="C56" s="137" t="s">
        <v>987</v>
      </c>
      <c r="D56" s="133">
        <v>248.32499999999999</v>
      </c>
      <c r="F56" s="141" t="s">
        <v>986</v>
      </c>
      <c r="G56" s="121">
        <v>2200</v>
      </c>
      <c r="H56" s="137" t="s">
        <v>987</v>
      </c>
      <c r="I56" s="133">
        <v>496.65</v>
      </c>
      <c r="K56" s="141" t="s">
        <v>986</v>
      </c>
      <c r="L56" s="121">
        <v>2200</v>
      </c>
      <c r="M56" s="137" t="s">
        <v>987</v>
      </c>
      <c r="N56" s="133">
        <v>492.8</v>
      </c>
      <c r="P56" s="141" t="s">
        <v>986</v>
      </c>
      <c r="Q56" s="121">
        <v>2900</v>
      </c>
      <c r="R56" s="137" t="s">
        <v>987</v>
      </c>
      <c r="S56" s="133">
        <v>649.6</v>
      </c>
    </row>
    <row r="57" spans="1:19" x14ac:dyDescent="0.25">
      <c r="A57" s="140" t="s">
        <v>988</v>
      </c>
      <c r="B57" s="123">
        <v>1320</v>
      </c>
      <c r="C57" s="136" t="s">
        <v>989</v>
      </c>
      <c r="D57" s="132">
        <v>2</v>
      </c>
      <c r="F57" s="140" t="s">
        <v>988</v>
      </c>
      <c r="G57" s="123">
        <v>2640</v>
      </c>
      <c r="H57" s="136" t="s">
        <v>989</v>
      </c>
      <c r="I57" s="132">
        <v>3</v>
      </c>
      <c r="K57" s="140" t="s">
        <v>988</v>
      </c>
      <c r="L57" s="123">
        <v>2640</v>
      </c>
      <c r="M57" s="136" t="s">
        <v>989</v>
      </c>
      <c r="N57" s="132">
        <v>4</v>
      </c>
      <c r="P57" s="140" t="s">
        <v>988</v>
      </c>
      <c r="Q57" s="123">
        <v>3480</v>
      </c>
      <c r="R57" s="136" t="s">
        <v>989</v>
      </c>
      <c r="S57" s="132">
        <v>4</v>
      </c>
    </row>
    <row r="58" spans="1:19" x14ac:dyDescent="0.25">
      <c r="A58" s="141" t="s">
        <v>990</v>
      </c>
      <c r="B58" s="121">
        <v>110</v>
      </c>
      <c r="C58" s="137" t="s">
        <v>991</v>
      </c>
      <c r="D58" s="133">
        <v>846.15384615384596</v>
      </c>
      <c r="F58" s="141" t="s">
        <v>990</v>
      </c>
      <c r="G58" s="121">
        <v>220</v>
      </c>
      <c r="H58" s="137" t="s">
        <v>991</v>
      </c>
      <c r="I58" s="133">
        <v>2538.4615384615399</v>
      </c>
      <c r="K58" s="141" t="s">
        <v>990</v>
      </c>
      <c r="L58" s="121">
        <v>220</v>
      </c>
      <c r="M58" s="137" t="s">
        <v>991</v>
      </c>
      <c r="N58" s="133">
        <v>3384.6153846153802</v>
      </c>
      <c r="P58" s="141" t="s">
        <v>990</v>
      </c>
      <c r="Q58" s="121">
        <v>290</v>
      </c>
      <c r="R58" s="137" t="s">
        <v>991</v>
      </c>
      <c r="S58" s="133">
        <v>4461.5384615384601</v>
      </c>
    </row>
    <row r="59" spans="1:19" x14ac:dyDescent="0.25">
      <c r="A59" s="140" t="s">
        <v>992</v>
      </c>
      <c r="B59" s="123">
        <v>660</v>
      </c>
      <c r="C59" s="136"/>
      <c r="D59" s="132"/>
      <c r="F59" s="140" t="s">
        <v>992</v>
      </c>
      <c r="G59" s="123">
        <v>1320</v>
      </c>
      <c r="H59" s="136"/>
      <c r="I59" s="132"/>
      <c r="K59" s="140" t="s">
        <v>992</v>
      </c>
      <c r="L59" s="123">
        <v>1320</v>
      </c>
      <c r="M59" s="136"/>
      <c r="N59" s="132"/>
      <c r="P59" s="140" t="s">
        <v>992</v>
      </c>
      <c r="Q59" s="123">
        <v>1740</v>
      </c>
      <c r="R59" s="136"/>
      <c r="S59" s="132"/>
    </row>
    <row r="60" spans="1:19" x14ac:dyDescent="0.25">
      <c r="A60" s="141" t="s">
        <v>993</v>
      </c>
      <c r="B60" s="121">
        <v>15</v>
      </c>
      <c r="C60" s="137"/>
      <c r="D60" s="133"/>
      <c r="F60" s="141" t="s">
        <v>993</v>
      </c>
      <c r="G60" s="121">
        <v>15</v>
      </c>
      <c r="H60" s="137"/>
      <c r="I60" s="133"/>
      <c r="K60" s="141" t="s">
        <v>993</v>
      </c>
      <c r="L60" s="121">
        <v>15</v>
      </c>
      <c r="M60" s="137"/>
      <c r="N60" s="133"/>
      <c r="P60" s="141" t="s">
        <v>993</v>
      </c>
      <c r="Q60" s="121">
        <v>12</v>
      </c>
      <c r="R60" s="137"/>
      <c r="S60" s="133"/>
    </row>
    <row r="61" spans="1:19" x14ac:dyDescent="0.25">
      <c r="A61" s="140" t="s">
        <v>994</v>
      </c>
      <c r="B61" s="123">
        <v>859.375</v>
      </c>
      <c r="C61" s="136"/>
      <c r="D61" s="132"/>
      <c r="F61" s="140" t="s">
        <v>994</v>
      </c>
      <c r="G61" s="123">
        <v>1718.75</v>
      </c>
      <c r="H61" s="136"/>
      <c r="I61" s="132"/>
      <c r="K61" s="140" t="s">
        <v>994</v>
      </c>
      <c r="L61" s="123">
        <v>1718.75</v>
      </c>
      <c r="M61" s="136"/>
      <c r="N61" s="132"/>
      <c r="P61" s="140" t="s">
        <v>994</v>
      </c>
      <c r="Q61" s="123">
        <v>1812.5</v>
      </c>
      <c r="R61" s="136"/>
      <c r="S61" s="132"/>
    </row>
    <row r="62" spans="1:19" x14ac:dyDescent="0.25">
      <c r="A62" s="139" t="s">
        <v>995</v>
      </c>
      <c r="B62" s="138">
        <v>14190</v>
      </c>
      <c r="C62" s="135" t="s">
        <v>996</v>
      </c>
      <c r="D62" s="143">
        <v>2513.4788461538501</v>
      </c>
      <c r="F62" s="139" t="s">
        <v>995</v>
      </c>
      <c r="G62" s="138">
        <v>28380</v>
      </c>
      <c r="H62" s="135" t="s">
        <v>996</v>
      </c>
      <c r="I62" s="143">
        <v>5873.1115384615396</v>
      </c>
      <c r="K62" s="139" t="s">
        <v>995</v>
      </c>
      <c r="L62" s="138">
        <v>28160</v>
      </c>
      <c r="M62" s="135" t="s">
        <v>996</v>
      </c>
      <c r="N62" s="143">
        <v>6693.4153846153804</v>
      </c>
      <c r="P62" s="139" t="s">
        <v>995</v>
      </c>
      <c r="Q62" s="138">
        <v>37120</v>
      </c>
      <c r="R62" s="135" t="s">
        <v>996</v>
      </c>
      <c r="S62" s="143">
        <v>8823.1384615384595</v>
      </c>
    </row>
    <row r="63" spans="1:19" x14ac:dyDescent="0.25">
      <c r="A63" s="118"/>
      <c r="D63" s="119"/>
      <c r="F63" s="118"/>
      <c r="I63" s="119"/>
      <c r="K63" s="118"/>
      <c r="N63" s="119"/>
      <c r="P63" s="118"/>
      <c r="S63" s="119"/>
    </row>
    <row r="64" spans="1:19" ht="15.75" x14ac:dyDescent="0.25">
      <c r="A64" s="519" t="s">
        <v>597</v>
      </c>
      <c r="B64" s="520"/>
      <c r="C64" s="504">
        <v>12535.896153846201</v>
      </c>
      <c r="D64" s="506"/>
      <c r="F64" s="519" t="s">
        <v>597</v>
      </c>
      <c r="G64" s="520"/>
      <c r="H64" s="504">
        <v>24225.6384615385</v>
      </c>
      <c r="I64" s="506"/>
      <c r="K64" s="519" t="s">
        <v>597</v>
      </c>
      <c r="L64" s="520"/>
      <c r="M64" s="504">
        <v>23185.3346153846</v>
      </c>
      <c r="N64" s="506"/>
      <c r="P64" s="519" t="s">
        <v>597</v>
      </c>
      <c r="Q64" s="520"/>
      <c r="R64" s="504">
        <v>30109.3615384615</v>
      </c>
      <c r="S64" s="506"/>
    </row>
    <row r="65" spans="1:19" x14ac:dyDescent="0.25">
      <c r="A65" s="507" t="s">
        <v>598</v>
      </c>
      <c r="B65" s="508"/>
      <c r="C65" s="509">
        <v>149265.853846154</v>
      </c>
      <c r="D65" s="510"/>
      <c r="F65" s="507" t="s">
        <v>598</v>
      </c>
      <c r="G65" s="508"/>
      <c r="H65" s="509">
        <v>288377.86153846199</v>
      </c>
      <c r="I65" s="510"/>
      <c r="K65" s="507" t="s">
        <v>598</v>
      </c>
      <c r="L65" s="508"/>
      <c r="M65" s="509">
        <v>278224.01538461499</v>
      </c>
      <c r="N65" s="510"/>
      <c r="P65" s="507" t="s">
        <v>598</v>
      </c>
      <c r="Q65" s="508"/>
      <c r="R65" s="509">
        <v>361312.33846153802</v>
      </c>
      <c r="S65" s="510"/>
    </row>
    <row r="66" spans="1:19" x14ac:dyDescent="0.25">
      <c r="A66" s="144"/>
      <c r="B66" s="145"/>
      <c r="C66" s="145"/>
      <c r="D66" s="146"/>
      <c r="F66" s="144"/>
      <c r="G66" s="145"/>
      <c r="H66" s="145"/>
      <c r="I66" s="146"/>
      <c r="K66" s="144"/>
      <c r="L66" s="145"/>
      <c r="M66" s="145"/>
      <c r="N66" s="146"/>
      <c r="P66" s="144"/>
      <c r="Q66" s="145"/>
      <c r="R66" s="145"/>
      <c r="S66" s="146"/>
    </row>
    <row r="67" spans="1:19" ht="15.75" thickBot="1" x14ac:dyDescent="0.3">
      <c r="A67" s="511" t="s">
        <v>997</v>
      </c>
      <c r="B67" s="512"/>
      <c r="C67" s="513" t="s">
        <v>998</v>
      </c>
      <c r="D67" s="514"/>
      <c r="F67" s="511" t="s">
        <v>997</v>
      </c>
      <c r="G67" s="512"/>
      <c r="H67" s="513" t="s">
        <v>998</v>
      </c>
      <c r="I67" s="514"/>
      <c r="K67" s="511" t="s">
        <v>997</v>
      </c>
      <c r="L67" s="512"/>
      <c r="M67" s="513" t="s">
        <v>998</v>
      </c>
      <c r="N67" s="514"/>
      <c r="P67" s="511" t="s">
        <v>997</v>
      </c>
      <c r="Q67" s="512"/>
      <c r="R67" s="513" t="s">
        <v>998</v>
      </c>
      <c r="S67" s="514"/>
    </row>
    <row r="69" spans="1:19" ht="15.75" thickBot="1" x14ac:dyDescent="0.3"/>
    <row r="70" spans="1:19" ht="18.75" x14ac:dyDescent="0.25">
      <c r="A70" s="490" t="s">
        <v>976</v>
      </c>
      <c r="B70" s="515"/>
      <c r="C70" s="515"/>
      <c r="D70" s="516"/>
      <c r="F70" s="490" t="s">
        <v>976</v>
      </c>
      <c r="G70" s="515"/>
      <c r="H70" s="515"/>
      <c r="I70" s="516"/>
      <c r="K70" s="490" t="s">
        <v>976</v>
      </c>
      <c r="L70" s="515"/>
      <c r="M70" s="515"/>
      <c r="N70" s="516"/>
      <c r="P70" s="490" t="s">
        <v>976</v>
      </c>
      <c r="Q70" s="515"/>
      <c r="R70" s="515"/>
      <c r="S70" s="516"/>
    </row>
    <row r="71" spans="1:19" ht="23.25" x14ac:dyDescent="0.25">
      <c r="A71" s="493" t="s">
        <v>977</v>
      </c>
      <c r="B71" s="517"/>
      <c r="C71" s="517"/>
      <c r="D71" s="518"/>
      <c r="F71" s="493" t="s">
        <v>977</v>
      </c>
      <c r="G71" s="517"/>
      <c r="H71" s="517"/>
      <c r="I71" s="518"/>
      <c r="K71" s="493" t="s">
        <v>977</v>
      </c>
      <c r="L71" s="517"/>
      <c r="M71" s="517"/>
      <c r="N71" s="518"/>
      <c r="P71" s="493" t="s">
        <v>977</v>
      </c>
      <c r="Q71" s="517"/>
      <c r="R71" s="517"/>
      <c r="S71" s="518"/>
    </row>
    <row r="72" spans="1:19" x14ac:dyDescent="0.25">
      <c r="A72" s="496" t="s">
        <v>978</v>
      </c>
      <c r="B72" s="517"/>
      <c r="C72" s="517"/>
      <c r="D72" s="518"/>
      <c r="F72" s="496" t="s">
        <v>978</v>
      </c>
      <c r="G72" s="517"/>
      <c r="H72" s="517"/>
      <c r="I72" s="518"/>
      <c r="K72" s="496" t="s">
        <v>978</v>
      </c>
      <c r="L72" s="517"/>
      <c r="M72" s="517"/>
      <c r="N72" s="518"/>
      <c r="P72" s="496" t="s">
        <v>978</v>
      </c>
      <c r="Q72" s="517"/>
      <c r="R72" s="517"/>
      <c r="S72" s="518"/>
    </row>
    <row r="73" spans="1:19" x14ac:dyDescent="0.25">
      <c r="A73" s="118"/>
      <c r="D73" s="119"/>
      <c r="F73" s="118"/>
      <c r="I73" s="119"/>
      <c r="K73" s="118"/>
      <c r="N73" s="119"/>
      <c r="P73" s="118"/>
      <c r="S73" s="119"/>
    </row>
    <row r="74" spans="1:19" x14ac:dyDescent="0.25">
      <c r="A74" s="139" t="s">
        <v>979</v>
      </c>
      <c r="B74" s="135">
        <v>1012</v>
      </c>
      <c r="C74" s="135" t="s">
        <v>980</v>
      </c>
      <c r="D74" s="142" t="s">
        <v>138</v>
      </c>
      <c r="F74" s="139" t="s">
        <v>979</v>
      </c>
      <c r="G74" s="135">
        <v>1013</v>
      </c>
      <c r="H74" s="135" t="s">
        <v>980</v>
      </c>
      <c r="I74" s="142" t="s">
        <v>144</v>
      </c>
      <c r="K74" s="139" t="s">
        <v>979</v>
      </c>
      <c r="L74" s="135">
        <v>1014</v>
      </c>
      <c r="M74" s="135" t="s">
        <v>980</v>
      </c>
      <c r="N74" s="142" t="s">
        <v>79</v>
      </c>
      <c r="P74" s="139" t="s">
        <v>979</v>
      </c>
      <c r="Q74" s="135">
        <v>1015</v>
      </c>
      <c r="R74" s="135" t="s">
        <v>980</v>
      </c>
      <c r="S74" s="142" t="s">
        <v>155</v>
      </c>
    </row>
    <row r="75" spans="1:19" x14ac:dyDescent="0.25">
      <c r="A75" s="139" t="s">
        <v>981</v>
      </c>
      <c r="B75" s="135" t="s">
        <v>616</v>
      </c>
      <c r="C75" s="135" t="s">
        <v>982</v>
      </c>
      <c r="D75" s="142">
        <v>13</v>
      </c>
      <c r="F75" s="139" t="s">
        <v>981</v>
      </c>
      <c r="G75" s="135" t="s">
        <v>616</v>
      </c>
      <c r="H75" s="135" t="s">
        <v>982</v>
      </c>
      <c r="I75" s="142">
        <v>14</v>
      </c>
      <c r="K75" s="139" t="s">
        <v>981</v>
      </c>
      <c r="L75" s="135" t="s">
        <v>616</v>
      </c>
      <c r="M75" s="135" t="s">
        <v>982</v>
      </c>
      <c r="N75" s="142">
        <v>15</v>
      </c>
      <c r="P75" s="139" t="s">
        <v>981</v>
      </c>
      <c r="Q75" s="135" t="s">
        <v>616</v>
      </c>
      <c r="R75" s="135" t="s">
        <v>982</v>
      </c>
      <c r="S75" s="142">
        <v>16</v>
      </c>
    </row>
    <row r="76" spans="1:19" x14ac:dyDescent="0.25">
      <c r="A76" s="118"/>
      <c r="D76" s="119"/>
      <c r="F76" s="118"/>
      <c r="I76" s="119"/>
      <c r="K76" s="118"/>
      <c r="N76" s="119"/>
      <c r="P76" s="118"/>
      <c r="S76" s="119"/>
    </row>
    <row r="77" spans="1:19" x14ac:dyDescent="0.25">
      <c r="A77" s="499" t="s">
        <v>983</v>
      </c>
      <c r="B77" s="500"/>
      <c r="C77" s="500" t="s">
        <v>984</v>
      </c>
      <c r="D77" s="501"/>
      <c r="F77" s="499" t="s">
        <v>983</v>
      </c>
      <c r="G77" s="500"/>
      <c r="H77" s="500" t="s">
        <v>984</v>
      </c>
      <c r="I77" s="501"/>
      <c r="K77" s="499" t="s">
        <v>983</v>
      </c>
      <c r="L77" s="500"/>
      <c r="M77" s="500" t="s">
        <v>984</v>
      </c>
      <c r="N77" s="501"/>
      <c r="P77" s="499" t="s">
        <v>983</v>
      </c>
      <c r="Q77" s="500"/>
      <c r="R77" s="500" t="s">
        <v>984</v>
      </c>
      <c r="S77" s="501"/>
    </row>
    <row r="78" spans="1:19" x14ac:dyDescent="0.25">
      <c r="A78" s="140" t="s">
        <v>957</v>
      </c>
      <c r="B78" s="123">
        <v>22000</v>
      </c>
      <c r="C78" s="136" t="s">
        <v>985</v>
      </c>
      <c r="D78" s="132">
        <v>2816</v>
      </c>
      <c r="F78" s="140" t="s">
        <v>957</v>
      </c>
      <c r="G78" s="123">
        <v>22000</v>
      </c>
      <c r="H78" s="136" t="s">
        <v>985</v>
      </c>
      <c r="I78" s="132">
        <v>2816</v>
      </c>
      <c r="K78" s="140" t="s">
        <v>957</v>
      </c>
      <c r="L78" s="123">
        <v>25000</v>
      </c>
      <c r="M78" s="136" t="s">
        <v>985</v>
      </c>
      <c r="N78" s="132">
        <v>3200</v>
      </c>
      <c r="P78" s="140" t="s">
        <v>957</v>
      </c>
      <c r="Q78" s="123">
        <v>24000</v>
      </c>
      <c r="R78" s="136" t="s">
        <v>985</v>
      </c>
      <c r="S78" s="132">
        <v>3072</v>
      </c>
    </row>
    <row r="79" spans="1:19" x14ac:dyDescent="0.25">
      <c r="A79" s="141" t="s">
        <v>986</v>
      </c>
      <c r="B79" s="121">
        <v>2200</v>
      </c>
      <c r="C79" s="137" t="s">
        <v>987</v>
      </c>
      <c r="D79" s="133">
        <v>492.8</v>
      </c>
      <c r="F79" s="141" t="s">
        <v>986</v>
      </c>
      <c r="G79" s="121">
        <v>2200</v>
      </c>
      <c r="H79" s="137" t="s">
        <v>987</v>
      </c>
      <c r="I79" s="133">
        <v>492.8</v>
      </c>
      <c r="K79" s="141" t="s">
        <v>986</v>
      </c>
      <c r="L79" s="121">
        <v>2500</v>
      </c>
      <c r="M79" s="137" t="s">
        <v>987</v>
      </c>
      <c r="N79" s="133">
        <v>560</v>
      </c>
      <c r="P79" s="141" t="s">
        <v>986</v>
      </c>
      <c r="Q79" s="121">
        <v>2400</v>
      </c>
      <c r="R79" s="137" t="s">
        <v>987</v>
      </c>
      <c r="S79" s="133">
        <v>537.6</v>
      </c>
    </row>
    <row r="80" spans="1:19" x14ac:dyDescent="0.25">
      <c r="A80" s="140" t="s">
        <v>988</v>
      </c>
      <c r="B80" s="123">
        <v>2640</v>
      </c>
      <c r="C80" s="136" t="s">
        <v>989</v>
      </c>
      <c r="D80" s="132">
        <v>3</v>
      </c>
      <c r="F80" s="140" t="s">
        <v>988</v>
      </c>
      <c r="G80" s="123">
        <v>2640</v>
      </c>
      <c r="H80" s="136" t="s">
        <v>989</v>
      </c>
      <c r="I80" s="132">
        <v>3</v>
      </c>
      <c r="K80" s="140" t="s">
        <v>988</v>
      </c>
      <c r="L80" s="123">
        <v>3000</v>
      </c>
      <c r="M80" s="136" t="s">
        <v>989</v>
      </c>
      <c r="N80" s="132">
        <v>3</v>
      </c>
      <c r="P80" s="140" t="s">
        <v>988</v>
      </c>
      <c r="Q80" s="123">
        <v>2880</v>
      </c>
      <c r="R80" s="136" t="s">
        <v>989</v>
      </c>
      <c r="S80" s="132">
        <v>3</v>
      </c>
    </row>
    <row r="81" spans="1:19" x14ac:dyDescent="0.25">
      <c r="A81" s="141" t="s">
        <v>990</v>
      </c>
      <c r="B81" s="121">
        <v>220</v>
      </c>
      <c r="C81" s="137" t="s">
        <v>991</v>
      </c>
      <c r="D81" s="133">
        <v>2538.4615384615399</v>
      </c>
      <c r="F81" s="141" t="s">
        <v>990</v>
      </c>
      <c r="G81" s="121">
        <v>220</v>
      </c>
      <c r="H81" s="137" t="s">
        <v>991</v>
      </c>
      <c r="I81" s="133">
        <v>2538.4615384615399</v>
      </c>
      <c r="K81" s="141" t="s">
        <v>990</v>
      </c>
      <c r="L81" s="121">
        <v>250</v>
      </c>
      <c r="M81" s="137" t="s">
        <v>991</v>
      </c>
      <c r="N81" s="133">
        <v>2884.6153846153802</v>
      </c>
      <c r="P81" s="141" t="s">
        <v>990</v>
      </c>
      <c r="Q81" s="121">
        <v>240</v>
      </c>
      <c r="R81" s="137" t="s">
        <v>991</v>
      </c>
      <c r="S81" s="133">
        <v>2769.23076923077</v>
      </c>
    </row>
    <row r="82" spans="1:19" x14ac:dyDescent="0.25">
      <c r="A82" s="140" t="s">
        <v>992</v>
      </c>
      <c r="B82" s="123">
        <v>1320</v>
      </c>
      <c r="C82" s="136"/>
      <c r="D82" s="132"/>
      <c r="F82" s="140" t="s">
        <v>992</v>
      </c>
      <c r="G82" s="123">
        <v>1320</v>
      </c>
      <c r="H82" s="136"/>
      <c r="I82" s="132"/>
      <c r="K82" s="140" t="s">
        <v>992</v>
      </c>
      <c r="L82" s="123">
        <v>1500</v>
      </c>
      <c r="M82" s="136"/>
      <c r="N82" s="132"/>
      <c r="P82" s="140" t="s">
        <v>992</v>
      </c>
      <c r="Q82" s="123">
        <v>1440</v>
      </c>
      <c r="R82" s="136"/>
      <c r="S82" s="132"/>
    </row>
    <row r="83" spans="1:19" x14ac:dyDescent="0.25">
      <c r="A83" s="141" t="s">
        <v>993</v>
      </c>
      <c r="B83" s="121">
        <v>13</v>
      </c>
      <c r="C83" s="137"/>
      <c r="D83" s="133"/>
      <c r="F83" s="141" t="s">
        <v>993</v>
      </c>
      <c r="G83" s="121">
        <v>12</v>
      </c>
      <c r="H83" s="137"/>
      <c r="I83" s="133"/>
      <c r="K83" s="141" t="s">
        <v>993</v>
      </c>
      <c r="L83" s="121">
        <v>14</v>
      </c>
      <c r="M83" s="137"/>
      <c r="N83" s="133"/>
      <c r="P83" s="141" t="s">
        <v>993</v>
      </c>
      <c r="Q83" s="121">
        <v>15</v>
      </c>
      <c r="R83" s="137"/>
      <c r="S83" s="133"/>
    </row>
    <row r="84" spans="1:19" x14ac:dyDescent="0.25">
      <c r="A84" s="140" t="s">
        <v>994</v>
      </c>
      <c r="B84" s="123">
        <v>1489.5833333333301</v>
      </c>
      <c r="C84" s="136"/>
      <c r="D84" s="132"/>
      <c r="F84" s="140" t="s">
        <v>994</v>
      </c>
      <c r="G84" s="123">
        <v>1375</v>
      </c>
      <c r="H84" s="136"/>
      <c r="I84" s="132"/>
      <c r="K84" s="140" t="s">
        <v>994</v>
      </c>
      <c r="L84" s="123">
        <v>1822.9166666666699</v>
      </c>
      <c r="M84" s="136"/>
      <c r="N84" s="132"/>
      <c r="P84" s="140" t="s">
        <v>994</v>
      </c>
      <c r="Q84" s="123">
        <v>1875</v>
      </c>
      <c r="R84" s="136"/>
      <c r="S84" s="132"/>
    </row>
    <row r="85" spans="1:19" x14ac:dyDescent="0.25">
      <c r="A85" s="139" t="s">
        <v>995</v>
      </c>
      <c r="B85" s="138">
        <v>28160</v>
      </c>
      <c r="C85" s="135" t="s">
        <v>996</v>
      </c>
      <c r="D85" s="143">
        <v>5847.2615384615401</v>
      </c>
      <c r="F85" s="139" t="s">
        <v>995</v>
      </c>
      <c r="G85" s="138">
        <v>28160</v>
      </c>
      <c r="H85" s="135" t="s">
        <v>996</v>
      </c>
      <c r="I85" s="143">
        <v>5847.2615384615401</v>
      </c>
      <c r="K85" s="139" t="s">
        <v>995</v>
      </c>
      <c r="L85" s="138">
        <v>32000</v>
      </c>
      <c r="M85" s="135" t="s">
        <v>996</v>
      </c>
      <c r="N85" s="143">
        <v>6644.6153846153802</v>
      </c>
      <c r="P85" s="139" t="s">
        <v>995</v>
      </c>
      <c r="Q85" s="138">
        <v>30720</v>
      </c>
      <c r="R85" s="135" t="s">
        <v>996</v>
      </c>
      <c r="S85" s="143">
        <v>6378.8307692307699</v>
      </c>
    </row>
    <row r="86" spans="1:19" x14ac:dyDescent="0.25">
      <c r="A86" s="118"/>
      <c r="D86" s="119"/>
      <c r="F86" s="118"/>
      <c r="I86" s="119"/>
      <c r="K86" s="118"/>
      <c r="N86" s="119"/>
      <c r="P86" s="118"/>
      <c r="S86" s="119"/>
    </row>
    <row r="87" spans="1:19" ht="15.75" x14ac:dyDescent="0.25">
      <c r="A87" s="519" t="s">
        <v>597</v>
      </c>
      <c r="B87" s="520"/>
      <c r="C87" s="504">
        <v>23802.321794871801</v>
      </c>
      <c r="D87" s="506"/>
      <c r="F87" s="519" t="s">
        <v>597</v>
      </c>
      <c r="G87" s="520"/>
      <c r="H87" s="504">
        <v>23687.738461538502</v>
      </c>
      <c r="I87" s="506"/>
      <c r="K87" s="519" t="s">
        <v>597</v>
      </c>
      <c r="L87" s="520"/>
      <c r="M87" s="504">
        <v>27178.301282051299</v>
      </c>
      <c r="N87" s="506"/>
      <c r="P87" s="519" t="s">
        <v>597</v>
      </c>
      <c r="Q87" s="520"/>
      <c r="R87" s="504">
        <v>26216.169230769199</v>
      </c>
      <c r="S87" s="506"/>
    </row>
    <row r="88" spans="1:19" x14ac:dyDescent="0.25">
      <c r="A88" s="507" t="s">
        <v>598</v>
      </c>
      <c r="B88" s="508"/>
      <c r="C88" s="509">
        <v>285627.86153846199</v>
      </c>
      <c r="D88" s="510"/>
      <c r="F88" s="507" t="s">
        <v>598</v>
      </c>
      <c r="G88" s="508"/>
      <c r="H88" s="509">
        <v>284252.86153846199</v>
      </c>
      <c r="I88" s="510"/>
      <c r="K88" s="507" t="s">
        <v>598</v>
      </c>
      <c r="L88" s="508"/>
      <c r="M88" s="509">
        <v>326139.61538461503</v>
      </c>
      <c r="N88" s="510"/>
      <c r="P88" s="507" t="s">
        <v>598</v>
      </c>
      <c r="Q88" s="508"/>
      <c r="R88" s="509">
        <v>314594.03076923097</v>
      </c>
      <c r="S88" s="510"/>
    </row>
    <row r="89" spans="1:19" x14ac:dyDescent="0.25">
      <c r="A89" s="144"/>
      <c r="B89" s="145"/>
      <c r="C89" s="145"/>
      <c r="D89" s="146"/>
      <c r="F89" s="144"/>
      <c r="G89" s="145"/>
      <c r="H89" s="145"/>
      <c r="I89" s="146"/>
      <c r="K89" s="144"/>
      <c r="L89" s="145"/>
      <c r="M89" s="145"/>
      <c r="N89" s="146"/>
      <c r="P89" s="144"/>
      <c r="Q89" s="145"/>
      <c r="R89" s="145"/>
      <c r="S89" s="146"/>
    </row>
    <row r="90" spans="1:19" ht="15.75" thickBot="1" x14ac:dyDescent="0.3">
      <c r="A90" s="511" t="s">
        <v>997</v>
      </c>
      <c r="B90" s="512"/>
      <c r="C90" s="513" t="s">
        <v>998</v>
      </c>
      <c r="D90" s="514"/>
      <c r="F90" s="511" t="s">
        <v>997</v>
      </c>
      <c r="G90" s="512"/>
      <c r="H90" s="513" t="s">
        <v>998</v>
      </c>
      <c r="I90" s="514"/>
      <c r="K90" s="511" t="s">
        <v>997</v>
      </c>
      <c r="L90" s="512"/>
      <c r="M90" s="513" t="s">
        <v>998</v>
      </c>
      <c r="N90" s="514"/>
      <c r="P90" s="511" t="s">
        <v>997</v>
      </c>
      <c r="Q90" s="512"/>
      <c r="R90" s="513" t="s">
        <v>998</v>
      </c>
      <c r="S90" s="514"/>
    </row>
    <row r="92" spans="1:19" ht="15.75" thickBot="1" x14ac:dyDescent="0.3"/>
    <row r="93" spans="1:19" ht="18.75" x14ac:dyDescent="0.25">
      <c r="A93" s="490" t="s">
        <v>976</v>
      </c>
      <c r="B93" s="515"/>
      <c r="C93" s="515"/>
      <c r="D93" s="516"/>
      <c r="F93" s="490" t="s">
        <v>976</v>
      </c>
      <c r="G93" s="515"/>
      <c r="H93" s="515"/>
      <c r="I93" s="516"/>
      <c r="K93" s="490" t="s">
        <v>976</v>
      </c>
      <c r="L93" s="515"/>
      <c r="M93" s="515"/>
      <c r="N93" s="516"/>
      <c r="P93" s="490" t="s">
        <v>976</v>
      </c>
      <c r="Q93" s="515"/>
      <c r="R93" s="515"/>
      <c r="S93" s="516"/>
    </row>
    <row r="94" spans="1:19" ht="23.25" x14ac:dyDescent="0.25">
      <c r="A94" s="493" t="s">
        <v>977</v>
      </c>
      <c r="B94" s="517"/>
      <c r="C94" s="517"/>
      <c r="D94" s="518"/>
      <c r="F94" s="493" t="s">
        <v>977</v>
      </c>
      <c r="G94" s="517"/>
      <c r="H94" s="517"/>
      <c r="I94" s="518"/>
      <c r="K94" s="493" t="s">
        <v>977</v>
      </c>
      <c r="L94" s="517"/>
      <c r="M94" s="517"/>
      <c r="N94" s="518"/>
      <c r="P94" s="493" t="s">
        <v>977</v>
      </c>
      <c r="Q94" s="517"/>
      <c r="R94" s="517"/>
      <c r="S94" s="518"/>
    </row>
    <row r="95" spans="1:19" x14ac:dyDescent="0.25">
      <c r="A95" s="496" t="s">
        <v>978</v>
      </c>
      <c r="B95" s="517"/>
      <c r="C95" s="517"/>
      <c r="D95" s="518"/>
      <c r="F95" s="496" t="s">
        <v>978</v>
      </c>
      <c r="G95" s="517"/>
      <c r="H95" s="517"/>
      <c r="I95" s="518"/>
      <c r="K95" s="496" t="s">
        <v>978</v>
      </c>
      <c r="L95" s="517"/>
      <c r="M95" s="517"/>
      <c r="N95" s="518"/>
      <c r="P95" s="496" t="s">
        <v>978</v>
      </c>
      <c r="Q95" s="517"/>
      <c r="R95" s="517"/>
      <c r="S95" s="518"/>
    </row>
    <row r="96" spans="1:19" x14ac:dyDescent="0.25">
      <c r="A96" s="118"/>
      <c r="D96" s="119"/>
      <c r="F96" s="118"/>
      <c r="I96" s="119"/>
      <c r="K96" s="118"/>
      <c r="N96" s="119"/>
      <c r="P96" s="118"/>
      <c r="S96" s="119"/>
    </row>
    <row r="97" spans="1:19" x14ac:dyDescent="0.25">
      <c r="A97" s="139" t="s">
        <v>979</v>
      </c>
      <c r="B97" s="135">
        <v>1016</v>
      </c>
      <c r="C97" s="135" t="s">
        <v>980</v>
      </c>
      <c r="D97" s="142" t="s">
        <v>162</v>
      </c>
      <c r="F97" s="139" t="s">
        <v>979</v>
      </c>
      <c r="G97" s="135">
        <v>1017</v>
      </c>
      <c r="H97" s="135" t="s">
        <v>980</v>
      </c>
      <c r="I97" s="142" t="s">
        <v>168</v>
      </c>
      <c r="K97" s="139" t="s">
        <v>979</v>
      </c>
      <c r="L97" s="135">
        <v>1018</v>
      </c>
      <c r="M97" s="135" t="s">
        <v>980</v>
      </c>
      <c r="N97" s="142" t="s">
        <v>174</v>
      </c>
      <c r="P97" s="139" t="s">
        <v>979</v>
      </c>
      <c r="Q97" s="135">
        <v>1019</v>
      </c>
      <c r="R97" s="135" t="s">
        <v>980</v>
      </c>
      <c r="S97" s="142" t="s">
        <v>180</v>
      </c>
    </row>
    <row r="98" spans="1:19" x14ac:dyDescent="0.25">
      <c r="A98" s="139" t="s">
        <v>981</v>
      </c>
      <c r="B98" s="135" t="s">
        <v>616</v>
      </c>
      <c r="C98" s="135" t="s">
        <v>982</v>
      </c>
      <c r="D98" s="142">
        <v>17</v>
      </c>
      <c r="F98" s="139" t="s">
        <v>981</v>
      </c>
      <c r="G98" s="135" t="s">
        <v>616</v>
      </c>
      <c r="H98" s="135" t="s">
        <v>982</v>
      </c>
      <c r="I98" s="142">
        <v>18</v>
      </c>
      <c r="K98" s="139" t="s">
        <v>981</v>
      </c>
      <c r="L98" s="135" t="s">
        <v>616</v>
      </c>
      <c r="M98" s="135" t="s">
        <v>982</v>
      </c>
      <c r="N98" s="142">
        <v>19</v>
      </c>
      <c r="P98" s="139" t="s">
        <v>981</v>
      </c>
      <c r="Q98" s="135" t="s">
        <v>616</v>
      </c>
      <c r="R98" s="135" t="s">
        <v>982</v>
      </c>
      <c r="S98" s="142">
        <v>20</v>
      </c>
    </row>
    <row r="99" spans="1:19" x14ac:dyDescent="0.25">
      <c r="A99" s="118"/>
      <c r="D99" s="119"/>
      <c r="F99" s="118"/>
      <c r="I99" s="119"/>
      <c r="K99" s="118"/>
      <c r="N99" s="119"/>
      <c r="P99" s="118"/>
      <c r="S99" s="119"/>
    </row>
    <row r="100" spans="1:19" x14ac:dyDescent="0.25">
      <c r="A100" s="499" t="s">
        <v>983</v>
      </c>
      <c r="B100" s="500"/>
      <c r="C100" s="500" t="s">
        <v>984</v>
      </c>
      <c r="D100" s="501"/>
      <c r="F100" s="499" t="s">
        <v>983</v>
      </c>
      <c r="G100" s="500"/>
      <c r="H100" s="500" t="s">
        <v>984</v>
      </c>
      <c r="I100" s="501"/>
      <c r="K100" s="499" t="s">
        <v>983</v>
      </c>
      <c r="L100" s="500"/>
      <c r="M100" s="500" t="s">
        <v>984</v>
      </c>
      <c r="N100" s="501"/>
      <c r="P100" s="499" t="s">
        <v>983</v>
      </c>
      <c r="Q100" s="500"/>
      <c r="R100" s="500" t="s">
        <v>984</v>
      </c>
      <c r="S100" s="501"/>
    </row>
    <row r="101" spans="1:19" x14ac:dyDescent="0.25">
      <c r="A101" s="140" t="s">
        <v>957</v>
      </c>
      <c r="B101" s="123">
        <v>26000</v>
      </c>
      <c r="C101" s="136" t="s">
        <v>985</v>
      </c>
      <c r="D101" s="132">
        <v>3328</v>
      </c>
      <c r="F101" s="140" t="s">
        <v>957</v>
      </c>
      <c r="G101" s="123">
        <v>14000</v>
      </c>
      <c r="H101" s="136" t="s">
        <v>985</v>
      </c>
      <c r="I101" s="132">
        <v>1792</v>
      </c>
      <c r="K101" s="140" t="s">
        <v>957</v>
      </c>
      <c r="L101" s="123">
        <v>29000</v>
      </c>
      <c r="M101" s="136" t="s">
        <v>985</v>
      </c>
      <c r="N101" s="132">
        <v>3712</v>
      </c>
      <c r="P101" s="140" t="s">
        <v>957</v>
      </c>
      <c r="Q101" s="123">
        <v>25000</v>
      </c>
      <c r="R101" s="136" t="s">
        <v>985</v>
      </c>
      <c r="S101" s="132">
        <v>3200</v>
      </c>
    </row>
    <row r="102" spans="1:19" x14ac:dyDescent="0.25">
      <c r="A102" s="141" t="s">
        <v>986</v>
      </c>
      <c r="B102" s="121">
        <v>2600</v>
      </c>
      <c r="C102" s="137" t="s">
        <v>987</v>
      </c>
      <c r="D102" s="133">
        <v>582.4</v>
      </c>
      <c r="F102" s="141" t="s">
        <v>986</v>
      </c>
      <c r="G102" s="121">
        <v>1400</v>
      </c>
      <c r="H102" s="137" t="s">
        <v>987</v>
      </c>
      <c r="I102" s="133">
        <v>313.60000000000002</v>
      </c>
      <c r="K102" s="141" t="s">
        <v>986</v>
      </c>
      <c r="L102" s="121">
        <v>2900</v>
      </c>
      <c r="M102" s="137" t="s">
        <v>987</v>
      </c>
      <c r="N102" s="133">
        <v>649.6</v>
      </c>
      <c r="P102" s="141" t="s">
        <v>986</v>
      </c>
      <c r="Q102" s="121">
        <v>2500</v>
      </c>
      <c r="R102" s="137" t="s">
        <v>987</v>
      </c>
      <c r="S102" s="133">
        <v>560</v>
      </c>
    </row>
    <row r="103" spans="1:19" x14ac:dyDescent="0.25">
      <c r="A103" s="140" t="s">
        <v>988</v>
      </c>
      <c r="B103" s="123">
        <v>3120</v>
      </c>
      <c r="C103" s="136" t="s">
        <v>989</v>
      </c>
      <c r="D103" s="132">
        <v>2</v>
      </c>
      <c r="F103" s="140" t="s">
        <v>988</v>
      </c>
      <c r="G103" s="123">
        <v>1680</v>
      </c>
      <c r="H103" s="136" t="s">
        <v>989</v>
      </c>
      <c r="I103" s="132">
        <v>4</v>
      </c>
      <c r="K103" s="140" t="s">
        <v>988</v>
      </c>
      <c r="L103" s="123">
        <v>3480</v>
      </c>
      <c r="M103" s="136" t="s">
        <v>989</v>
      </c>
      <c r="N103" s="132">
        <v>3</v>
      </c>
      <c r="P103" s="140" t="s">
        <v>988</v>
      </c>
      <c r="Q103" s="123">
        <v>3000</v>
      </c>
      <c r="R103" s="136" t="s">
        <v>989</v>
      </c>
      <c r="S103" s="132">
        <v>5</v>
      </c>
    </row>
    <row r="104" spans="1:19" x14ac:dyDescent="0.25">
      <c r="A104" s="141" t="s">
        <v>990</v>
      </c>
      <c r="B104" s="121">
        <v>260</v>
      </c>
      <c r="C104" s="137" t="s">
        <v>991</v>
      </c>
      <c r="D104" s="133">
        <v>2000</v>
      </c>
      <c r="F104" s="141" t="s">
        <v>990</v>
      </c>
      <c r="G104" s="121">
        <v>140</v>
      </c>
      <c r="H104" s="137" t="s">
        <v>991</v>
      </c>
      <c r="I104" s="133">
        <v>2153.8461538461502</v>
      </c>
      <c r="K104" s="141" t="s">
        <v>990</v>
      </c>
      <c r="L104" s="121">
        <v>290</v>
      </c>
      <c r="M104" s="137" t="s">
        <v>991</v>
      </c>
      <c r="N104" s="133">
        <v>3346.1538461538498</v>
      </c>
      <c r="P104" s="141" t="s">
        <v>990</v>
      </c>
      <c r="Q104" s="121">
        <v>250</v>
      </c>
      <c r="R104" s="137" t="s">
        <v>991</v>
      </c>
      <c r="S104" s="133">
        <v>4807.6923076923104</v>
      </c>
    </row>
    <row r="105" spans="1:19" x14ac:dyDescent="0.25">
      <c r="A105" s="140" t="s">
        <v>992</v>
      </c>
      <c r="B105" s="123">
        <v>1560</v>
      </c>
      <c r="C105" s="136"/>
      <c r="D105" s="132"/>
      <c r="F105" s="140" t="s">
        <v>992</v>
      </c>
      <c r="G105" s="123">
        <v>840</v>
      </c>
      <c r="H105" s="136"/>
      <c r="I105" s="132"/>
      <c r="K105" s="140" t="s">
        <v>992</v>
      </c>
      <c r="L105" s="123">
        <v>1740</v>
      </c>
      <c r="M105" s="136"/>
      <c r="N105" s="132"/>
      <c r="P105" s="140" t="s">
        <v>992</v>
      </c>
      <c r="Q105" s="123">
        <v>1500</v>
      </c>
      <c r="R105" s="136"/>
      <c r="S105" s="132"/>
    </row>
    <row r="106" spans="1:19" x14ac:dyDescent="0.25">
      <c r="A106" s="141" t="s">
        <v>993</v>
      </c>
      <c r="B106" s="121">
        <v>14</v>
      </c>
      <c r="C106" s="137"/>
      <c r="D106" s="133"/>
      <c r="F106" s="141" t="s">
        <v>993</v>
      </c>
      <c r="G106" s="121">
        <v>14</v>
      </c>
      <c r="H106" s="137"/>
      <c r="I106" s="133"/>
      <c r="K106" s="141" t="s">
        <v>993</v>
      </c>
      <c r="L106" s="121">
        <v>14</v>
      </c>
      <c r="M106" s="137"/>
      <c r="N106" s="133"/>
      <c r="P106" s="141" t="s">
        <v>993</v>
      </c>
      <c r="Q106" s="121">
        <v>15</v>
      </c>
      <c r="R106" s="137"/>
      <c r="S106" s="133"/>
    </row>
    <row r="107" spans="1:19" x14ac:dyDescent="0.25">
      <c r="A107" s="140" t="s">
        <v>994</v>
      </c>
      <c r="B107" s="123">
        <v>1895.8333333333301</v>
      </c>
      <c r="C107" s="136"/>
      <c r="D107" s="132"/>
      <c r="F107" s="140" t="s">
        <v>994</v>
      </c>
      <c r="G107" s="123">
        <v>1020.83333333333</v>
      </c>
      <c r="H107" s="136"/>
      <c r="I107" s="132"/>
      <c r="K107" s="140" t="s">
        <v>994</v>
      </c>
      <c r="L107" s="123">
        <v>2114.5833333333298</v>
      </c>
      <c r="M107" s="136"/>
      <c r="N107" s="132"/>
      <c r="P107" s="140" t="s">
        <v>994</v>
      </c>
      <c r="Q107" s="123">
        <v>1953.125</v>
      </c>
      <c r="R107" s="136"/>
      <c r="S107" s="132"/>
    </row>
    <row r="108" spans="1:19" x14ac:dyDescent="0.25">
      <c r="A108" s="139" t="s">
        <v>995</v>
      </c>
      <c r="B108" s="138">
        <v>33280</v>
      </c>
      <c r="C108" s="135" t="s">
        <v>996</v>
      </c>
      <c r="D108" s="143">
        <v>5910.4</v>
      </c>
      <c r="F108" s="139" t="s">
        <v>995</v>
      </c>
      <c r="G108" s="138">
        <v>17920</v>
      </c>
      <c r="H108" s="135" t="s">
        <v>996</v>
      </c>
      <c r="I108" s="143">
        <v>4259.4461538461501</v>
      </c>
      <c r="K108" s="139" t="s">
        <v>995</v>
      </c>
      <c r="L108" s="138">
        <v>37120</v>
      </c>
      <c r="M108" s="135" t="s">
        <v>996</v>
      </c>
      <c r="N108" s="143">
        <v>7707.7538461538497</v>
      </c>
      <c r="P108" s="139" t="s">
        <v>995</v>
      </c>
      <c r="Q108" s="138">
        <v>32000</v>
      </c>
      <c r="R108" s="135" t="s">
        <v>996</v>
      </c>
      <c r="S108" s="143">
        <v>8567.6923076923104</v>
      </c>
    </row>
    <row r="109" spans="1:19" x14ac:dyDescent="0.25">
      <c r="A109" s="118"/>
      <c r="D109" s="119"/>
      <c r="F109" s="118"/>
      <c r="I109" s="119"/>
      <c r="K109" s="118"/>
      <c r="N109" s="119"/>
      <c r="P109" s="118"/>
      <c r="S109" s="119"/>
    </row>
    <row r="110" spans="1:19" ht="15.75" x14ac:dyDescent="0.25">
      <c r="A110" s="519" t="s">
        <v>597</v>
      </c>
      <c r="B110" s="520"/>
      <c r="C110" s="504">
        <v>29265.433333333302</v>
      </c>
      <c r="D110" s="506"/>
      <c r="F110" s="519" t="s">
        <v>597</v>
      </c>
      <c r="G110" s="520"/>
      <c r="H110" s="504">
        <v>14681.387179487199</v>
      </c>
      <c r="I110" s="506"/>
      <c r="K110" s="519" t="s">
        <v>597</v>
      </c>
      <c r="L110" s="520"/>
      <c r="M110" s="504">
        <v>31526.829487179501</v>
      </c>
      <c r="N110" s="506"/>
      <c r="P110" s="519" t="s">
        <v>597</v>
      </c>
      <c r="Q110" s="520"/>
      <c r="R110" s="504">
        <v>25385.432692307699</v>
      </c>
      <c r="S110" s="506"/>
    </row>
    <row r="111" spans="1:19" x14ac:dyDescent="0.25">
      <c r="A111" s="507" t="s">
        <v>598</v>
      </c>
      <c r="B111" s="508"/>
      <c r="C111" s="509">
        <v>351185.2</v>
      </c>
      <c r="D111" s="510"/>
      <c r="F111" s="507" t="s">
        <v>598</v>
      </c>
      <c r="G111" s="508"/>
      <c r="H111" s="509">
        <v>176176.646153846</v>
      </c>
      <c r="I111" s="510"/>
      <c r="K111" s="507" t="s">
        <v>598</v>
      </c>
      <c r="L111" s="508"/>
      <c r="M111" s="509">
        <v>378321.95384615398</v>
      </c>
      <c r="N111" s="510"/>
      <c r="P111" s="507" t="s">
        <v>598</v>
      </c>
      <c r="Q111" s="508"/>
      <c r="R111" s="509">
        <v>304625.19230769202</v>
      </c>
      <c r="S111" s="510"/>
    </row>
    <row r="112" spans="1:19" x14ac:dyDescent="0.25">
      <c r="A112" s="144"/>
      <c r="B112" s="145"/>
      <c r="C112" s="145"/>
      <c r="D112" s="146"/>
      <c r="F112" s="144"/>
      <c r="G112" s="145"/>
      <c r="H112" s="145"/>
      <c r="I112" s="146"/>
      <c r="K112" s="144"/>
      <c r="L112" s="145"/>
      <c r="M112" s="145"/>
      <c r="N112" s="146"/>
      <c r="P112" s="144"/>
      <c r="Q112" s="145"/>
      <c r="R112" s="145"/>
      <c r="S112" s="146"/>
    </row>
    <row r="113" spans="1:19" ht="15.75" thickBot="1" x14ac:dyDescent="0.3">
      <c r="A113" s="511" t="s">
        <v>997</v>
      </c>
      <c r="B113" s="512"/>
      <c r="C113" s="513" t="s">
        <v>998</v>
      </c>
      <c r="D113" s="514"/>
      <c r="F113" s="511" t="s">
        <v>997</v>
      </c>
      <c r="G113" s="512"/>
      <c r="H113" s="513" t="s">
        <v>998</v>
      </c>
      <c r="I113" s="514"/>
      <c r="K113" s="511" t="s">
        <v>997</v>
      </c>
      <c r="L113" s="512"/>
      <c r="M113" s="513" t="s">
        <v>998</v>
      </c>
      <c r="N113" s="514"/>
      <c r="P113" s="511" t="s">
        <v>997</v>
      </c>
      <c r="Q113" s="512"/>
      <c r="R113" s="513" t="s">
        <v>998</v>
      </c>
      <c r="S113" s="514"/>
    </row>
    <row r="115" spans="1:19" ht="15.75" thickBot="1" x14ac:dyDescent="0.3"/>
    <row r="116" spans="1:19" ht="18.75" x14ac:dyDescent="0.25">
      <c r="A116" s="490" t="s">
        <v>976</v>
      </c>
      <c r="B116" s="515"/>
      <c r="C116" s="515"/>
      <c r="D116" s="516"/>
      <c r="F116" s="490" t="s">
        <v>976</v>
      </c>
      <c r="G116" s="515"/>
      <c r="H116" s="515"/>
      <c r="I116" s="516"/>
      <c r="K116" s="490" t="s">
        <v>976</v>
      </c>
      <c r="L116" s="515"/>
      <c r="M116" s="515"/>
      <c r="N116" s="516"/>
      <c r="P116" s="490" t="s">
        <v>976</v>
      </c>
      <c r="Q116" s="515"/>
      <c r="R116" s="515"/>
      <c r="S116" s="516"/>
    </row>
    <row r="117" spans="1:19" ht="23.25" x14ac:dyDescent="0.25">
      <c r="A117" s="493" t="s">
        <v>977</v>
      </c>
      <c r="B117" s="517"/>
      <c r="C117" s="517"/>
      <c r="D117" s="518"/>
      <c r="F117" s="493" t="s">
        <v>977</v>
      </c>
      <c r="G117" s="517"/>
      <c r="H117" s="517"/>
      <c r="I117" s="518"/>
      <c r="K117" s="493" t="s">
        <v>977</v>
      </c>
      <c r="L117" s="517"/>
      <c r="M117" s="517"/>
      <c r="N117" s="518"/>
      <c r="P117" s="493" t="s">
        <v>977</v>
      </c>
      <c r="Q117" s="517"/>
      <c r="R117" s="517"/>
      <c r="S117" s="518"/>
    </row>
    <row r="118" spans="1:19" x14ac:dyDescent="0.25">
      <c r="A118" s="496" t="s">
        <v>978</v>
      </c>
      <c r="B118" s="517"/>
      <c r="C118" s="517"/>
      <c r="D118" s="518"/>
      <c r="F118" s="496" t="s">
        <v>978</v>
      </c>
      <c r="G118" s="517"/>
      <c r="H118" s="517"/>
      <c r="I118" s="518"/>
      <c r="K118" s="496" t="s">
        <v>978</v>
      </c>
      <c r="L118" s="517"/>
      <c r="M118" s="517"/>
      <c r="N118" s="518"/>
      <c r="P118" s="496" t="s">
        <v>978</v>
      </c>
      <c r="Q118" s="517"/>
      <c r="R118" s="517"/>
      <c r="S118" s="518"/>
    </row>
    <row r="119" spans="1:19" x14ac:dyDescent="0.25">
      <c r="A119" s="118"/>
      <c r="D119" s="119"/>
      <c r="F119" s="118"/>
      <c r="I119" s="119"/>
      <c r="K119" s="118"/>
      <c r="N119" s="119"/>
      <c r="P119" s="118"/>
      <c r="S119" s="119"/>
    </row>
    <row r="120" spans="1:19" x14ac:dyDescent="0.25">
      <c r="A120" s="139" t="s">
        <v>979</v>
      </c>
      <c r="B120" s="135">
        <v>1020</v>
      </c>
      <c r="C120" s="135" t="s">
        <v>980</v>
      </c>
      <c r="D120" s="142" t="s">
        <v>186</v>
      </c>
      <c r="F120" s="139" t="s">
        <v>979</v>
      </c>
      <c r="G120" s="135">
        <v>1021</v>
      </c>
      <c r="H120" s="135" t="s">
        <v>980</v>
      </c>
      <c r="I120" s="142" t="s">
        <v>193</v>
      </c>
      <c r="K120" s="139" t="s">
        <v>979</v>
      </c>
      <c r="L120" s="135">
        <v>1022</v>
      </c>
      <c r="M120" s="135" t="s">
        <v>980</v>
      </c>
      <c r="N120" s="142" t="s">
        <v>39</v>
      </c>
      <c r="P120" s="139" t="s">
        <v>979</v>
      </c>
      <c r="Q120" s="135">
        <v>1023</v>
      </c>
      <c r="R120" s="135" t="s">
        <v>980</v>
      </c>
      <c r="S120" s="142" t="s">
        <v>204</v>
      </c>
    </row>
    <row r="121" spans="1:19" x14ac:dyDescent="0.25">
      <c r="A121" s="139" t="s">
        <v>981</v>
      </c>
      <c r="B121" s="135" t="s">
        <v>616</v>
      </c>
      <c r="C121" s="135" t="s">
        <v>982</v>
      </c>
      <c r="D121" s="142">
        <v>21</v>
      </c>
      <c r="F121" s="139" t="s">
        <v>981</v>
      </c>
      <c r="G121" s="135" t="s">
        <v>616</v>
      </c>
      <c r="H121" s="135" t="s">
        <v>982</v>
      </c>
      <c r="I121" s="142">
        <v>22</v>
      </c>
      <c r="K121" s="139" t="s">
        <v>981</v>
      </c>
      <c r="L121" s="135" t="s">
        <v>616</v>
      </c>
      <c r="M121" s="135" t="s">
        <v>982</v>
      </c>
      <c r="N121" s="142">
        <v>23</v>
      </c>
      <c r="P121" s="139" t="s">
        <v>981</v>
      </c>
      <c r="Q121" s="135" t="s">
        <v>616</v>
      </c>
      <c r="R121" s="135" t="s">
        <v>982</v>
      </c>
      <c r="S121" s="142">
        <v>24</v>
      </c>
    </row>
    <row r="122" spans="1:19" x14ac:dyDescent="0.25">
      <c r="A122" s="118"/>
      <c r="D122" s="119"/>
      <c r="F122" s="118"/>
      <c r="I122" s="119"/>
      <c r="K122" s="118"/>
      <c r="N122" s="119"/>
      <c r="P122" s="118"/>
      <c r="S122" s="119"/>
    </row>
    <row r="123" spans="1:19" x14ac:dyDescent="0.25">
      <c r="A123" s="499" t="s">
        <v>983</v>
      </c>
      <c r="B123" s="500"/>
      <c r="C123" s="500" t="s">
        <v>984</v>
      </c>
      <c r="D123" s="501"/>
      <c r="F123" s="499" t="s">
        <v>983</v>
      </c>
      <c r="G123" s="500"/>
      <c r="H123" s="500" t="s">
        <v>984</v>
      </c>
      <c r="I123" s="501"/>
      <c r="K123" s="499" t="s">
        <v>983</v>
      </c>
      <c r="L123" s="500"/>
      <c r="M123" s="500" t="s">
        <v>984</v>
      </c>
      <c r="N123" s="501"/>
      <c r="P123" s="499" t="s">
        <v>983</v>
      </c>
      <c r="Q123" s="500"/>
      <c r="R123" s="500" t="s">
        <v>984</v>
      </c>
      <c r="S123" s="501"/>
    </row>
    <row r="124" spans="1:19" x14ac:dyDescent="0.25">
      <c r="A124" s="140" t="s">
        <v>957</v>
      </c>
      <c r="B124" s="123">
        <v>12000</v>
      </c>
      <c r="C124" s="136" t="s">
        <v>985</v>
      </c>
      <c r="D124" s="132">
        <v>1536</v>
      </c>
      <c r="F124" s="140" t="s">
        <v>957</v>
      </c>
      <c r="G124" s="123">
        <v>13000</v>
      </c>
      <c r="H124" s="136" t="s">
        <v>985</v>
      </c>
      <c r="I124" s="132">
        <v>1664</v>
      </c>
      <c r="K124" s="140" t="s">
        <v>957</v>
      </c>
      <c r="L124" s="123">
        <v>25000</v>
      </c>
      <c r="M124" s="136" t="s">
        <v>985</v>
      </c>
      <c r="N124" s="132">
        <v>3200</v>
      </c>
      <c r="P124" s="140" t="s">
        <v>957</v>
      </c>
      <c r="Q124" s="123">
        <v>17000</v>
      </c>
      <c r="R124" s="136" t="s">
        <v>985</v>
      </c>
      <c r="S124" s="132">
        <v>2176</v>
      </c>
    </row>
    <row r="125" spans="1:19" x14ac:dyDescent="0.25">
      <c r="A125" s="141" t="s">
        <v>986</v>
      </c>
      <c r="B125" s="121">
        <v>1200</v>
      </c>
      <c r="C125" s="137" t="s">
        <v>987</v>
      </c>
      <c r="D125" s="133">
        <v>268.8</v>
      </c>
      <c r="F125" s="141" t="s">
        <v>986</v>
      </c>
      <c r="G125" s="121">
        <v>1300</v>
      </c>
      <c r="H125" s="137" t="s">
        <v>987</v>
      </c>
      <c r="I125" s="133">
        <v>291.2</v>
      </c>
      <c r="K125" s="141" t="s">
        <v>986</v>
      </c>
      <c r="L125" s="121">
        <v>2500</v>
      </c>
      <c r="M125" s="137" t="s">
        <v>987</v>
      </c>
      <c r="N125" s="133">
        <v>560</v>
      </c>
      <c r="P125" s="141" t="s">
        <v>986</v>
      </c>
      <c r="Q125" s="121">
        <v>1700</v>
      </c>
      <c r="R125" s="137" t="s">
        <v>987</v>
      </c>
      <c r="S125" s="133">
        <v>380.8</v>
      </c>
    </row>
    <row r="126" spans="1:19" x14ac:dyDescent="0.25">
      <c r="A126" s="140" t="s">
        <v>988</v>
      </c>
      <c r="B126" s="123">
        <v>1440</v>
      </c>
      <c r="C126" s="136" t="s">
        <v>989</v>
      </c>
      <c r="D126" s="132">
        <v>5</v>
      </c>
      <c r="F126" s="140" t="s">
        <v>988</v>
      </c>
      <c r="G126" s="123">
        <v>1560</v>
      </c>
      <c r="H126" s="136" t="s">
        <v>989</v>
      </c>
      <c r="I126" s="132">
        <v>4</v>
      </c>
      <c r="K126" s="140" t="s">
        <v>988</v>
      </c>
      <c r="L126" s="123">
        <v>3000</v>
      </c>
      <c r="M126" s="136" t="s">
        <v>989</v>
      </c>
      <c r="N126" s="132">
        <v>5</v>
      </c>
      <c r="P126" s="140" t="s">
        <v>988</v>
      </c>
      <c r="Q126" s="123">
        <v>2040</v>
      </c>
      <c r="R126" s="136" t="s">
        <v>989</v>
      </c>
      <c r="S126" s="132">
        <v>2</v>
      </c>
    </row>
    <row r="127" spans="1:19" x14ac:dyDescent="0.25">
      <c r="A127" s="141" t="s">
        <v>990</v>
      </c>
      <c r="B127" s="121">
        <v>120</v>
      </c>
      <c r="C127" s="137" t="s">
        <v>991</v>
      </c>
      <c r="D127" s="133">
        <v>2307.6923076923099</v>
      </c>
      <c r="F127" s="141" t="s">
        <v>990</v>
      </c>
      <c r="G127" s="121">
        <v>130</v>
      </c>
      <c r="H127" s="137" t="s">
        <v>991</v>
      </c>
      <c r="I127" s="133">
        <v>2000</v>
      </c>
      <c r="K127" s="141" t="s">
        <v>990</v>
      </c>
      <c r="L127" s="121">
        <v>250</v>
      </c>
      <c r="M127" s="137" t="s">
        <v>991</v>
      </c>
      <c r="N127" s="133">
        <v>4807.6923076923104</v>
      </c>
      <c r="P127" s="141" t="s">
        <v>990</v>
      </c>
      <c r="Q127" s="121">
        <v>170</v>
      </c>
      <c r="R127" s="137" t="s">
        <v>991</v>
      </c>
      <c r="S127" s="133">
        <v>1307.6923076923099</v>
      </c>
    </row>
    <row r="128" spans="1:19" x14ac:dyDescent="0.25">
      <c r="A128" s="140" t="s">
        <v>992</v>
      </c>
      <c r="B128" s="123">
        <v>720</v>
      </c>
      <c r="C128" s="136"/>
      <c r="D128" s="132"/>
      <c r="F128" s="140" t="s">
        <v>992</v>
      </c>
      <c r="G128" s="123">
        <v>780</v>
      </c>
      <c r="H128" s="136"/>
      <c r="I128" s="132"/>
      <c r="K128" s="140" t="s">
        <v>992</v>
      </c>
      <c r="L128" s="123">
        <v>1500</v>
      </c>
      <c r="M128" s="136"/>
      <c r="N128" s="132"/>
      <c r="P128" s="140" t="s">
        <v>992</v>
      </c>
      <c r="Q128" s="123">
        <v>1020</v>
      </c>
      <c r="R128" s="136"/>
      <c r="S128" s="132"/>
    </row>
    <row r="129" spans="1:19" x14ac:dyDescent="0.25">
      <c r="A129" s="141" t="s">
        <v>993</v>
      </c>
      <c r="B129" s="121">
        <v>12</v>
      </c>
      <c r="C129" s="137"/>
      <c r="D129" s="133"/>
      <c r="F129" s="141" t="s">
        <v>993</v>
      </c>
      <c r="G129" s="121">
        <v>14</v>
      </c>
      <c r="H129" s="137"/>
      <c r="I129" s="133"/>
      <c r="K129" s="141" t="s">
        <v>993</v>
      </c>
      <c r="L129" s="121">
        <v>14</v>
      </c>
      <c r="M129" s="137"/>
      <c r="N129" s="133"/>
      <c r="P129" s="141" t="s">
        <v>993</v>
      </c>
      <c r="Q129" s="121">
        <v>15</v>
      </c>
      <c r="R129" s="137"/>
      <c r="S129" s="133"/>
    </row>
    <row r="130" spans="1:19" x14ac:dyDescent="0.25">
      <c r="A130" s="140" t="s">
        <v>994</v>
      </c>
      <c r="B130" s="123">
        <v>750</v>
      </c>
      <c r="C130" s="136"/>
      <c r="D130" s="132"/>
      <c r="F130" s="140" t="s">
        <v>994</v>
      </c>
      <c r="G130" s="123">
        <v>947.91666666666697</v>
      </c>
      <c r="H130" s="136"/>
      <c r="I130" s="132"/>
      <c r="K130" s="140" t="s">
        <v>994</v>
      </c>
      <c r="L130" s="123">
        <v>1822.9166666666699</v>
      </c>
      <c r="M130" s="136"/>
      <c r="N130" s="132"/>
      <c r="P130" s="140" t="s">
        <v>994</v>
      </c>
      <c r="Q130" s="123">
        <v>1328.125</v>
      </c>
      <c r="R130" s="136"/>
      <c r="S130" s="132"/>
    </row>
    <row r="131" spans="1:19" x14ac:dyDescent="0.25">
      <c r="A131" s="139" t="s">
        <v>995</v>
      </c>
      <c r="B131" s="138">
        <v>15360</v>
      </c>
      <c r="C131" s="135" t="s">
        <v>996</v>
      </c>
      <c r="D131" s="143">
        <v>4112.4923076923096</v>
      </c>
      <c r="F131" s="139" t="s">
        <v>995</v>
      </c>
      <c r="G131" s="138">
        <v>16640</v>
      </c>
      <c r="H131" s="135" t="s">
        <v>996</v>
      </c>
      <c r="I131" s="143">
        <v>3955.2</v>
      </c>
      <c r="K131" s="139" t="s">
        <v>995</v>
      </c>
      <c r="L131" s="138">
        <v>32000</v>
      </c>
      <c r="M131" s="135" t="s">
        <v>996</v>
      </c>
      <c r="N131" s="143">
        <v>8567.6923076923104</v>
      </c>
      <c r="P131" s="139" t="s">
        <v>995</v>
      </c>
      <c r="Q131" s="138">
        <v>21760</v>
      </c>
      <c r="R131" s="135" t="s">
        <v>996</v>
      </c>
      <c r="S131" s="143">
        <v>3864.4923076923101</v>
      </c>
    </row>
    <row r="132" spans="1:19" x14ac:dyDescent="0.25">
      <c r="A132" s="118"/>
      <c r="D132" s="119"/>
      <c r="F132" s="118"/>
      <c r="I132" s="119"/>
      <c r="K132" s="118"/>
      <c r="N132" s="119"/>
      <c r="P132" s="118"/>
      <c r="S132" s="119"/>
    </row>
    <row r="133" spans="1:19" ht="15.75" x14ac:dyDescent="0.25">
      <c r="A133" s="519" t="s">
        <v>597</v>
      </c>
      <c r="B133" s="520"/>
      <c r="C133" s="504">
        <v>11997.507692307699</v>
      </c>
      <c r="D133" s="506"/>
      <c r="F133" s="519" t="s">
        <v>597</v>
      </c>
      <c r="G133" s="520"/>
      <c r="H133" s="504">
        <v>13632.7166666667</v>
      </c>
      <c r="I133" s="506"/>
      <c r="K133" s="519" t="s">
        <v>597</v>
      </c>
      <c r="L133" s="520"/>
      <c r="M133" s="504">
        <v>25255.224358974399</v>
      </c>
      <c r="N133" s="506"/>
      <c r="P133" s="519" t="s">
        <v>597</v>
      </c>
      <c r="Q133" s="520"/>
      <c r="R133" s="504">
        <v>19223.632692307699</v>
      </c>
      <c r="S133" s="506"/>
    </row>
    <row r="134" spans="1:19" x14ac:dyDescent="0.25">
      <c r="A134" s="507" t="s">
        <v>598</v>
      </c>
      <c r="B134" s="508"/>
      <c r="C134" s="509">
        <v>143970.09230769199</v>
      </c>
      <c r="D134" s="510"/>
      <c r="F134" s="507" t="s">
        <v>598</v>
      </c>
      <c r="G134" s="508"/>
      <c r="H134" s="509">
        <v>163592.6</v>
      </c>
      <c r="I134" s="510"/>
      <c r="K134" s="507" t="s">
        <v>598</v>
      </c>
      <c r="L134" s="508"/>
      <c r="M134" s="509">
        <v>303062.69230769202</v>
      </c>
      <c r="N134" s="510"/>
      <c r="P134" s="507" t="s">
        <v>598</v>
      </c>
      <c r="Q134" s="508"/>
      <c r="R134" s="509">
        <v>230683.59230769199</v>
      </c>
      <c r="S134" s="510"/>
    </row>
    <row r="135" spans="1:19" x14ac:dyDescent="0.25">
      <c r="A135" s="144"/>
      <c r="B135" s="145"/>
      <c r="C135" s="145"/>
      <c r="D135" s="146"/>
      <c r="F135" s="144"/>
      <c r="G135" s="145"/>
      <c r="H135" s="145"/>
      <c r="I135" s="146"/>
      <c r="K135" s="144"/>
      <c r="L135" s="145"/>
      <c r="M135" s="145"/>
      <c r="N135" s="146"/>
      <c r="P135" s="144"/>
      <c r="Q135" s="145"/>
      <c r="R135" s="145"/>
      <c r="S135" s="146"/>
    </row>
    <row r="136" spans="1:19" ht="15.75" thickBot="1" x14ac:dyDescent="0.3">
      <c r="A136" s="511" t="s">
        <v>997</v>
      </c>
      <c r="B136" s="512"/>
      <c r="C136" s="513" t="s">
        <v>998</v>
      </c>
      <c r="D136" s="514"/>
      <c r="F136" s="511" t="s">
        <v>997</v>
      </c>
      <c r="G136" s="512"/>
      <c r="H136" s="513" t="s">
        <v>998</v>
      </c>
      <c r="I136" s="514"/>
      <c r="K136" s="511" t="s">
        <v>997</v>
      </c>
      <c r="L136" s="512"/>
      <c r="M136" s="513" t="s">
        <v>998</v>
      </c>
      <c r="N136" s="514"/>
      <c r="P136" s="511" t="s">
        <v>997</v>
      </c>
      <c r="Q136" s="512"/>
      <c r="R136" s="513" t="s">
        <v>998</v>
      </c>
      <c r="S136" s="514"/>
    </row>
    <row r="138" spans="1:19" ht="15.75" thickBot="1" x14ac:dyDescent="0.3"/>
    <row r="139" spans="1:19" ht="18.75" x14ac:dyDescent="0.25">
      <c r="A139" s="490" t="s">
        <v>976</v>
      </c>
      <c r="B139" s="515"/>
      <c r="C139" s="515"/>
      <c r="D139" s="516"/>
      <c r="F139" s="490" t="s">
        <v>976</v>
      </c>
      <c r="G139" s="515"/>
      <c r="H139" s="515"/>
      <c r="I139" s="516"/>
      <c r="K139" s="490" t="s">
        <v>976</v>
      </c>
      <c r="L139" s="515"/>
      <c r="M139" s="515"/>
      <c r="N139" s="516"/>
      <c r="P139" s="490" t="s">
        <v>976</v>
      </c>
      <c r="Q139" s="515"/>
      <c r="R139" s="515"/>
      <c r="S139" s="516"/>
    </row>
    <row r="140" spans="1:19" ht="23.25" x14ac:dyDescent="0.25">
      <c r="A140" s="493" t="s">
        <v>977</v>
      </c>
      <c r="B140" s="517"/>
      <c r="C140" s="517"/>
      <c r="D140" s="518"/>
      <c r="F140" s="493" t="s">
        <v>977</v>
      </c>
      <c r="G140" s="517"/>
      <c r="H140" s="517"/>
      <c r="I140" s="518"/>
      <c r="K140" s="493" t="s">
        <v>977</v>
      </c>
      <c r="L140" s="517"/>
      <c r="M140" s="517"/>
      <c r="N140" s="518"/>
      <c r="P140" s="493" t="s">
        <v>977</v>
      </c>
      <c r="Q140" s="517"/>
      <c r="R140" s="517"/>
      <c r="S140" s="518"/>
    </row>
    <row r="141" spans="1:19" x14ac:dyDescent="0.25">
      <c r="A141" s="496" t="s">
        <v>978</v>
      </c>
      <c r="B141" s="517"/>
      <c r="C141" s="517"/>
      <c r="D141" s="518"/>
      <c r="F141" s="496" t="s">
        <v>978</v>
      </c>
      <c r="G141" s="517"/>
      <c r="H141" s="517"/>
      <c r="I141" s="518"/>
      <c r="K141" s="496" t="s">
        <v>978</v>
      </c>
      <c r="L141" s="517"/>
      <c r="M141" s="517"/>
      <c r="N141" s="518"/>
      <c r="P141" s="496" t="s">
        <v>978</v>
      </c>
      <c r="Q141" s="517"/>
      <c r="R141" s="517"/>
      <c r="S141" s="518"/>
    </row>
    <row r="142" spans="1:19" x14ac:dyDescent="0.25">
      <c r="A142" s="118"/>
      <c r="D142" s="119"/>
      <c r="F142" s="118"/>
      <c r="I142" s="119"/>
      <c r="K142" s="118"/>
      <c r="N142" s="119"/>
      <c r="P142" s="118"/>
      <c r="S142" s="119"/>
    </row>
    <row r="143" spans="1:19" x14ac:dyDescent="0.25">
      <c r="A143" s="139" t="s">
        <v>979</v>
      </c>
      <c r="B143" s="135">
        <v>1024</v>
      </c>
      <c r="C143" s="135" t="s">
        <v>980</v>
      </c>
      <c r="D143" s="142" t="s">
        <v>210</v>
      </c>
      <c r="F143" s="139" t="s">
        <v>979</v>
      </c>
      <c r="G143" s="135">
        <v>1025</v>
      </c>
      <c r="H143" s="135" t="s">
        <v>980</v>
      </c>
      <c r="I143" s="142" t="s">
        <v>75</v>
      </c>
      <c r="K143" s="139" t="s">
        <v>979</v>
      </c>
      <c r="L143" s="135">
        <v>1026</v>
      </c>
      <c r="M143" s="135" t="s">
        <v>980</v>
      </c>
      <c r="N143" s="142" t="s">
        <v>221</v>
      </c>
      <c r="P143" s="139" t="s">
        <v>979</v>
      </c>
      <c r="Q143" s="135">
        <v>1027</v>
      </c>
      <c r="R143" s="135" t="s">
        <v>980</v>
      </c>
      <c r="S143" s="142" t="s">
        <v>227</v>
      </c>
    </row>
    <row r="144" spans="1:19" x14ac:dyDescent="0.25">
      <c r="A144" s="139" t="s">
        <v>981</v>
      </c>
      <c r="B144" s="135" t="s">
        <v>616</v>
      </c>
      <c r="C144" s="135" t="s">
        <v>982</v>
      </c>
      <c r="D144" s="142">
        <v>25</v>
      </c>
      <c r="F144" s="139" t="s">
        <v>981</v>
      </c>
      <c r="G144" s="135" t="s">
        <v>616</v>
      </c>
      <c r="H144" s="135" t="s">
        <v>982</v>
      </c>
      <c r="I144" s="142">
        <v>26</v>
      </c>
      <c r="K144" s="139" t="s">
        <v>981</v>
      </c>
      <c r="L144" s="135" t="s">
        <v>616</v>
      </c>
      <c r="M144" s="135" t="s">
        <v>982</v>
      </c>
      <c r="N144" s="142">
        <v>27</v>
      </c>
      <c r="P144" s="139" t="s">
        <v>981</v>
      </c>
      <c r="Q144" s="135" t="s">
        <v>616</v>
      </c>
      <c r="R144" s="135" t="s">
        <v>982</v>
      </c>
      <c r="S144" s="142">
        <v>28</v>
      </c>
    </row>
    <row r="145" spans="1:19" x14ac:dyDescent="0.25">
      <c r="A145" s="118"/>
      <c r="D145" s="119"/>
      <c r="F145" s="118"/>
      <c r="I145" s="119"/>
      <c r="K145" s="118"/>
      <c r="N145" s="119"/>
      <c r="P145" s="118"/>
      <c r="S145" s="119"/>
    </row>
    <row r="146" spans="1:19" x14ac:dyDescent="0.25">
      <c r="A146" s="499" t="s">
        <v>983</v>
      </c>
      <c r="B146" s="500"/>
      <c r="C146" s="500" t="s">
        <v>984</v>
      </c>
      <c r="D146" s="501"/>
      <c r="F146" s="499" t="s">
        <v>983</v>
      </c>
      <c r="G146" s="500"/>
      <c r="H146" s="500" t="s">
        <v>984</v>
      </c>
      <c r="I146" s="501"/>
      <c r="K146" s="499" t="s">
        <v>983</v>
      </c>
      <c r="L146" s="500"/>
      <c r="M146" s="500" t="s">
        <v>984</v>
      </c>
      <c r="N146" s="501"/>
      <c r="P146" s="499" t="s">
        <v>983</v>
      </c>
      <c r="Q146" s="500"/>
      <c r="R146" s="500" t="s">
        <v>984</v>
      </c>
      <c r="S146" s="501"/>
    </row>
    <row r="147" spans="1:19" x14ac:dyDescent="0.25">
      <c r="A147" s="140" t="s">
        <v>957</v>
      </c>
      <c r="B147" s="123">
        <v>10000</v>
      </c>
      <c r="C147" s="136" t="s">
        <v>985</v>
      </c>
      <c r="D147" s="132">
        <v>1280</v>
      </c>
      <c r="F147" s="140" t="s">
        <v>957</v>
      </c>
      <c r="G147" s="123">
        <v>18000</v>
      </c>
      <c r="H147" s="136" t="s">
        <v>985</v>
      </c>
      <c r="I147" s="132">
        <v>2304</v>
      </c>
      <c r="K147" s="140" t="s">
        <v>957</v>
      </c>
      <c r="L147" s="123">
        <v>26000</v>
      </c>
      <c r="M147" s="136" t="s">
        <v>985</v>
      </c>
      <c r="N147" s="132">
        <v>3328</v>
      </c>
      <c r="P147" s="140" t="s">
        <v>957</v>
      </c>
      <c r="Q147" s="123">
        <v>29000</v>
      </c>
      <c r="R147" s="136" t="s">
        <v>985</v>
      </c>
      <c r="S147" s="132">
        <v>3712</v>
      </c>
    </row>
    <row r="148" spans="1:19" x14ac:dyDescent="0.25">
      <c r="A148" s="141" t="s">
        <v>986</v>
      </c>
      <c r="B148" s="121">
        <v>1000</v>
      </c>
      <c r="C148" s="137" t="s">
        <v>987</v>
      </c>
      <c r="D148" s="133">
        <v>224</v>
      </c>
      <c r="F148" s="141" t="s">
        <v>986</v>
      </c>
      <c r="G148" s="121">
        <v>1800</v>
      </c>
      <c r="H148" s="137" t="s">
        <v>987</v>
      </c>
      <c r="I148" s="133">
        <v>403.2</v>
      </c>
      <c r="K148" s="141" t="s">
        <v>986</v>
      </c>
      <c r="L148" s="121">
        <v>2600</v>
      </c>
      <c r="M148" s="137" t="s">
        <v>987</v>
      </c>
      <c r="N148" s="133">
        <v>582.4</v>
      </c>
      <c r="P148" s="141" t="s">
        <v>986</v>
      </c>
      <c r="Q148" s="121">
        <v>2900</v>
      </c>
      <c r="R148" s="137" t="s">
        <v>987</v>
      </c>
      <c r="S148" s="133">
        <v>649.6</v>
      </c>
    </row>
    <row r="149" spans="1:19" x14ac:dyDescent="0.25">
      <c r="A149" s="140" t="s">
        <v>988</v>
      </c>
      <c r="B149" s="123">
        <v>1200</v>
      </c>
      <c r="C149" s="136" t="s">
        <v>989</v>
      </c>
      <c r="D149" s="132">
        <v>3</v>
      </c>
      <c r="F149" s="140" t="s">
        <v>988</v>
      </c>
      <c r="G149" s="123">
        <v>2160</v>
      </c>
      <c r="H149" s="136" t="s">
        <v>989</v>
      </c>
      <c r="I149" s="132">
        <v>3</v>
      </c>
      <c r="K149" s="140" t="s">
        <v>988</v>
      </c>
      <c r="L149" s="123">
        <v>3120</v>
      </c>
      <c r="M149" s="136" t="s">
        <v>989</v>
      </c>
      <c r="N149" s="132">
        <v>5</v>
      </c>
      <c r="P149" s="140" t="s">
        <v>988</v>
      </c>
      <c r="Q149" s="123">
        <v>3480</v>
      </c>
      <c r="R149" s="136" t="s">
        <v>989</v>
      </c>
      <c r="S149" s="132">
        <v>4</v>
      </c>
    </row>
    <row r="150" spans="1:19" x14ac:dyDescent="0.25">
      <c r="A150" s="141" t="s">
        <v>990</v>
      </c>
      <c r="B150" s="121">
        <v>100</v>
      </c>
      <c r="C150" s="137" t="s">
        <v>991</v>
      </c>
      <c r="D150" s="133">
        <v>1153.8461538461499</v>
      </c>
      <c r="F150" s="141" t="s">
        <v>990</v>
      </c>
      <c r="G150" s="121">
        <v>180</v>
      </c>
      <c r="H150" s="137" t="s">
        <v>991</v>
      </c>
      <c r="I150" s="133">
        <v>2076.9230769230799</v>
      </c>
      <c r="K150" s="141" t="s">
        <v>990</v>
      </c>
      <c r="L150" s="121">
        <v>260</v>
      </c>
      <c r="M150" s="137" t="s">
        <v>991</v>
      </c>
      <c r="N150" s="133">
        <v>5000</v>
      </c>
      <c r="P150" s="141" t="s">
        <v>990</v>
      </c>
      <c r="Q150" s="121">
        <v>290</v>
      </c>
      <c r="R150" s="137" t="s">
        <v>991</v>
      </c>
      <c r="S150" s="133">
        <v>4461.5384615384601</v>
      </c>
    </row>
    <row r="151" spans="1:19" x14ac:dyDescent="0.25">
      <c r="A151" s="140" t="s">
        <v>992</v>
      </c>
      <c r="B151" s="123">
        <v>600</v>
      </c>
      <c r="C151" s="136"/>
      <c r="D151" s="132"/>
      <c r="F151" s="140" t="s">
        <v>992</v>
      </c>
      <c r="G151" s="123">
        <v>1080</v>
      </c>
      <c r="H151" s="136"/>
      <c r="I151" s="132"/>
      <c r="K151" s="140" t="s">
        <v>992</v>
      </c>
      <c r="L151" s="123">
        <v>1560</v>
      </c>
      <c r="M151" s="136"/>
      <c r="N151" s="132"/>
      <c r="P151" s="140" t="s">
        <v>992</v>
      </c>
      <c r="Q151" s="123">
        <v>1740</v>
      </c>
      <c r="R151" s="136"/>
      <c r="S151" s="132"/>
    </row>
    <row r="152" spans="1:19" x14ac:dyDescent="0.25">
      <c r="A152" s="141" t="s">
        <v>993</v>
      </c>
      <c r="B152" s="121">
        <v>14</v>
      </c>
      <c r="C152" s="137"/>
      <c r="D152" s="133"/>
      <c r="F152" s="141" t="s">
        <v>993</v>
      </c>
      <c r="G152" s="121">
        <v>15</v>
      </c>
      <c r="H152" s="137"/>
      <c r="I152" s="133"/>
      <c r="K152" s="141" t="s">
        <v>993</v>
      </c>
      <c r="L152" s="121">
        <v>13</v>
      </c>
      <c r="M152" s="137"/>
      <c r="N152" s="133"/>
      <c r="P152" s="141" t="s">
        <v>993</v>
      </c>
      <c r="Q152" s="121">
        <v>12</v>
      </c>
      <c r="R152" s="137"/>
      <c r="S152" s="133"/>
    </row>
    <row r="153" spans="1:19" x14ac:dyDescent="0.25">
      <c r="A153" s="140" t="s">
        <v>994</v>
      </c>
      <c r="B153" s="123">
        <v>729.16666666666697</v>
      </c>
      <c r="C153" s="136"/>
      <c r="D153" s="132"/>
      <c r="F153" s="140" t="s">
        <v>994</v>
      </c>
      <c r="G153" s="123">
        <v>1406.25</v>
      </c>
      <c r="H153" s="136"/>
      <c r="I153" s="132"/>
      <c r="K153" s="140" t="s">
        <v>994</v>
      </c>
      <c r="L153" s="123">
        <v>1760.4166666666699</v>
      </c>
      <c r="M153" s="136"/>
      <c r="N153" s="132"/>
      <c r="P153" s="140" t="s">
        <v>994</v>
      </c>
      <c r="Q153" s="123">
        <v>1812.5</v>
      </c>
      <c r="R153" s="136"/>
      <c r="S153" s="132"/>
    </row>
    <row r="154" spans="1:19" x14ac:dyDescent="0.25">
      <c r="A154" s="139" t="s">
        <v>995</v>
      </c>
      <c r="B154" s="138">
        <v>12800</v>
      </c>
      <c r="C154" s="135" t="s">
        <v>996</v>
      </c>
      <c r="D154" s="143">
        <v>2657.8461538461502</v>
      </c>
      <c r="F154" s="139" t="s">
        <v>995</v>
      </c>
      <c r="G154" s="138">
        <v>23040</v>
      </c>
      <c r="H154" s="135" t="s">
        <v>996</v>
      </c>
      <c r="I154" s="143">
        <v>4784.1230769230797</v>
      </c>
      <c r="K154" s="139" t="s">
        <v>995</v>
      </c>
      <c r="L154" s="138">
        <v>33280</v>
      </c>
      <c r="M154" s="135" t="s">
        <v>996</v>
      </c>
      <c r="N154" s="143">
        <v>8910.4</v>
      </c>
      <c r="P154" s="139" t="s">
        <v>995</v>
      </c>
      <c r="Q154" s="138">
        <v>37120</v>
      </c>
      <c r="R154" s="135" t="s">
        <v>996</v>
      </c>
      <c r="S154" s="143">
        <v>8823.1384615384595</v>
      </c>
    </row>
    <row r="155" spans="1:19" x14ac:dyDescent="0.25">
      <c r="A155" s="118"/>
      <c r="D155" s="119"/>
      <c r="F155" s="118"/>
      <c r="I155" s="119"/>
      <c r="K155" s="118"/>
      <c r="N155" s="119"/>
      <c r="P155" s="118"/>
      <c r="S155" s="119"/>
    </row>
    <row r="156" spans="1:19" ht="15.75" x14ac:dyDescent="0.25">
      <c r="A156" s="519" t="s">
        <v>597</v>
      </c>
      <c r="B156" s="520"/>
      <c r="C156" s="504">
        <v>10871.320512820501</v>
      </c>
      <c r="D156" s="506"/>
      <c r="F156" s="519" t="s">
        <v>597</v>
      </c>
      <c r="G156" s="520"/>
      <c r="H156" s="504">
        <v>19662.126923076899</v>
      </c>
      <c r="I156" s="506"/>
      <c r="K156" s="519" t="s">
        <v>597</v>
      </c>
      <c r="L156" s="520"/>
      <c r="M156" s="504">
        <v>26130.016666666699</v>
      </c>
      <c r="N156" s="506"/>
      <c r="P156" s="519" t="s">
        <v>597</v>
      </c>
      <c r="Q156" s="520"/>
      <c r="R156" s="504">
        <v>30109.3615384615</v>
      </c>
      <c r="S156" s="506"/>
    </row>
    <row r="157" spans="1:19" x14ac:dyDescent="0.25">
      <c r="A157" s="507" t="s">
        <v>598</v>
      </c>
      <c r="B157" s="508"/>
      <c r="C157" s="509">
        <v>130455.846153846</v>
      </c>
      <c r="D157" s="510"/>
      <c r="F157" s="507" t="s">
        <v>598</v>
      </c>
      <c r="G157" s="508"/>
      <c r="H157" s="509">
        <v>235945.52307692301</v>
      </c>
      <c r="I157" s="510"/>
      <c r="K157" s="507" t="s">
        <v>598</v>
      </c>
      <c r="L157" s="508"/>
      <c r="M157" s="509">
        <v>313560.2</v>
      </c>
      <c r="N157" s="510"/>
      <c r="P157" s="507" t="s">
        <v>598</v>
      </c>
      <c r="Q157" s="508"/>
      <c r="R157" s="509">
        <v>361312.33846153802</v>
      </c>
      <c r="S157" s="510"/>
    </row>
    <row r="158" spans="1:19" x14ac:dyDescent="0.25">
      <c r="A158" s="144"/>
      <c r="B158" s="145"/>
      <c r="C158" s="145"/>
      <c r="D158" s="146"/>
      <c r="F158" s="144"/>
      <c r="G158" s="145"/>
      <c r="H158" s="145"/>
      <c r="I158" s="146"/>
      <c r="K158" s="144"/>
      <c r="L158" s="145"/>
      <c r="M158" s="145"/>
      <c r="N158" s="146"/>
      <c r="P158" s="144"/>
      <c r="Q158" s="145"/>
      <c r="R158" s="145"/>
      <c r="S158" s="146"/>
    </row>
    <row r="159" spans="1:19" ht="15.75" thickBot="1" x14ac:dyDescent="0.3">
      <c r="A159" s="511" t="s">
        <v>997</v>
      </c>
      <c r="B159" s="512"/>
      <c r="C159" s="513" t="s">
        <v>998</v>
      </c>
      <c r="D159" s="514"/>
      <c r="F159" s="511" t="s">
        <v>997</v>
      </c>
      <c r="G159" s="512"/>
      <c r="H159" s="513" t="s">
        <v>998</v>
      </c>
      <c r="I159" s="514"/>
      <c r="K159" s="511" t="s">
        <v>997</v>
      </c>
      <c r="L159" s="512"/>
      <c r="M159" s="513" t="s">
        <v>998</v>
      </c>
      <c r="N159" s="514"/>
      <c r="P159" s="511" t="s">
        <v>997</v>
      </c>
      <c r="Q159" s="512"/>
      <c r="R159" s="513" t="s">
        <v>998</v>
      </c>
      <c r="S159" s="514"/>
    </row>
  </sheetData>
  <mergeCells count="308">
    <mergeCell ref="P157:Q157"/>
    <mergeCell ref="R157:S157"/>
    <mergeCell ref="P159:Q159"/>
    <mergeCell ref="R159:S159"/>
    <mergeCell ref="K140:N140"/>
    <mergeCell ref="K141:N141"/>
    <mergeCell ref="K146:L146"/>
    <mergeCell ref="M146:N146"/>
    <mergeCell ref="K156:L156"/>
    <mergeCell ref="M156:N156"/>
    <mergeCell ref="K157:L157"/>
    <mergeCell ref="M157:N157"/>
    <mergeCell ref="P140:S140"/>
    <mergeCell ref="P141:S141"/>
    <mergeCell ref="P146:Q146"/>
    <mergeCell ref="R146:S146"/>
    <mergeCell ref="P156:Q156"/>
    <mergeCell ref="R156:S156"/>
    <mergeCell ref="K159:L159"/>
    <mergeCell ref="M159:N159"/>
    <mergeCell ref="A157:B157"/>
    <mergeCell ref="C157:D157"/>
    <mergeCell ref="A159:B159"/>
    <mergeCell ref="C159:D159"/>
    <mergeCell ref="F139:I139"/>
    <mergeCell ref="F140:I140"/>
    <mergeCell ref="F141:I141"/>
    <mergeCell ref="F146:G146"/>
    <mergeCell ref="H146:I146"/>
    <mergeCell ref="F156:G156"/>
    <mergeCell ref="A140:D140"/>
    <mergeCell ref="A141:D141"/>
    <mergeCell ref="A146:B146"/>
    <mergeCell ref="C146:D146"/>
    <mergeCell ref="A156:B156"/>
    <mergeCell ref="C156:D156"/>
    <mergeCell ref="F157:G157"/>
    <mergeCell ref="H157:I157"/>
    <mergeCell ref="F159:G159"/>
    <mergeCell ref="H159:I159"/>
    <mergeCell ref="H156:I156"/>
    <mergeCell ref="P134:Q134"/>
    <mergeCell ref="R134:S134"/>
    <mergeCell ref="P136:Q136"/>
    <mergeCell ref="R136:S136"/>
    <mergeCell ref="A139:D139"/>
    <mergeCell ref="P139:S139"/>
    <mergeCell ref="K134:L134"/>
    <mergeCell ref="M134:N134"/>
    <mergeCell ref="K136:L136"/>
    <mergeCell ref="M136:N136"/>
    <mergeCell ref="A136:B136"/>
    <mergeCell ref="C136:D136"/>
    <mergeCell ref="K139:N139"/>
    <mergeCell ref="F136:G136"/>
    <mergeCell ref="H136:I136"/>
    <mergeCell ref="F134:G134"/>
    <mergeCell ref="K133:L133"/>
    <mergeCell ref="M133:N133"/>
    <mergeCell ref="F116:I116"/>
    <mergeCell ref="F117:I117"/>
    <mergeCell ref="F118:I118"/>
    <mergeCell ref="F123:G123"/>
    <mergeCell ref="H123:I123"/>
    <mergeCell ref="F133:G133"/>
    <mergeCell ref="H133:I133"/>
    <mergeCell ref="A133:B133"/>
    <mergeCell ref="C133:D133"/>
    <mergeCell ref="A134:B134"/>
    <mergeCell ref="C134:D134"/>
    <mergeCell ref="P111:Q111"/>
    <mergeCell ref="R111:S111"/>
    <mergeCell ref="P113:Q113"/>
    <mergeCell ref="R113:S113"/>
    <mergeCell ref="A116:D116"/>
    <mergeCell ref="A117:D117"/>
    <mergeCell ref="K113:L113"/>
    <mergeCell ref="M113:N113"/>
    <mergeCell ref="A111:B111"/>
    <mergeCell ref="C111:D111"/>
    <mergeCell ref="A113:B113"/>
    <mergeCell ref="C113:D113"/>
    <mergeCell ref="P116:S116"/>
    <mergeCell ref="P117:S117"/>
    <mergeCell ref="P118:S118"/>
    <mergeCell ref="P123:Q123"/>
    <mergeCell ref="R123:S123"/>
    <mergeCell ref="P133:Q133"/>
    <mergeCell ref="H134:I134"/>
    <mergeCell ref="R133:S133"/>
    <mergeCell ref="P110:Q110"/>
    <mergeCell ref="R110:S110"/>
    <mergeCell ref="K110:L110"/>
    <mergeCell ref="M110:N110"/>
    <mergeCell ref="K111:L111"/>
    <mergeCell ref="M111:N111"/>
    <mergeCell ref="A118:D118"/>
    <mergeCell ref="A123:B123"/>
    <mergeCell ref="C123:D123"/>
    <mergeCell ref="F111:G111"/>
    <mergeCell ref="H111:I111"/>
    <mergeCell ref="F113:G113"/>
    <mergeCell ref="H113:I113"/>
    <mergeCell ref="F110:G110"/>
    <mergeCell ref="K116:N116"/>
    <mergeCell ref="K117:N117"/>
    <mergeCell ref="K118:N118"/>
    <mergeCell ref="K123:L123"/>
    <mergeCell ref="M123:N123"/>
    <mergeCell ref="K93:N93"/>
    <mergeCell ref="K94:N94"/>
    <mergeCell ref="K95:N95"/>
    <mergeCell ref="K100:L100"/>
    <mergeCell ref="M100:N100"/>
    <mergeCell ref="F93:I93"/>
    <mergeCell ref="F94:I94"/>
    <mergeCell ref="F95:I95"/>
    <mergeCell ref="F100:G100"/>
    <mergeCell ref="H100:I100"/>
    <mergeCell ref="A94:D94"/>
    <mergeCell ref="A95:D95"/>
    <mergeCell ref="A100:B100"/>
    <mergeCell ref="C100:D100"/>
    <mergeCell ref="A110:B110"/>
    <mergeCell ref="C110:D110"/>
    <mergeCell ref="R87:S87"/>
    <mergeCell ref="P88:Q88"/>
    <mergeCell ref="R88:S88"/>
    <mergeCell ref="P90:Q90"/>
    <mergeCell ref="R90:S90"/>
    <mergeCell ref="A93:D93"/>
    <mergeCell ref="P93:S93"/>
    <mergeCell ref="K88:L88"/>
    <mergeCell ref="M88:N88"/>
    <mergeCell ref="K90:L90"/>
    <mergeCell ref="M90:N90"/>
    <mergeCell ref="A90:B90"/>
    <mergeCell ref="C90:D90"/>
    <mergeCell ref="H110:I110"/>
    <mergeCell ref="P94:S94"/>
    <mergeCell ref="P95:S95"/>
    <mergeCell ref="P100:Q100"/>
    <mergeCell ref="R100:S100"/>
    <mergeCell ref="F90:G90"/>
    <mergeCell ref="H90:I90"/>
    <mergeCell ref="K70:N70"/>
    <mergeCell ref="K71:N71"/>
    <mergeCell ref="K72:N72"/>
    <mergeCell ref="K77:L77"/>
    <mergeCell ref="M77:N77"/>
    <mergeCell ref="K87:L87"/>
    <mergeCell ref="M87:N87"/>
    <mergeCell ref="F70:I70"/>
    <mergeCell ref="F71:I71"/>
    <mergeCell ref="F72:I72"/>
    <mergeCell ref="F77:G77"/>
    <mergeCell ref="H77:I77"/>
    <mergeCell ref="F87:G87"/>
    <mergeCell ref="H87:I87"/>
    <mergeCell ref="F88:G88"/>
    <mergeCell ref="A87:B87"/>
    <mergeCell ref="C87:D87"/>
    <mergeCell ref="A88:B88"/>
    <mergeCell ref="C88:D88"/>
    <mergeCell ref="P65:Q65"/>
    <mergeCell ref="R65:S65"/>
    <mergeCell ref="P67:Q67"/>
    <mergeCell ref="R67:S67"/>
    <mergeCell ref="A70:D70"/>
    <mergeCell ref="A71:D71"/>
    <mergeCell ref="K67:L67"/>
    <mergeCell ref="M67:N67"/>
    <mergeCell ref="A65:B65"/>
    <mergeCell ref="C65:D65"/>
    <mergeCell ref="A67:B67"/>
    <mergeCell ref="C67:D67"/>
    <mergeCell ref="P70:S70"/>
    <mergeCell ref="P71:S71"/>
    <mergeCell ref="P72:S72"/>
    <mergeCell ref="P77:Q77"/>
    <mergeCell ref="R77:S77"/>
    <mergeCell ref="P87:Q87"/>
    <mergeCell ref="H88:I88"/>
    <mergeCell ref="P64:Q64"/>
    <mergeCell ref="R64:S64"/>
    <mergeCell ref="K64:L64"/>
    <mergeCell ref="M64:N64"/>
    <mergeCell ref="K65:L65"/>
    <mergeCell ref="M65:N65"/>
    <mergeCell ref="A72:D72"/>
    <mergeCell ref="A77:B77"/>
    <mergeCell ref="C77:D77"/>
    <mergeCell ref="F65:G65"/>
    <mergeCell ref="H65:I65"/>
    <mergeCell ref="F67:G67"/>
    <mergeCell ref="H67:I67"/>
    <mergeCell ref="F64:G64"/>
    <mergeCell ref="K47:N47"/>
    <mergeCell ref="K48:N48"/>
    <mergeCell ref="K49:N49"/>
    <mergeCell ref="K54:L54"/>
    <mergeCell ref="M54:N54"/>
    <mergeCell ref="F47:I47"/>
    <mergeCell ref="F48:I48"/>
    <mergeCell ref="F49:I49"/>
    <mergeCell ref="F54:G54"/>
    <mergeCell ref="H54:I54"/>
    <mergeCell ref="A48:D48"/>
    <mergeCell ref="A49:D49"/>
    <mergeCell ref="A54:B54"/>
    <mergeCell ref="C54:D54"/>
    <mergeCell ref="A64:B64"/>
    <mergeCell ref="C64:D64"/>
    <mergeCell ref="R41:S41"/>
    <mergeCell ref="P42:Q42"/>
    <mergeCell ref="R42:S42"/>
    <mergeCell ref="P44:Q44"/>
    <mergeCell ref="R44:S44"/>
    <mergeCell ref="A47:D47"/>
    <mergeCell ref="P47:S47"/>
    <mergeCell ref="K42:L42"/>
    <mergeCell ref="M42:N42"/>
    <mergeCell ref="K44:L44"/>
    <mergeCell ref="M44:N44"/>
    <mergeCell ref="A44:B44"/>
    <mergeCell ref="C44:D44"/>
    <mergeCell ref="H64:I64"/>
    <mergeCell ref="P48:S48"/>
    <mergeCell ref="P49:S49"/>
    <mergeCell ref="P54:Q54"/>
    <mergeCell ref="R54:S54"/>
    <mergeCell ref="P31:Q31"/>
    <mergeCell ref="R31:S31"/>
    <mergeCell ref="P41:Q41"/>
    <mergeCell ref="H42:I42"/>
    <mergeCell ref="F44:G44"/>
    <mergeCell ref="H44:I44"/>
    <mergeCell ref="K24:N24"/>
    <mergeCell ref="K25:N25"/>
    <mergeCell ref="K26:N26"/>
    <mergeCell ref="K31:L31"/>
    <mergeCell ref="M31:N31"/>
    <mergeCell ref="K41:L41"/>
    <mergeCell ref="M41:N41"/>
    <mergeCell ref="F24:I24"/>
    <mergeCell ref="F25:I25"/>
    <mergeCell ref="F26:I26"/>
    <mergeCell ref="F31:G31"/>
    <mergeCell ref="H31:I31"/>
    <mergeCell ref="F41:G41"/>
    <mergeCell ref="H41:I41"/>
    <mergeCell ref="F42:G42"/>
    <mergeCell ref="A26:D26"/>
    <mergeCell ref="A31:B31"/>
    <mergeCell ref="C31:D31"/>
    <mergeCell ref="A41:B41"/>
    <mergeCell ref="C41:D41"/>
    <mergeCell ref="A42:B42"/>
    <mergeCell ref="C42:D42"/>
    <mergeCell ref="P19:Q19"/>
    <mergeCell ref="R19:S19"/>
    <mergeCell ref="P21:Q21"/>
    <mergeCell ref="R21:S21"/>
    <mergeCell ref="A24:D24"/>
    <mergeCell ref="A25:D25"/>
    <mergeCell ref="K19:L19"/>
    <mergeCell ref="M19:N19"/>
    <mergeCell ref="K21:L21"/>
    <mergeCell ref="M21:N21"/>
    <mergeCell ref="A19:B19"/>
    <mergeCell ref="C19:D19"/>
    <mergeCell ref="A21:B21"/>
    <mergeCell ref="C21:D21"/>
    <mergeCell ref="P24:S24"/>
    <mergeCell ref="P25:S25"/>
    <mergeCell ref="P26:S26"/>
    <mergeCell ref="P1:S1"/>
    <mergeCell ref="P2:S2"/>
    <mergeCell ref="P3:S3"/>
    <mergeCell ref="P8:Q8"/>
    <mergeCell ref="R8:S8"/>
    <mergeCell ref="P18:Q18"/>
    <mergeCell ref="R18:S18"/>
    <mergeCell ref="K18:L18"/>
    <mergeCell ref="M18:N18"/>
    <mergeCell ref="F21:G21"/>
    <mergeCell ref="H21:I21"/>
    <mergeCell ref="K1:N1"/>
    <mergeCell ref="K2:N2"/>
    <mergeCell ref="K3:N3"/>
    <mergeCell ref="K8:L8"/>
    <mergeCell ref="M8:N8"/>
    <mergeCell ref="F1:I1"/>
    <mergeCell ref="F2:I2"/>
    <mergeCell ref="F3:I3"/>
    <mergeCell ref="F8:G8"/>
    <mergeCell ref="H8:I8"/>
    <mergeCell ref="F18:G18"/>
    <mergeCell ref="A1:D1"/>
    <mergeCell ref="A2:D2"/>
    <mergeCell ref="A3:D3"/>
    <mergeCell ref="A8:B8"/>
    <mergeCell ref="C8:D8"/>
    <mergeCell ref="A18:B18"/>
    <mergeCell ref="C18:D18"/>
    <mergeCell ref="H18:I18"/>
    <mergeCell ref="F19:G19"/>
    <mergeCell ref="H19:I19"/>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B3542-C52D-47AE-AE70-7EAF51E5219E}">
  <sheetPr codeName="Sheet2"/>
  <dimension ref="A1:X180"/>
  <sheetViews>
    <sheetView tabSelected="1" workbookViewId="0">
      <selection activeCell="L16" sqref="L16"/>
    </sheetView>
  </sheetViews>
  <sheetFormatPr defaultRowHeight="15" x14ac:dyDescent="0.25"/>
  <cols>
    <col min="1" max="1" width="8.42578125" bestFit="1" customWidth="1"/>
    <col min="2" max="2" width="28.28515625" bestFit="1" customWidth="1"/>
    <col min="3" max="3" width="11.5703125" bestFit="1" customWidth="1"/>
    <col min="4" max="4" width="14.85546875" bestFit="1" customWidth="1"/>
    <col min="5" max="5" width="14.85546875" customWidth="1"/>
    <col min="6" max="6" width="4.42578125" bestFit="1" customWidth="1"/>
    <col min="7" max="7" width="15.7109375" bestFit="1" customWidth="1"/>
    <col min="8" max="8" width="14.42578125" bestFit="1" customWidth="1"/>
    <col min="9" max="9" width="15.42578125" bestFit="1" customWidth="1"/>
    <col min="10" max="10" width="15.42578125" customWidth="1"/>
    <col min="11" max="11" width="20.28515625" bestFit="1" customWidth="1"/>
    <col min="12" max="12" width="12" bestFit="1" customWidth="1"/>
    <col min="13" max="13" width="29.7109375" bestFit="1" customWidth="1"/>
    <col min="14" max="14" width="15.42578125" bestFit="1" customWidth="1"/>
    <col min="15" max="15" width="8.42578125" bestFit="1" customWidth="1"/>
    <col min="16" max="16" width="24.28515625" bestFit="1" customWidth="1"/>
    <col min="17" max="17" width="14.85546875" bestFit="1" customWidth="1"/>
    <col min="18" max="18" width="10.28515625" bestFit="1" customWidth="1"/>
    <col min="19" max="20" width="9.85546875" bestFit="1" customWidth="1"/>
    <col min="21" max="21" width="8.28515625" bestFit="1" customWidth="1"/>
    <col min="22" max="22" width="12" bestFit="1" customWidth="1"/>
    <col min="23" max="23" width="8.42578125" bestFit="1" customWidth="1"/>
    <col min="24" max="24" width="20.5703125" bestFit="1" customWidth="1"/>
  </cols>
  <sheetData>
    <row r="1" spans="1:24" x14ac:dyDescent="0.25">
      <c r="A1" s="21" t="s">
        <v>46</v>
      </c>
      <c r="B1" s="21" t="s">
        <v>47</v>
      </c>
      <c r="C1" s="21" t="s">
        <v>1378</v>
      </c>
      <c r="D1" s="21" t="s">
        <v>48</v>
      </c>
      <c r="E1" s="21" t="s">
        <v>552</v>
      </c>
      <c r="F1" s="21" t="s">
        <v>1379</v>
      </c>
      <c r="G1" s="21" t="s">
        <v>49</v>
      </c>
      <c r="H1" s="21" t="s">
        <v>50</v>
      </c>
      <c r="I1" s="21" t="s">
        <v>51</v>
      </c>
      <c r="J1" s="21" t="s">
        <v>1299</v>
      </c>
      <c r="K1" s="21" t="s">
        <v>52</v>
      </c>
      <c r="L1" s="21" t="s">
        <v>53</v>
      </c>
      <c r="M1" s="21" t="s">
        <v>54</v>
      </c>
      <c r="N1" s="229" t="s">
        <v>1203</v>
      </c>
      <c r="O1" s="229" t="s">
        <v>8</v>
      </c>
      <c r="P1" s="21" t="s">
        <v>10</v>
      </c>
      <c r="Q1" s="21" t="s">
        <v>1880</v>
      </c>
      <c r="R1" s="21" t="s">
        <v>1882</v>
      </c>
    </row>
    <row r="2" spans="1:24" x14ac:dyDescent="0.25">
      <c r="A2" s="1" t="s">
        <v>55</v>
      </c>
      <c r="B2" s="1" t="s">
        <v>56</v>
      </c>
      <c r="C2" s="1" t="s">
        <v>1380</v>
      </c>
      <c r="D2" s="1" t="s">
        <v>256</v>
      </c>
      <c r="E2" s="1" t="str">
        <f>IF(D2="","",IFERROR(INDEX(NameGender!$B$2:$B$90,MATCH(LOWER(TRIM(D2)),NameGender!$A$2:$A$90,0)),"Unknown"))</f>
        <v>Male</v>
      </c>
      <c r="F2" s="1">
        <v>46</v>
      </c>
      <c r="G2" s="1" t="s">
        <v>1205</v>
      </c>
      <c r="H2" s="1" t="s">
        <v>1206</v>
      </c>
      <c r="I2" s="1" t="s">
        <v>60</v>
      </c>
      <c r="J2" s="1" t="s">
        <v>2066</v>
      </c>
      <c r="K2" s="1" t="s">
        <v>61</v>
      </c>
      <c r="L2" s="1" t="s">
        <v>62</v>
      </c>
      <c r="M2" s="2" t="s">
        <v>63</v>
      </c>
      <c r="N2" s="230">
        <v>32990</v>
      </c>
      <c r="O2" s="1">
        <v>11</v>
      </c>
      <c r="P2" s="230">
        <v>362890</v>
      </c>
      <c r="Q2" s="236">
        <f>P2*70%</f>
        <v>254022.99999999997</v>
      </c>
      <c r="R2" s="236">
        <f>P2-Q2</f>
        <v>108867.00000000003</v>
      </c>
    </row>
    <row r="3" spans="1:24" x14ac:dyDescent="0.25">
      <c r="A3" s="1" t="s">
        <v>64</v>
      </c>
      <c r="B3" s="1" t="s">
        <v>65</v>
      </c>
      <c r="C3" s="1" t="s">
        <v>1381</v>
      </c>
      <c r="D3" s="1" t="s">
        <v>1141</v>
      </c>
      <c r="E3" s="1" t="str">
        <f>IF(D3="","",IFERROR(INDEX(NameGender!$B$2:$B$90,MATCH(LOWER(TRIM(D3)),NameGender!$A$2:$A$90,0)),"Unknown"))</f>
        <v>Female</v>
      </c>
      <c r="F3" s="1">
        <v>22</v>
      </c>
      <c r="G3" s="1" t="s">
        <v>1295</v>
      </c>
      <c r="H3" s="1" t="s">
        <v>1296</v>
      </c>
      <c r="I3" s="1" t="s">
        <v>67</v>
      </c>
      <c r="J3" s="1" t="s">
        <v>2067</v>
      </c>
      <c r="K3" s="1" t="s">
        <v>68</v>
      </c>
      <c r="L3" s="1" t="s">
        <v>1207</v>
      </c>
      <c r="M3" s="2" t="s">
        <v>1208</v>
      </c>
      <c r="N3" s="230">
        <v>4990</v>
      </c>
      <c r="O3" s="1">
        <v>13</v>
      </c>
      <c r="P3" s="230">
        <v>64870</v>
      </c>
      <c r="Q3" s="236">
        <f t="shared" ref="Q3:Q66" si="0">P3*70%</f>
        <v>45409</v>
      </c>
      <c r="R3" s="236">
        <f t="shared" ref="R3:R66" si="1">P3-Q3</f>
        <v>19461</v>
      </c>
    </row>
    <row r="4" spans="1:24" x14ac:dyDescent="0.25">
      <c r="A4" s="1" t="s">
        <v>71</v>
      </c>
      <c r="B4" s="1" t="s">
        <v>72</v>
      </c>
      <c r="C4" s="1" t="s">
        <v>1382</v>
      </c>
      <c r="D4" s="1" t="s">
        <v>329</v>
      </c>
      <c r="E4" s="1" t="str">
        <f>IF(D4="","",IFERROR(INDEX(NameGender!$B$2:$B$90,MATCH(LOWER(TRIM(D4)),NameGender!$A$2:$A$90,0)),"Unknown"))</f>
        <v>Male</v>
      </c>
      <c r="F4" s="1">
        <v>58</v>
      </c>
      <c r="G4" s="1" t="s">
        <v>481</v>
      </c>
      <c r="H4" s="1" t="s">
        <v>2245</v>
      </c>
      <c r="I4" s="1" t="s">
        <v>74</v>
      </c>
      <c r="J4" s="1" t="s">
        <v>2068</v>
      </c>
      <c r="K4" s="1" t="s">
        <v>1</v>
      </c>
      <c r="L4" s="1" t="s">
        <v>75</v>
      </c>
      <c r="M4" s="2" t="s">
        <v>76</v>
      </c>
      <c r="N4" s="230">
        <v>650</v>
      </c>
      <c r="O4" s="1">
        <v>26</v>
      </c>
      <c r="P4" s="230">
        <v>16900</v>
      </c>
      <c r="Q4" s="236">
        <f t="shared" si="0"/>
        <v>11830</v>
      </c>
      <c r="R4" s="236">
        <f t="shared" si="1"/>
        <v>5070</v>
      </c>
    </row>
    <row r="5" spans="1:24" x14ac:dyDescent="0.25">
      <c r="A5" s="1" t="s">
        <v>77</v>
      </c>
      <c r="B5" s="1" t="s">
        <v>78</v>
      </c>
      <c r="C5" s="1" t="s">
        <v>1383</v>
      </c>
      <c r="D5" s="1" t="s">
        <v>329</v>
      </c>
      <c r="E5" s="1" t="str">
        <f>IF(D5="","",IFERROR(INDEX(NameGender!$B$2:$B$90,MATCH(LOWER(TRIM(D5)),NameGender!$A$2:$A$90,0)),"Unknown"))</f>
        <v>Male</v>
      </c>
      <c r="F5" s="1">
        <v>43</v>
      </c>
      <c r="G5" s="1" t="s">
        <v>2535</v>
      </c>
      <c r="H5" s="1" t="s">
        <v>2536</v>
      </c>
      <c r="I5" s="1" t="s">
        <v>60</v>
      </c>
      <c r="J5" s="1" t="s">
        <v>2069</v>
      </c>
      <c r="K5" s="1" t="s">
        <v>80</v>
      </c>
      <c r="L5" s="1" t="s">
        <v>1212</v>
      </c>
      <c r="M5" s="2" t="s">
        <v>1213</v>
      </c>
      <c r="N5" s="230">
        <v>84990</v>
      </c>
      <c r="O5" s="1">
        <v>12</v>
      </c>
      <c r="P5" s="230">
        <v>1019880</v>
      </c>
      <c r="Q5" s="236">
        <f t="shared" si="0"/>
        <v>713916</v>
      </c>
      <c r="R5" s="236">
        <f t="shared" si="1"/>
        <v>305964</v>
      </c>
    </row>
    <row r="6" spans="1:24" x14ac:dyDescent="0.25">
      <c r="A6" s="1" t="s">
        <v>83</v>
      </c>
      <c r="B6" s="1" t="s">
        <v>84</v>
      </c>
      <c r="C6" s="1" t="s">
        <v>1384</v>
      </c>
      <c r="D6" s="1" t="s">
        <v>231</v>
      </c>
      <c r="E6" s="1" t="str">
        <f>IF(D6="","",IFERROR(INDEX(NameGender!$B$2:$B$90,MATCH(LOWER(TRIM(D6)),NameGender!$A$2:$A$90,0)),"Unknown"))</f>
        <v>Male</v>
      </c>
      <c r="F6" s="1">
        <v>24</v>
      </c>
      <c r="G6" s="1" t="s">
        <v>1210</v>
      </c>
      <c r="H6" s="1" t="s">
        <v>1211</v>
      </c>
      <c r="I6" s="1" t="s">
        <v>86</v>
      </c>
      <c r="J6" s="1" t="s">
        <v>2070</v>
      </c>
      <c r="K6" s="1" t="s">
        <v>87</v>
      </c>
      <c r="L6" s="1" t="s">
        <v>88</v>
      </c>
      <c r="M6" s="2" t="s">
        <v>89</v>
      </c>
      <c r="N6" s="230">
        <v>320</v>
      </c>
      <c r="O6" s="1">
        <v>27</v>
      </c>
      <c r="P6" s="230">
        <v>8640</v>
      </c>
      <c r="Q6" s="236">
        <f t="shared" si="0"/>
        <v>6048</v>
      </c>
      <c r="R6" s="236">
        <f t="shared" si="1"/>
        <v>2592</v>
      </c>
    </row>
    <row r="7" spans="1:24" x14ac:dyDescent="0.25">
      <c r="A7" s="1" t="s">
        <v>90</v>
      </c>
      <c r="B7" s="1" t="s">
        <v>91</v>
      </c>
      <c r="C7" s="1" t="s">
        <v>1385</v>
      </c>
      <c r="D7" s="1" t="s">
        <v>117</v>
      </c>
      <c r="E7" s="1" t="str">
        <f>IF(D7="","",IFERROR(INDEX(NameGender!$B$2:$B$90,MATCH(LOWER(TRIM(D7)),NameGender!$A$2:$A$90,0)),"Unknown"))</f>
        <v>Male</v>
      </c>
      <c r="F7" s="1">
        <v>58</v>
      </c>
      <c r="G7" s="1" t="s">
        <v>1205</v>
      </c>
      <c r="H7" s="1" t="s">
        <v>1206</v>
      </c>
      <c r="I7" s="1" t="s">
        <v>60</v>
      </c>
      <c r="J7" s="1" t="s">
        <v>2071</v>
      </c>
      <c r="K7" s="1" t="s">
        <v>93</v>
      </c>
      <c r="L7" s="1" t="s">
        <v>94</v>
      </c>
      <c r="M7" s="2" t="s">
        <v>95</v>
      </c>
      <c r="N7" s="230">
        <v>799</v>
      </c>
      <c r="O7" s="1">
        <v>33</v>
      </c>
      <c r="P7" s="230">
        <v>26367</v>
      </c>
      <c r="Q7" s="236">
        <f t="shared" si="0"/>
        <v>18456.899999999998</v>
      </c>
      <c r="R7" s="236">
        <f t="shared" si="1"/>
        <v>7910.1000000000022</v>
      </c>
    </row>
    <row r="8" spans="1:24" x14ac:dyDescent="0.25">
      <c r="A8" s="1" t="s">
        <v>96</v>
      </c>
      <c r="B8" s="1" t="s">
        <v>97</v>
      </c>
      <c r="C8" s="1" t="s">
        <v>1386</v>
      </c>
      <c r="D8" s="1" t="s">
        <v>237</v>
      </c>
      <c r="E8" s="1" t="str">
        <f>IF(D8="","",IFERROR(INDEX(NameGender!$B$2:$B$90,MATCH(LOWER(TRIM(D8)),NameGender!$A$2:$A$90,0)),"Unknown"))</f>
        <v>Male</v>
      </c>
      <c r="F8" s="1">
        <v>48</v>
      </c>
      <c r="G8" s="1" t="s">
        <v>477</v>
      </c>
      <c r="H8" s="1" t="s">
        <v>2246</v>
      </c>
      <c r="I8" s="1" t="s">
        <v>74</v>
      </c>
      <c r="J8" s="1" t="s">
        <v>2072</v>
      </c>
      <c r="K8" s="1" t="s">
        <v>99</v>
      </c>
      <c r="L8" s="1" t="s">
        <v>1216</v>
      </c>
      <c r="M8" s="2" t="s">
        <v>1217</v>
      </c>
      <c r="N8" s="230">
        <v>480</v>
      </c>
      <c r="O8" s="1">
        <v>42</v>
      </c>
      <c r="P8" s="230">
        <v>20160</v>
      </c>
      <c r="Q8" s="236">
        <f t="shared" si="0"/>
        <v>14112</v>
      </c>
      <c r="R8" s="236">
        <f t="shared" si="1"/>
        <v>6048</v>
      </c>
    </row>
    <row r="9" spans="1:24" x14ac:dyDescent="0.25">
      <c r="A9" s="1" t="s">
        <v>102</v>
      </c>
      <c r="B9" s="1" t="s">
        <v>103</v>
      </c>
      <c r="C9" s="1" t="s">
        <v>1387</v>
      </c>
      <c r="D9" s="1" t="s">
        <v>317</v>
      </c>
      <c r="E9" s="1" t="str">
        <f>IF(D9="","",IFERROR(INDEX(NameGender!$B$2:$B$90,MATCH(LOWER(TRIM(D9)),NameGender!$A$2:$A$90,0)),"Unknown"))</f>
        <v>Male</v>
      </c>
      <c r="F9" s="1">
        <v>36</v>
      </c>
      <c r="G9" s="1" t="s">
        <v>1239</v>
      </c>
      <c r="H9" s="1" t="s">
        <v>2247</v>
      </c>
      <c r="I9" s="1" t="s">
        <v>105</v>
      </c>
      <c r="J9" s="1" t="s">
        <v>2073</v>
      </c>
      <c r="K9" s="1" t="s">
        <v>106</v>
      </c>
      <c r="L9" s="1" t="s">
        <v>107</v>
      </c>
      <c r="M9" s="2" t="s">
        <v>108</v>
      </c>
      <c r="N9" s="230">
        <v>86486</v>
      </c>
      <c r="O9" s="1">
        <v>4</v>
      </c>
      <c r="P9" s="230">
        <v>345944</v>
      </c>
      <c r="Q9" s="236">
        <f t="shared" si="0"/>
        <v>242160.8</v>
      </c>
      <c r="R9" s="236">
        <f t="shared" si="1"/>
        <v>103783.20000000001</v>
      </c>
    </row>
    <row r="10" spans="1:24" x14ac:dyDescent="0.25">
      <c r="A10" s="1" t="s">
        <v>109</v>
      </c>
      <c r="B10" s="1" t="s">
        <v>110</v>
      </c>
      <c r="C10" s="1" t="s">
        <v>1388</v>
      </c>
      <c r="D10" s="1" t="s">
        <v>117</v>
      </c>
      <c r="E10" s="1" t="str">
        <f>IF(D10="","",IFERROR(INDEX(NameGender!$B$2:$B$90,MATCH(LOWER(TRIM(D10)),NameGender!$A$2:$A$90,0)),"Unknown"))</f>
        <v>Male</v>
      </c>
      <c r="F10" s="1">
        <v>22</v>
      </c>
      <c r="G10" s="1" t="s">
        <v>1205</v>
      </c>
      <c r="H10" s="1" t="s">
        <v>1206</v>
      </c>
      <c r="I10" s="1" t="s">
        <v>112</v>
      </c>
      <c r="J10" s="1" t="s">
        <v>2074</v>
      </c>
      <c r="K10" s="1" t="s">
        <v>113</v>
      </c>
      <c r="L10" s="1" t="s">
        <v>1221</v>
      </c>
      <c r="M10" s="2" t="s">
        <v>1222</v>
      </c>
      <c r="N10" s="230">
        <v>1860705</v>
      </c>
      <c r="O10" s="1">
        <v>5</v>
      </c>
      <c r="P10" s="230">
        <v>9303525</v>
      </c>
      <c r="Q10" s="236">
        <f t="shared" si="0"/>
        <v>6512467.5</v>
      </c>
      <c r="R10" s="236">
        <f t="shared" si="1"/>
        <v>2791057.5</v>
      </c>
    </row>
    <row r="11" spans="1:24" x14ac:dyDescent="0.25">
      <c r="A11" s="1" t="s">
        <v>115</v>
      </c>
      <c r="B11" s="1" t="s">
        <v>116</v>
      </c>
      <c r="C11" s="1" t="s">
        <v>1389</v>
      </c>
      <c r="D11" s="1" t="s">
        <v>1120</v>
      </c>
      <c r="E11" s="1" t="str">
        <f>IF(D11="","",IFERROR(INDEX(NameGender!$B$2:$B$90,MATCH(LOWER(TRIM(D11)),NameGender!$A$2:$A$90,0)),"Unknown"))</f>
        <v>Male</v>
      </c>
      <c r="F11" s="1">
        <v>38</v>
      </c>
      <c r="G11" s="1" t="s">
        <v>1266</v>
      </c>
      <c r="H11" s="1" t="s">
        <v>1267</v>
      </c>
      <c r="I11" s="1" t="s">
        <v>118</v>
      </c>
      <c r="J11" s="1" t="s">
        <v>2075</v>
      </c>
      <c r="K11" s="1" t="s">
        <v>119</v>
      </c>
      <c r="L11" s="1" t="s">
        <v>120</v>
      </c>
      <c r="M11" s="2" t="s">
        <v>121</v>
      </c>
      <c r="N11" s="230">
        <v>450</v>
      </c>
      <c r="O11" s="1">
        <v>11</v>
      </c>
      <c r="P11" s="230">
        <v>4950</v>
      </c>
      <c r="Q11" s="236">
        <f t="shared" si="0"/>
        <v>3465</v>
      </c>
      <c r="R11" s="236">
        <f t="shared" si="1"/>
        <v>1485</v>
      </c>
    </row>
    <row r="12" spans="1:24" x14ac:dyDescent="0.25">
      <c r="A12" s="1" t="s">
        <v>122</v>
      </c>
      <c r="B12" s="1" t="s">
        <v>123</v>
      </c>
      <c r="C12" s="1" t="s">
        <v>1390</v>
      </c>
      <c r="D12" s="1" t="s">
        <v>202</v>
      </c>
      <c r="E12" s="1" t="str">
        <f>IF(D12="","",IFERROR(INDEX(NameGender!$B$2:$B$90,MATCH(LOWER(TRIM(D12)),NameGender!$A$2:$A$90,0)),"Unknown"))</f>
        <v>Male</v>
      </c>
      <c r="F12" s="1">
        <v>44</v>
      </c>
      <c r="G12" s="1" t="s">
        <v>1280</v>
      </c>
      <c r="H12" s="1" t="s">
        <v>2530</v>
      </c>
      <c r="I12" s="1" t="s">
        <v>60</v>
      </c>
      <c r="J12" s="1" t="s">
        <v>2076</v>
      </c>
      <c r="K12" s="1" t="s">
        <v>125</v>
      </c>
      <c r="L12" s="1" t="s">
        <v>1226</v>
      </c>
      <c r="M12" s="2" t="s">
        <v>1227</v>
      </c>
      <c r="N12" s="230">
        <v>62990</v>
      </c>
      <c r="O12" s="1">
        <v>32</v>
      </c>
      <c r="P12" s="230">
        <v>2015680</v>
      </c>
      <c r="Q12" s="236">
        <f t="shared" si="0"/>
        <v>1410976</v>
      </c>
      <c r="R12" s="236">
        <f t="shared" si="1"/>
        <v>604704</v>
      </c>
    </row>
    <row r="13" spans="1:24" x14ac:dyDescent="0.25">
      <c r="A13" s="1" t="s">
        <v>127</v>
      </c>
      <c r="B13" s="1" t="s">
        <v>128</v>
      </c>
      <c r="C13" s="1" t="s">
        <v>1391</v>
      </c>
      <c r="D13" s="1" t="s">
        <v>2520</v>
      </c>
      <c r="E13" s="1" t="str">
        <f>IF(D13="","",IFERROR(INDEX(NameGender!$B$2:$B$90,MATCH(LOWER(TRIM(D13)),NameGender!$A$2:$A$90,0)),"Unknown"))</f>
        <v>Male</v>
      </c>
      <c r="F13" s="1">
        <v>22</v>
      </c>
      <c r="G13" s="1" t="s">
        <v>1257</v>
      </c>
      <c r="H13" s="1" t="s">
        <v>2248</v>
      </c>
      <c r="I13" s="1" t="s">
        <v>60</v>
      </c>
      <c r="J13" s="1" t="s">
        <v>2077</v>
      </c>
      <c r="K13" s="1" t="s">
        <v>130</v>
      </c>
      <c r="L13" s="1" t="s">
        <v>131</v>
      </c>
      <c r="M13" s="2" t="s">
        <v>132</v>
      </c>
      <c r="N13" s="230">
        <v>2490</v>
      </c>
      <c r="O13" s="1">
        <v>8</v>
      </c>
      <c r="P13" s="230">
        <v>19920</v>
      </c>
      <c r="Q13" s="236">
        <f t="shared" si="0"/>
        <v>13944</v>
      </c>
      <c r="R13" s="236">
        <f t="shared" si="1"/>
        <v>5976</v>
      </c>
    </row>
    <row r="14" spans="1:24" x14ac:dyDescent="0.25">
      <c r="A14" s="1" t="s">
        <v>133</v>
      </c>
      <c r="B14" s="1" t="s">
        <v>134</v>
      </c>
      <c r="C14" s="1" t="s">
        <v>1392</v>
      </c>
      <c r="D14" s="1" t="s">
        <v>2521</v>
      </c>
      <c r="E14" s="1" t="str">
        <f>IF(D14="","",IFERROR(INDEX(NameGender!$B$2:$B$90,MATCH(LOWER(TRIM(D14)),NameGender!$A$2:$A$90,0)),"Unknown"))</f>
        <v>Female</v>
      </c>
      <c r="F14" s="1">
        <v>22</v>
      </c>
      <c r="G14" s="1" t="s">
        <v>58</v>
      </c>
      <c r="H14" s="1" t="s">
        <v>59</v>
      </c>
      <c r="I14" s="1" t="s">
        <v>136</v>
      </c>
      <c r="J14" s="1" t="s">
        <v>2078</v>
      </c>
      <c r="K14" s="1" t="s">
        <v>137</v>
      </c>
      <c r="L14" s="1" t="s">
        <v>138</v>
      </c>
      <c r="M14" s="2" t="s">
        <v>139</v>
      </c>
      <c r="N14" s="230">
        <v>1859134</v>
      </c>
      <c r="O14" s="390">
        <v>4</v>
      </c>
      <c r="P14" s="230">
        <v>7436536</v>
      </c>
      <c r="Q14" s="236">
        <f t="shared" si="0"/>
        <v>5205575.1999999993</v>
      </c>
      <c r="R14" s="236">
        <f t="shared" si="1"/>
        <v>2230960.8000000007</v>
      </c>
      <c r="S14" s="228"/>
      <c r="T14" s="228"/>
      <c r="U14" s="228"/>
      <c r="V14" s="228"/>
      <c r="W14" s="228"/>
      <c r="X14" s="228"/>
    </row>
    <row r="15" spans="1:24" x14ac:dyDescent="0.25">
      <c r="A15" s="1" t="s">
        <v>140</v>
      </c>
      <c r="B15" s="1" t="s">
        <v>141</v>
      </c>
      <c r="C15" s="1" t="s">
        <v>1393</v>
      </c>
      <c r="D15" s="1" t="s">
        <v>117</v>
      </c>
      <c r="E15" s="1" t="str">
        <f>IF(D15="","",IFERROR(INDEX(NameGender!$B$2:$B$90,MATCH(LOWER(TRIM(D15)),NameGender!$A$2:$A$90,0)),"Unknown"))</f>
        <v>Male</v>
      </c>
      <c r="F15" s="1">
        <v>54</v>
      </c>
      <c r="G15" s="1" t="s">
        <v>481</v>
      </c>
      <c r="H15" s="1" t="s">
        <v>1215</v>
      </c>
      <c r="I15" s="1" t="s">
        <v>118</v>
      </c>
      <c r="J15" s="1" t="s">
        <v>2079</v>
      </c>
      <c r="K15" s="1" t="s">
        <v>143</v>
      </c>
      <c r="L15" s="1" t="s">
        <v>1231</v>
      </c>
      <c r="M15" s="2" t="s">
        <v>1232</v>
      </c>
      <c r="N15" s="230">
        <v>450</v>
      </c>
      <c r="O15" s="1">
        <v>14</v>
      </c>
      <c r="P15" s="230">
        <v>6300</v>
      </c>
      <c r="Q15" s="236">
        <f t="shared" si="0"/>
        <v>4410</v>
      </c>
      <c r="R15" s="236">
        <f t="shared" si="1"/>
        <v>1890</v>
      </c>
      <c r="W15" s="50"/>
    </row>
    <row r="16" spans="1:24" x14ac:dyDescent="0.25">
      <c r="A16" s="1" t="s">
        <v>146</v>
      </c>
      <c r="B16" s="1" t="s">
        <v>147</v>
      </c>
      <c r="C16" s="1" t="s">
        <v>1394</v>
      </c>
      <c r="D16" s="1" t="s">
        <v>329</v>
      </c>
      <c r="E16" s="1" t="str">
        <f>IF(D16="","",IFERROR(INDEX(NameGender!$B$2:$B$90,MATCH(LOWER(TRIM(D16)),NameGender!$A$2:$A$90,0)),"Unknown"))</f>
        <v>Male</v>
      </c>
      <c r="F16" s="1">
        <v>49</v>
      </c>
      <c r="G16" s="1" t="s">
        <v>2531</v>
      </c>
      <c r="H16" s="1" t="s">
        <v>2532</v>
      </c>
      <c r="I16" s="1" t="s">
        <v>67</v>
      </c>
      <c r="J16" s="1" t="s">
        <v>2080</v>
      </c>
      <c r="K16" s="1" t="s">
        <v>149</v>
      </c>
      <c r="L16" s="1" t="s">
        <v>79</v>
      </c>
      <c r="M16" s="2" t="s">
        <v>150</v>
      </c>
      <c r="N16" s="230">
        <v>2890</v>
      </c>
      <c r="O16" s="1">
        <v>15</v>
      </c>
      <c r="P16" s="230">
        <v>43350</v>
      </c>
      <c r="Q16" s="236">
        <f t="shared" si="0"/>
        <v>30344.999999999996</v>
      </c>
      <c r="R16" s="236">
        <f t="shared" si="1"/>
        <v>13005.000000000004</v>
      </c>
      <c r="S16" s="3"/>
    </row>
    <row r="17" spans="1:18" x14ac:dyDescent="0.25">
      <c r="A17" s="1" t="s">
        <v>151</v>
      </c>
      <c r="B17" s="1" t="s">
        <v>152</v>
      </c>
      <c r="C17" s="1" t="s">
        <v>1395</v>
      </c>
      <c r="D17" s="1" t="s">
        <v>219</v>
      </c>
      <c r="E17" s="1" t="str">
        <f>IF(D17="","",IFERROR(INDEX(NameGender!$B$2:$B$90,MATCH(LOWER(TRIM(D17)),NameGender!$A$2:$A$90,0)),"Unknown"))</f>
        <v>Male</v>
      </c>
      <c r="F17" s="1">
        <v>50</v>
      </c>
      <c r="G17" s="1" t="s">
        <v>477</v>
      </c>
      <c r="H17" s="1" t="s">
        <v>2250</v>
      </c>
      <c r="I17" s="1" t="s">
        <v>67</v>
      </c>
      <c r="J17" s="1" t="s">
        <v>2081</v>
      </c>
      <c r="K17" s="1" t="s">
        <v>154</v>
      </c>
      <c r="L17" s="1" t="s">
        <v>155</v>
      </c>
      <c r="M17" s="2" t="s">
        <v>156</v>
      </c>
      <c r="N17" s="230">
        <v>890</v>
      </c>
      <c r="O17" s="1">
        <v>24</v>
      </c>
      <c r="P17" s="230">
        <v>21360</v>
      </c>
      <c r="Q17" s="236">
        <f t="shared" si="0"/>
        <v>14951.999999999998</v>
      </c>
      <c r="R17" s="236">
        <f t="shared" si="1"/>
        <v>6408.0000000000018</v>
      </c>
    </row>
    <row r="18" spans="1:18" x14ac:dyDescent="0.25">
      <c r="A18" s="1" t="s">
        <v>157</v>
      </c>
      <c r="B18" s="1" t="s">
        <v>158</v>
      </c>
      <c r="C18" s="1" t="s">
        <v>1396</v>
      </c>
      <c r="D18" s="1" t="s">
        <v>306</v>
      </c>
      <c r="E18" s="1" t="str">
        <f>IF(D18="","",IFERROR(INDEX(NameGender!$B$2:$B$90,MATCH(LOWER(TRIM(D18)),NameGender!$A$2:$A$90,0)),"Unknown"))</f>
        <v>Male</v>
      </c>
      <c r="F18" s="1">
        <v>25</v>
      </c>
      <c r="G18" s="1" t="s">
        <v>2531</v>
      </c>
      <c r="H18" s="1" t="s">
        <v>2532</v>
      </c>
      <c r="I18" s="1" t="s">
        <v>160</v>
      </c>
      <c r="J18" s="1" t="s">
        <v>2082</v>
      </c>
      <c r="K18" s="1" t="s">
        <v>161</v>
      </c>
      <c r="L18" s="1" t="s">
        <v>1236</v>
      </c>
      <c r="M18" s="2" t="s">
        <v>1237</v>
      </c>
      <c r="N18" s="230">
        <v>699</v>
      </c>
      <c r="O18" s="1">
        <v>12</v>
      </c>
      <c r="P18" s="230">
        <v>8388</v>
      </c>
      <c r="Q18" s="236">
        <f t="shared" si="0"/>
        <v>5871.5999999999995</v>
      </c>
      <c r="R18" s="236">
        <f t="shared" si="1"/>
        <v>2516.4000000000005</v>
      </c>
    </row>
    <row r="19" spans="1:18" x14ac:dyDescent="0.25">
      <c r="A19" s="1" t="s">
        <v>164</v>
      </c>
      <c r="B19" s="1" t="s">
        <v>165</v>
      </c>
      <c r="C19" s="1" t="s">
        <v>1397</v>
      </c>
      <c r="D19" s="1" t="s">
        <v>1146</v>
      </c>
      <c r="E19" s="1" t="str">
        <f>IF(D19="","",IFERROR(INDEX(NameGender!$B$2:$B$90,MATCH(LOWER(TRIM(D19)),NameGender!$A$2:$A$90,0)),"Unknown"))</f>
        <v>Male</v>
      </c>
      <c r="F19" s="1">
        <v>24</v>
      </c>
      <c r="G19" s="1" t="s">
        <v>481</v>
      </c>
      <c r="H19" s="1" t="s">
        <v>2245</v>
      </c>
      <c r="I19" s="1" t="s">
        <v>160</v>
      </c>
      <c r="J19" s="1" t="s">
        <v>2083</v>
      </c>
      <c r="K19" s="1" t="s">
        <v>167</v>
      </c>
      <c r="L19" s="1" t="s">
        <v>168</v>
      </c>
      <c r="M19" s="2" t="s">
        <v>169</v>
      </c>
      <c r="N19" s="230">
        <v>890</v>
      </c>
      <c r="O19" s="1">
        <v>9</v>
      </c>
      <c r="P19" s="230">
        <v>8010</v>
      </c>
      <c r="Q19" s="236">
        <f t="shared" si="0"/>
        <v>5607</v>
      </c>
      <c r="R19" s="236">
        <f t="shared" si="1"/>
        <v>2403</v>
      </c>
    </row>
    <row r="20" spans="1:18" x14ac:dyDescent="0.25">
      <c r="A20" s="1" t="s">
        <v>170</v>
      </c>
      <c r="B20" s="1" t="s">
        <v>171</v>
      </c>
      <c r="C20" s="1" t="s">
        <v>1398</v>
      </c>
      <c r="D20" s="1" t="s">
        <v>352</v>
      </c>
      <c r="E20" s="1" t="str">
        <f>IF(D20="","",IFERROR(INDEX(NameGender!$B$2:$B$90,MATCH(LOWER(TRIM(D20)),NameGender!$A$2:$A$90,0)),"Unknown"))</f>
        <v>Male</v>
      </c>
      <c r="F20" s="1">
        <v>32</v>
      </c>
      <c r="G20" s="1" t="s">
        <v>2531</v>
      </c>
      <c r="H20" s="1" t="s">
        <v>2532</v>
      </c>
      <c r="I20" s="1" t="s">
        <v>74</v>
      </c>
      <c r="J20" s="1" t="s">
        <v>2084</v>
      </c>
      <c r="K20" s="1" t="s">
        <v>173</v>
      </c>
      <c r="L20" s="1" t="s">
        <v>174</v>
      </c>
      <c r="M20" s="2" t="s">
        <v>175</v>
      </c>
      <c r="N20" s="230">
        <v>650</v>
      </c>
      <c r="O20" s="1">
        <v>41</v>
      </c>
      <c r="P20" s="230">
        <v>26650</v>
      </c>
      <c r="Q20" s="236">
        <f t="shared" si="0"/>
        <v>18655</v>
      </c>
      <c r="R20" s="236">
        <f t="shared" si="1"/>
        <v>7995</v>
      </c>
    </row>
    <row r="21" spans="1:18" x14ac:dyDescent="0.25">
      <c r="A21" s="1" t="s">
        <v>176</v>
      </c>
      <c r="B21" s="1" t="s">
        <v>177</v>
      </c>
      <c r="C21" s="1" t="s">
        <v>1399</v>
      </c>
      <c r="D21" s="1" t="s">
        <v>178</v>
      </c>
      <c r="E21" s="1" t="str">
        <f>IF(D21="","",IFERROR(INDEX(NameGender!$B$2:$B$90,MATCH(LOWER(TRIM(D21)),NameGender!$A$2:$A$90,0)),"Unknown"))</f>
        <v>Male</v>
      </c>
      <c r="F21" s="1">
        <v>58</v>
      </c>
      <c r="G21" s="1" t="s">
        <v>1290</v>
      </c>
      <c r="H21" s="1" t="s">
        <v>1291</v>
      </c>
      <c r="I21" s="1" t="s">
        <v>60</v>
      </c>
      <c r="J21" s="1" t="s">
        <v>2085</v>
      </c>
      <c r="K21" s="1" t="s">
        <v>179</v>
      </c>
      <c r="L21" s="1" t="s">
        <v>1241</v>
      </c>
      <c r="M21" s="2" t="s">
        <v>1242</v>
      </c>
      <c r="N21" s="230">
        <v>324</v>
      </c>
      <c r="O21" s="1">
        <v>43</v>
      </c>
      <c r="P21" s="230">
        <v>13932</v>
      </c>
      <c r="Q21" s="236">
        <f t="shared" si="0"/>
        <v>9752.4</v>
      </c>
      <c r="R21" s="236">
        <f t="shared" si="1"/>
        <v>4179.6000000000004</v>
      </c>
    </row>
    <row r="22" spans="1:18" x14ac:dyDescent="0.25">
      <c r="A22" s="1" t="s">
        <v>182</v>
      </c>
      <c r="B22" s="1" t="s">
        <v>183</v>
      </c>
      <c r="C22" s="1" t="s">
        <v>1400</v>
      </c>
      <c r="D22" s="1" t="s">
        <v>329</v>
      </c>
      <c r="E22" s="1" t="str">
        <f>IF(D22="","",IFERROR(INDEX(NameGender!$B$2:$B$90,MATCH(LOWER(TRIM(D22)),NameGender!$A$2:$A$90,0)),"Unknown"))</f>
        <v>Male</v>
      </c>
      <c r="F22" s="1">
        <v>32</v>
      </c>
      <c r="G22" s="1" t="s">
        <v>1290</v>
      </c>
      <c r="H22" s="1" t="s">
        <v>1291</v>
      </c>
      <c r="I22" s="1" t="s">
        <v>118</v>
      </c>
      <c r="J22" s="1" t="s">
        <v>2086</v>
      </c>
      <c r="K22" s="1" t="s">
        <v>185</v>
      </c>
      <c r="L22" s="1" t="s">
        <v>186</v>
      </c>
      <c r="M22" s="2" t="s">
        <v>187</v>
      </c>
      <c r="N22" s="230">
        <v>6882</v>
      </c>
      <c r="O22" s="1">
        <v>15</v>
      </c>
      <c r="P22" s="230">
        <v>103230</v>
      </c>
      <c r="Q22" s="236">
        <f t="shared" si="0"/>
        <v>72261</v>
      </c>
      <c r="R22" s="236">
        <f t="shared" si="1"/>
        <v>30969</v>
      </c>
    </row>
    <row r="23" spans="1:18" x14ac:dyDescent="0.25">
      <c r="A23" s="1" t="s">
        <v>188</v>
      </c>
      <c r="B23" s="1" t="s">
        <v>189</v>
      </c>
      <c r="C23" s="1" t="s">
        <v>1401</v>
      </c>
      <c r="D23" s="1" t="s">
        <v>1131</v>
      </c>
      <c r="E23" s="1" t="str">
        <f>IF(D23="","",IFERROR(INDEX(NameGender!$B$2:$B$90,MATCH(LOWER(TRIM(D23)),NameGender!$A$2:$A$90,0)),"Unknown"))</f>
        <v>Female</v>
      </c>
      <c r="F23" s="1">
        <v>26</v>
      </c>
      <c r="G23" s="1" t="s">
        <v>2531</v>
      </c>
      <c r="H23" s="1" t="s">
        <v>2533</v>
      </c>
      <c r="I23" s="1" t="s">
        <v>191</v>
      </c>
      <c r="J23" s="1" t="s">
        <v>2087</v>
      </c>
      <c r="K23" s="1" t="s">
        <v>192</v>
      </c>
      <c r="L23" s="1" t="s">
        <v>193</v>
      </c>
      <c r="M23" s="2" t="s">
        <v>194</v>
      </c>
      <c r="N23" s="230">
        <v>1752</v>
      </c>
      <c r="O23" s="1">
        <v>15</v>
      </c>
      <c r="P23" s="230">
        <v>26280</v>
      </c>
      <c r="Q23" s="236">
        <f t="shared" si="0"/>
        <v>18396</v>
      </c>
      <c r="R23" s="236">
        <f t="shared" si="1"/>
        <v>7884</v>
      </c>
    </row>
    <row r="24" spans="1:18" x14ac:dyDescent="0.25">
      <c r="A24" s="1" t="s">
        <v>195</v>
      </c>
      <c r="B24" s="1" t="s">
        <v>196</v>
      </c>
      <c r="C24" s="1" t="s">
        <v>1402</v>
      </c>
      <c r="D24" s="1" t="s">
        <v>1122</v>
      </c>
      <c r="E24" s="1" t="str">
        <f>IF(D24="","",IFERROR(INDEX(NameGender!$B$2:$B$90,MATCH(LOWER(TRIM(D24)),NameGender!$A$2:$A$90,0)),"Unknown"))</f>
        <v>Female</v>
      </c>
      <c r="F24" s="1">
        <v>52</v>
      </c>
      <c r="G24" s="1" t="s">
        <v>2535</v>
      </c>
      <c r="H24" s="1" t="s">
        <v>2536</v>
      </c>
      <c r="I24" s="1" t="s">
        <v>191</v>
      </c>
      <c r="J24" s="1" t="s">
        <v>2088</v>
      </c>
      <c r="K24" s="1" t="s">
        <v>198</v>
      </c>
      <c r="L24" s="1" t="s">
        <v>1245</v>
      </c>
      <c r="M24" s="2" t="s">
        <v>1246</v>
      </c>
      <c r="N24" s="230">
        <v>4867</v>
      </c>
      <c r="O24" s="1">
        <v>17</v>
      </c>
      <c r="P24" s="230">
        <v>82739</v>
      </c>
      <c r="Q24" s="236">
        <f t="shared" si="0"/>
        <v>57917.299999999996</v>
      </c>
      <c r="R24" s="236">
        <f t="shared" si="1"/>
        <v>24821.700000000004</v>
      </c>
    </row>
    <row r="25" spans="1:18" x14ac:dyDescent="0.25">
      <c r="A25" s="1" t="s">
        <v>200</v>
      </c>
      <c r="B25" s="1" t="s">
        <v>201</v>
      </c>
      <c r="C25" s="1" t="s">
        <v>1403</v>
      </c>
      <c r="D25" s="1" t="s">
        <v>1118</v>
      </c>
      <c r="E25" s="1" t="str">
        <f>IF(D25="","",IFERROR(INDEX(NameGender!$B$2:$B$90,MATCH(LOWER(TRIM(D25)),NameGender!$A$2:$A$90,0)),"Unknown"))</f>
        <v>Female</v>
      </c>
      <c r="F25" s="1">
        <v>55</v>
      </c>
      <c r="G25" s="1" t="s">
        <v>477</v>
      </c>
      <c r="H25" s="1" t="s">
        <v>2250</v>
      </c>
      <c r="I25" s="1" t="s">
        <v>105</v>
      </c>
      <c r="J25" s="1" t="s">
        <v>2089</v>
      </c>
      <c r="K25" s="1" t="s">
        <v>203</v>
      </c>
      <c r="L25" s="1" t="s">
        <v>204</v>
      </c>
      <c r="M25" s="2" t="s">
        <v>205</v>
      </c>
      <c r="N25" s="230">
        <v>6526</v>
      </c>
      <c r="O25" s="1">
        <v>24</v>
      </c>
      <c r="P25" s="230">
        <v>156624</v>
      </c>
      <c r="Q25" s="236">
        <f t="shared" si="0"/>
        <v>109636.79999999999</v>
      </c>
      <c r="R25" s="236">
        <f t="shared" si="1"/>
        <v>46987.200000000012</v>
      </c>
    </row>
    <row r="26" spans="1:18" x14ac:dyDescent="0.25">
      <c r="A26" s="1" t="s">
        <v>206</v>
      </c>
      <c r="B26" s="1" t="s">
        <v>207</v>
      </c>
      <c r="C26" s="1" t="s">
        <v>1404</v>
      </c>
      <c r="D26" s="1" t="s">
        <v>317</v>
      </c>
      <c r="E26" s="1" t="str">
        <f>IF(D26="","",IFERROR(INDEX(NameGender!$B$2:$B$90,MATCH(LOWER(TRIM(D26)),NameGender!$A$2:$A$90,0)),"Unknown"))</f>
        <v>Male</v>
      </c>
      <c r="F26" s="1">
        <v>32</v>
      </c>
      <c r="G26" s="1" t="s">
        <v>2535</v>
      </c>
      <c r="H26" s="1" t="s">
        <v>2536</v>
      </c>
      <c r="I26" s="1" t="s">
        <v>160</v>
      </c>
      <c r="J26" s="1" t="s">
        <v>2090</v>
      </c>
      <c r="K26" s="1" t="s">
        <v>209</v>
      </c>
      <c r="L26" s="1" t="s">
        <v>210</v>
      </c>
      <c r="M26" s="2" t="s">
        <v>211</v>
      </c>
      <c r="N26" s="230">
        <v>5363</v>
      </c>
      <c r="O26" s="1">
        <v>24</v>
      </c>
      <c r="P26" s="230">
        <v>128712</v>
      </c>
      <c r="Q26" s="236">
        <f t="shared" si="0"/>
        <v>90098.4</v>
      </c>
      <c r="R26" s="236">
        <f t="shared" si="1"/>
        <v>38613.600000000006</v>
      </c>
    </row>
    <row r="27" spans="1:18" x14ac:dyDescent="0.25">
      <c r="A27" s="1" t="s">
        <v>212</v>
      </c>
      <c r="B27" s="1" t="s">
        <v>213</v>
      </c>
      <c r="C27" s="1" t="s">
        <v>1405</v>
      </c>
      <c r="D27" s="1" t="s">
        <v>225</v>
      </c>
      <c r="E27" s="1" t="str">
        <f>IF(D27="","",IFERROR(INDEX(NameGender!$B$2:$B$90,MATCH(LOWER(TRIM(D27)),NameGender!$A$2:$A$90,0)),"Unknown"))</f>
        <v>Male</v>
      </c>
      <c r="F27" s="1">
        <v>20</v>
      </c>
      <c r="G27" s="1" t="s">
        <v>477</v>
      </c>
      <c r="H27" s="1" t="s">
        <v>2246</v>
      </c>
      <c r="I27" s="1" t="s">
        <v>112</v>
      </c>
      <c r="J27" s="1" t="s">
        <v>2091</v>
      </c>
      <c r="K27" s="1" t="s">
        <v>215</v>
      </c>
      <c r="L27" s="1" t="s">
        <v>1249</v>
      </c>
      <c r="M27" s="2" t="s">
        <v>1250</v>
      </c>
      <c r="N27" s="230">
        <v>2852</v>
      </c>
      <c r="O27" s="1">
        <v>15</v>
      </c>
      <c r="P27" s="230">
        <v>42780</v>
      </c>
      <c r="Q27" s="236">
        <f t="shared" si="0"/>
        <v>29945.999999999996</v>
      </c>
      <c r="R27" s="236">
        <f t="shared" si="1"/>
        <v>12834.000000000004</v>
      </c>
    </row>
    <row r="28" spans="1:18" x14ac:dyDescent="0.25">
      <c r="A28" s="1" t="s">
        <v>217</v>
      </c>
      <c r="B28" s="1" t="s">
        <v>218</v>
      </c>
      <c r="C28" s="1" t="s">
        <v>1406</v>
      </c>
      <c r="D28" s="1" t="s">
        <v>1143</v>
      </c>
      <c r="E28" s="1" t="str">
        <f>IF(D28="","",IFERROR(INDEX(NameGender!$B$2:$B$90,MATCH(LOWER(TRIM(D28)),NameGender!$A$2:$A$90,0)),"Unknown"))</f>
        <v>Female</v>
      </c>
      <c r="F28" s="1">
        <v>56</v>
      </c>
      <c r="G28" s="1" t="s">
        <v>1252</v>
      </c>
      <c r="H28" s="1" t="s">
        <v>1253</v>
      </c>
      <c r="I28" s="1" t="s">
        <v>112</v>
      </c>
      <c r="J28" s="1" t="s">
        <v>2092</v>
      </c>
      <c r="K28" s="1" t="s">
        <v>220</v>
      </c>
      <c r="L28" s="1" t="s">
        <v>221</v>
      </c>
      <c r="M28" s="2" t="s">
        <v>222</v>
      </c>
      <c r="N28" s="230">
        <v>1746</v>
      </c>
      <c r="O28" s="1">
        <v>36</v>
      </c>
      <c r="P28" s="230">
        <v>62856</v>
      </c>
      <c r="Q28" s="236">
        <f t="shared" si="0"/>
        <v>43999.199999999997</v>
      </c>
      <c r="R28" s="236">
        <f t="shared" si="1"/>
        <v>18856.800000000003</v>
      </c>
    </row>
    <row r="29" spans="1:18" x14ac:dyDescent="0.25">
      <c r="A29" s="1" t="s">
        <v>223</v>
      </c>
      <c r="B29" s="1" t="s">
        <v>224</v>
      </c>
      <c r="C29" s="1" t="s">
        <v>1407</v>
      </c>
      <c r="D29" s="1" t="s">
        <v>166</v>
      </c>
      <c r="E29" s="1" t="str">
        <f>IF(D29="","",IFERROR(INDEX(NameGender!$B$2:$B$90,MATCH(LOWER(TRIM(D29)),NameGender!$A$2:$A$90,0)),"Unknown"))</f>
        <v>Male</v>
      </c>
      <c r="F29" s="1">
        <v>35</v>
      </c>
      <c r="G29" s="1" t="s">
        <v>1219</v>
      </c>
      <c r="H29" s="1" t="s">
        <v>1220</v>
      </c>
      <c r="I29" s="1" t="s">
        <v>118</v>
      </c>
      <c r="J29" s="1" t="s">
        <v>2093</v>
      </c>
      <c r="K29" s="1" t="s">
        <v>226</v>
      </c>
      <c r="L29" s="1" t="s">
        <v>227</v>
      </c>
      <c r="M29" s="2" t="s">
        <v>228</v>
      </c>
      <c r="N29" s="230">
        <v>252</v>
      </c>
      <c r="O29" s="1">
        <v>36</v>
      </c>
      <c r="P29" s="230">
        <v>9072</v>
      </c>
      <c r="Q29" s="236">
        <f t="shared" si="0"/>
        <v>6350.4</v>
      </c>
      <c r="R29" s="236">
        <f t="shared" si="1"/>
        <v>2721.6000000000004</v>
      </c>
    </row>
    <row r="30" spans="1:18" x14ac:dyDescent="0.25">
      <c r="A30" s="1" t="s">
        <v>229</v>
      </c>
      <c r="B30" s="1" t="s">
        <v>230</v>
      </c>
      <c r="C30" s="1" t="s">
        <v>1408</v>
      </c>
      <c r="D30" s="1" t="s">
        <v>1196</v>
      </c>
      <c r="E30" s="1" t="str">
        <f>IF(D30="","",IFERROR(INDEX(NameGender!$B$2:$B$90,MATCH(LOWER(TRIM(D30)),NameGender!$A$2:$A$90,0)),"Unknown"))</f>
        <v>Female</v>
      </c>
      <c r="F30" s="1">
        <v>34</v>
      </c>
      <c r="G30" s="1" t="s">
        <v>1257</v>
      </c>
      <c r="H30" s="1" t="s">
        <v>2248</v>
      </c>
      <c r="I30" s="1" t="s">
        <v>60</v>
      </c>
      <c r="J30" s="1" t="s">
        <v>2094</v>
      </c>
      <c r="K30" s="1" t="s">
        <v>232</v>
      </c>
      <c r="L30" s="1" t="s">
        <v>1254</v>
      </c>
      <c r="M30" s="2" t="s">
        <v>1255</v>
      </c>
      <c r="N30" s="230">
        <v>1674</v>
      </c>
      <c r="O30" s="1">
        <v>28</v>
      </c>
      <c r="P30" s="230">
        <v>46872</v>
      </c>
      <c r="Q30" s="236">
        <f t="shared" si="0"/>
        <v>32810.400000000001</v>
      </c>
      <c r="R30" s="236">
        <f t="shared" si="1"/>
        <v>14061.599999999999</v>
      </c>
    </row>
    <row r="31" spans="1:18" x14ac:dyDescent="0.25">
      <c r="A31" s="1" t="s">
        <v>235</v>
      </c>
      <c r="B31" s="1" t="s">
        <v>236</v>
      </c>
      <c r="C31" s="1" t="s">
        <v>1409</v>
      </c>
      <c r="D31" s="1" t="s">
        <v>317</v>
      </c>
      <c r="E31" s="1" t="str">
        <f>IF(D31="","",IFERROR(INDEX(NameGender!$B$2:$B$90,MATCH(LOWER(TRIM(D31)),NameGender!$A$2:$A$90,0)),"Unknown"))</f>
        <v>Male</v>
      </c>
      <c r="F31" s="1">
        <v>35</v>
      </c>
      <c r="G31" s="1" t="s">
        <v>477</v>
      </c>
      <c r="H31" s="1" t="s">
        <v>2246</v>
      </c>
      <c r="I31" s="1" t="s">
        <v>86</v>
      </c>
      <c r="J31" s="1" t="s">
        <v>2095</v>
      </c>
      <c r="K31" s="1" t="s">
        <v>238</v>
      </c>
      <c r="L31" s="1" t="s">
        <v>239</v>
      </c>
      <c r="M31" s="2" t="s">
        <v>240</v>
      </c>
      <c r="N31" s="230">
        <v>6231</v>
      </c>
      <c r="O31" s="1">
        <v>24</v>
      </c>
      <c r="P31" s="230">
        <v>149544</v>
      </c>
      <c r="Q31" s="236">
        <f t="shared" si="0"/>
        <v>104680.79999999999</v>
      </c>
      <c r="R31" s="236">
        <f t="shared" si="1"/>
        <v>44863.200000000012</v>
      </c>
    </row>
    <row r="32" spans="1:18" x14ac:dyDescent="0.25">
      <c r="A32" s="1" t="s">
        <v>241</v>
      </c>
      <c r="B32" s="1" t="s">
        <v>242</v>
      </c>
      <c r="C32" s="1" t="s">
        <v>1410</v>
      </c>
      <c r="D32" s="1" t="s">
        <v>334</v>
      </c>
      <c r="E32" s="1" t="str">
        <f>IF(D32="","",IFERROR(INDEX(NameGender!$B$2:$B$90,MATCH(LOWER(TRIM(D32)),NameGender!$A$2:$A$90,0)),"Unknown"))</f>
        <v>Male</v>
      </c>
      <c r="F32" s="1">
        <v>39</v>
      </c>
      <c r="G32" s="1" t="s">
        <v>481</v>
      </c>
      <c r="H32" s="1" t="s">
        <v>1215</v>
      </c>
      <c r="I32" s="1" t="s">
        <v>160</v>
      </c>
      <c r="J32" s="1" t="s">
        <v>2096</v>
      </c>
      <c r="K32" s="1" t="s">
        <v>244</v>
      </c>
      <c r="L32" s="1" t="s">
        <v>245</v>
      </c>
      <c r="M32" s="2" t="s">
        <v>246</v>
      </c>
      <c r="N32" s="230">
        <v>1224</v>
      </c>
      <c r="O32" s="1">
        <v>9</v>
      </c>
      <c r="P32" s="230">
        <v>11016</v>
      </c>
      <c r="Q32" s="236">
        <f t="shared" si="0"/>
        <v>7711.2</v>
      </c>
      <c r="R32" s="236">
        <f t="shared" si="1"/>
        <v>3304.8</v>
      </c>
    </row>
    <row r="33" spans="1:18" x14ac:dyDescent="0.25">
      <c r="A33" s="1" t="s">
        <v>247</v>
      </c>
      <c r="B33" s="1" t="s">
        <v>248</v>
      </c>
      <c r="C33" s="1" t="s">
        <v>1411</v>
      </c>
      <c r="D33" s="1" t="s">
        <v>1120</v>
      </c>
      <c r="E33" s="1" t="str">
        <f>IF(D33="","",IFERROR(INDEX(NameGender!$B$2:$B$90,MATCH(LOWER(TRIM(D33)),NameGender!$A$2:$A$90,0)),"Unknown"))</f>
        <v>Male</v>
      </c>
      <c r="F33" s="1">
        <v>25</v>
      </c>
      <c r="G33" s="1" t="s">
        <v>481</v>
      </c>
      <c r="H33" s="1" t="s">
        <v>2245</v>
      </c>
      <c r="I33" s="1" t="s">
        <v>250</v>
      </c>
      <c r="J33" s="1" t="s">
        <v>2097</v>
      </c>
      <c r="K33" s="1" t="s">
        <v>251</v>
      </c>
      <c r="L33" s="1" t="s">
        <v>1259</v>
      </c>
      <c r="M33" s="2" t="s">
        <v>1260</v>
      </c>
      <c r="N33" s="230">
        <v>6061</v>
      </c>
      <c r="O33" s="1">
        <v>23</v>
      </c>
      <c r="P33" s="230">
        <v>139403</v>
      </c>
      <c r="Q33" s="236">
        <f t="shared" si="0"/>
        <v>97582.099999999991</v>
      </c>
      <c r="R33" s="236">
        <f t="shared" si="1"/>
        <v>41820.900000000009</v>
      </c>
    </row>
    <row r="34" spans="1:18" x14ac:dyDescent="0.25">
      <c r="A34" s="1" t="s">
        <v>254</v>
      </c>
      <c r="B34" s="1" t="s">
        <v>255</v>
      </c>
      <c r="C34" s="1" t="s">
        <v>1412</v>
      </c>
      <c r="D34" s="1" t="s">
        <v>1128</v>
      </c>
      <c r="E34" s="1" t="str">
        <f>IF(D34="","",IFERROR(INDEX(NameGender!$B$2:$B$90,MATCH(LOWER(TRIM(D34)),NameGender!$A$2:$A$90,0)),"Unknown"))</f>
        <v>Female</v>
      </c>
      <c r="F34" s="1">
        <v>37</v>
      </c>
      <c r="G34" s="1" t="s">
        <v>1234</v>
      </c>
      <c r="H34" s="1" t="s">
        <v>1235</v>
      </c>
      <c r="I34" s="1" t="s">
        <v>191</v>
      </c>
      <c r="J34" s="1" t="s">
        <v>2098</v>
      </c>
      <c r="K34" s="1" t="s">
        <v>257</v>
      </c>
      <c r="L34" s="1" t="s">
        <v>258</v>
      </c>
      <c r="M34" s="2" t="s">
        <v>259</v>
      </c>
      <c r="N34" s="230">
        <v>7285</v>
      </c>
      <c r="O34" s="1">
        <v>15</v>
      </c>
      <c r="P34" s="230">
        <v>109275</v>
      </c>
      <c r="Q34" s="236">
        <f t="shared" si="0"/>
        <v>76492.5</v>
      </c>
      <c r="R34" s="236">
        <f t="shared" si="1"/>
        <v>32782.5</v>
      </c>
    </row>
    <row r="35" spans="1:18" x14ac:dyDescent="0.25">
      <c r="A35" s="1" t="s">
        <v>260</v>
      </c>
      <c r="B35" s="1" t="s">
        <v>261</v>
      </c>
      <c r="C35" s="1" t="s">
        <v>1413</v>
      </c>
      <c r="D35" s="1" t="s">
        <v>219</v>
      </c>
      <c r="E35" s="1" t="str">
        <f>IF(D35="","",IFERROR(INDEX(NameGender!$B$2:$B$90,MATCH(LOWER(TRIM(D35)),NameGender!$A$2:$A$90,0)),"Unknown"))</f>
        <v>Male</v>
      </c>
      <c r="F35" s="1">
        <v>43</v>
      </c>
      <c r="G35" s="1" t="s">
        <v>1210</v>
      </c>
      <c r="H35" s="1" t="s">
        <v>1211</v>
      </c>
      <c r="I35" s="1" t="s">
        <v>263</v>
      </c>
      <c r="J35" s="1" t="s">
        <v>2099</v>
      </c>
      <c r="K35" s="1" t="s">
        <v>264</v>
      </c>
      <c r="L35" s="1" t="s">
        <v>265</v>
      </c>
      <c r="M35" s="2" t="s">
        <v>266</v>
      </c>
      <c r="N35" s="230">
        <v>6650</v>
      </c>
      <c r="O35" s="1">
        <v>18</v>
      </c>
      <c r="P35" s="230">
        <v>119700</v>
      </c>
      <c r="Q35" s="236">
        <f t="shared" si="0"/>
        <v>83790</v>
      </c>
      <c r="R35" s="236">
        <f t="shared" si="1"/>
        <v>35910</v>
      </c>
    </row>
    <row r="36" spans="1:18" x14ac:dyDescent="0.25">
      <c r="A36" s="1" t="s">
        <v>267</v>
      </c>
      <c r="B36" s="1" t="s">
        <v>268</v>
      </c>
      <c r="C36" s="1" t="s">
        <v>1414</v>
      </c>
      <c r="D36" s="1" t="s">
        <v>256</v>
      </c>
      <c r="E36" s="1" t="str">
        <f>IF(D36="","",IFERROR(INDEX(NameGender!$B$2:$B$90,MATCH(LOWER(TRIM(D36)),NameGender!$A$2:$A$90,0)),"Unknown"))</f>
        <v>Male</v>
      </c>
      <c r="F36" s="1">
        <v>40</v>
      </c>
      <c r="G36" s="1" t="s">
        <v>476</v>
      </c>
      <c r="H36" s="1" t="s">
        <v>2251</v>
      </c>
      <c r="I36" s="1" t="s">
        <v>263</v>
      </c>
      <c r="J36" s="1" t="s">
        <v>2100</v>
      </c>
      <c r="K36" s="1" t="s">
        <v>270</v>
      </c>
      <c r="L36" s="1" t="s">
        <v>1263</v>
      </c>
      <c r="M36" s="2" t="s">
        <v>1264</v>
      </c>
      <c r="N36" s="230">
        <v>2821</v>
      </c>
      <c r="O36" s="1">
        <v>10</v>
      </c>
      <c r="P36" s="230">
        <v>28210</v>
      </c>
      <c r="Q36" s="236">
        <f t="shared" si="0"/>
        <v>19747</v>
      </c>
      <c r="R36" s="236">
        <f t="shared" si="1"/>
        <v>8463</v>
      </c>
    </row>
    <row r="37" spans="1:18" x14ac:dyDescent="0.25">
      <c r="A37" s="1" t="s">
        <v>273</v>
      </c>
      <c r="B37" s="1" t="s">
        <v>274</v>
      </c>
      <c r="C37" s="1" t="s">
        <v>1415</v>
      </c>
      <c r="D37" s="1" t="s">
        <v>1137</v>
      </c>
      <c r="E37" s="1" t="str">
        <f>IF(D37="","",IFERROR(INDEX(NameGender!$B$2:$B$90,MATCH(LOWER(TRIM(D37)),NameGender!$A$2:$A$90,0)),"Unknown"))</f>
        <v>Female</v>
      </c>
      <c r="F37" s="1">
        <v>29</v>
      </c>
      <c r="G37" s="1" t="s">
        <v>1266</v>
      </c>
      <c r="H37" s="1" t="s">
        <v>1267</v>
      </c>
      <c r="I37" s="1" t="s">
        <v>250</v>
      </c>
      <c r="J37" s="1" t="s">
        <v>2101</v>
      </c>
      <c r="K37" s="1" t="s">
        <v>276</v>
      </c>
      <c r="L37" s="1" t="s">
        <v>277</v>
      </c>
      <c r="M37" s="2" t="s">
        <v>278</v>
      </c>
      <c r="N37" s="230">
        <v>1404</v>
      </c>
      <c r="O37" s="1">
        <v>27</v>
      </c>
      <c r="P37" s="230">
        <v>37908</v>
      </c>
      <c r="Q37" s="236">
        <f t="shared" si="0"/>
        <v>26535.599999999999</v>
      </c>
      <c r="R37" s="236">
        <f t="shared" si="1"/>
        <v>11372.400000000001</v>
      </c>
    </row>
    <row r="38" spans="1:18" x14ac:dyDescent="0.25">
      <c r="A38" s="1" t="s">
        <v>279</v>
      </c>
      <c r="B38" s="1" t="s">
        <v>280</v>
      </c>
      <c r="C38" s="1" t="s">
        <v>1416</v>
      </c>
      <c r="D38" s="1" t="s">
        <v>2522</v>
      </c>
      <c r="E38" s="1" t="str">
        <f>IF(D38="","",IFERROR(INDEX(NameGender!$B$2:$B$90,MATCH(LOWER(TRIM(D38)),NameGender!$A$2:$A$90,0)),"Unknown"))</f>
        <v>Male</v>
      </c>
      <c r="F38" s="1">
        <v>59</v>
      </c>
      <c r="G38" s="1" t="s">
        <v>1280</v>
      </c>
      <c r="H38" s="1" t="s">
        <v>1281</v>
      </c>
      <c r="I38" s="1" t="s">
        <v>282</v>
      </c>
      <c r="J38" s="1" t="s">
        <v>2102</v>
      </c>
      <c r="K38" s="1" t="s">
        <v>283</v>
      </c>
      <c r="L38" s="1" t="s">
        <v>284</v>
      </c>
      <c r="M38" s="2" t="s">
        <v>285</v>
      </c>
      <c r="N38" s="230">
        <v>2744</v>
      </c>
      <c r="O38" s="1">
        <v>14</v>
      </c>
      <c r="P38" s="230">
        <v>38416</v>
      </c>
      <c r="Q38" s="236">
        <f t="shared" si="0"/>
        <v>26891.199999999997</v>
      </c>
      <c r="R38" s="236">
        <f t="shared" si="1"/>
        <v>11524.800000000003</v>
      </c>
    </row>
    <row r="39" spans="1:18" x14ac:dyDescent="0.25">
      <c r="A39" s="1" t="s">
        <v>286</v>
      </c>
      <c r="B39" s="1" t="s">
        <v>287</v>
      </c>
      <c r="C39" s="1" t="s">
        <v>1417</v>
      </c>
      <c r="D39" s="1" t="s">
        <v>1124</v>
      </c>
      <c r="E39" s="1" t="str">
        <f>IF(D39="","",IFERROR(INDEX(NameGender!$B$2:$B$90,MATCH(LOWER(TRIM(D39)),NameGender!$A$2:$A$90,0)),"Unknown"))</f>
        <v>Female</v>
      </c>
      <c r="F39" s="1">
        <v>36</v>
      </c>
      <c r="G39" s="1" t="s">
        <v>1224</v>
      </c>
      <c r="H39" s="1" t="s">
        <v>1225</v>
      </c>
      <c r="I39" s="1" t="s">
        <v>282</v>
      </c>
      <c r="J39" s="1" t="s">
        <v>2103</v>
      </c>
      <c r="K39" s="1" t="s">
        <v>289</v>
      </c>
      <c r="L39" s="1" t="s">
        <v>1268</v>
      </c>
      <c r="M39" s="2" t="s">
        <v>1269</v>
      </c>
      <c r="N39" s="230">
        <v>6557</v>
      </c>
      <c r="O39" s="1">
        <v>17</v>
      </c>
      <c r="P39" s="230">
        <v>111469</v>
      </c>
      <c r="Q39" s="236">
        <f t="shared" si="0"/>
        <v>78028.299999999988</v>
      </c>
      <c r="R39" s="236">
        <f t="shared" si="1"/>
        <v>33440.700000000012</v>
      </c>
    </row>
    <row r="40" spans="1:18" x14ac:dyDescent="0.25">
      <c r="A40" s="1" t="s">
        <v>292</v>
      </c>
      <c r="B40" s="1" t="s">
        <v>293</v>
      </c>
      <c r="C40" s="1" t="s">
        <v>1418</v>
      </c>
      <c r="D40" s="1" t="s">
        <v>1117</v>
      </c>
      <c r="E40" s="1" t="str">
        <f>IF(D40="","",IFERROR(INDEX(NameGender!$B$2:$B$90,MATCH(LOWER(TRIM(D40)),NameGender!$A$2:$A$90,0)),"Unknown"))</f>
        <v>Female</v>
      </c>
      <c r="F40" s="1">
        <v>30</v>
      </c>
      <c r="G40" s="1" t="s">
        <v>1219</v>
      </c>
      <c r="H40" s="1" t="s">
        <v>1220</v>
      </c>
      <c r="I40" s="1" t="s">
        <v>250</v>
      </c>
      <c r="J40" s="1" t="s">
        <v>2104</v>
      </c>
      <c r="K40" s="1" t="s">
        <v>295</v>
      </c>
      <c r="L40" s="1" t="s">
        <v>296</v>
      </c>
      <c r="M40" s="2" t="s">
        <v>297</v>
      </c>
      <c r="N40" s="230">
        <v>4604</v>
      </c>
      <c r="O40" s="1">
        <v>33</v>
      </c>
      <c r="P40" s="230">
        <v>151932</v>
      </c>
      <c r="Q40" s="236">
        <f t="shared" si="0"/>
        <v>106352.4</v>
      </c>
      <c r="R40" s="236">
        <f t="shared" si="1"/>
        <v>45579.600000000006</v>
      </c>
    </row>
    <row r="41" spans="1:18" x14ac:dyDescent="0.25">
      <c r="A41" s="1" t="s">
        <v>298</v>
      </c>
      <c r="B41" s="1" t="s">
        <v>299</v>
      </c>
      <c r="C41" s="1" t="s">
        <v>1419</v>
      </c>
      <c r="D41" s="1" t="s">
        <v>1118</v>
      </c>
      <c r="E41" s="1" t="str">
        <f>IF(D41="","",IFERROR(INDEX(NameGender!$B$2:$B$90,MATCH(LOWER(TRIM(D41)),NameGender!$A$2:$A$90,0)),"Unknown"))</f>
        <v>Female</v>
      </c>
      <c r="F41" s="1">
        <v>42</v>
      </c>
      <c r="G41" s="1" t="s">
        <v>1205</v>
      </c>
      <c r="H41" s="1" t="s">
        <v>1309</v>
      </c>
      <c r="I41" s="1" t="s">
        <v>136</v>
      </c>
      <c r="J41" s="1" t="s">
        <v>2105</v>
      </c>
      <c r="K41" s="1" t="s">
        <v>301</v>
      </c>
      <c r="L41" s="1" t="s">
        <v>1273</v>
      </c>
      <c r="M41" s="2" t="s">
        <v>1274</v>
      </c>
      <c r="N41" s="230">
        <v>3922</v>
      </c>
      <c r="O41" s="1">
        <v>10</v>
      </c>
      <c r="P41" s="230">
        <v>39220</v>
      </c>
      <c r="Q41" s="236">
        <f t="shared" si="0"/>
        <v>27454</v>
      </c>
      <c r="R41" s="236">
        <f t="shared" si="1"/>
        <v>11766</v>
      </c>
    </row>
    <row r="42" spans="1:18" x14ac:dyDescent="0.25">
      <c r="A42" s="1" t="s">
        <v>304</v>
      </c>
      <c r="B42" s="1" t="s">
        <v>305</v>
      </c>
      <c r="C42" s="1" t="s">
        <v>1420</v>
      </c>
      <c r="D42" s="1" t="s">
        <v>1121</v>
      </c>
      <c r="E42" s="1" t="str">
        <f>IF(D42="","",IFERROR(INDEX(NameGender!$B$2:$B$90,MATCH(LOWER(TRIM(D42)),NameGender!$A$2:$A$90,0)),"Unknown"))</f>
        <v>Female</v>
      </c>
      <c r="F42" s="1">
        <v>59</v>
      </c>
      <c r="G42" s="1" t="s">
        <v>1205</v>
      </c>
      <c r="H42" s="1" t="s">
        <v>1206</v>
      </c>
      <c r="I42" s="1" t="s">
        <v>160</v>
      </c>
      <c r="J42" s="1" t="s">
        <v>2106</v>
      </c>
      <c r="K42" s="1" t="s">
        <v>307</v>
      </c>
      <c r="L42" s="1" t="s">
        <v>73</v>
      </c>
      <c r="M42" s="2" t="s">
        <v>308</v>
      </c>
      <c r="N42" s="230">
        <v>1969</v>
      </c>
      <c r="O42" s="1">
        <v>28</v>
      </c>
      <c r="P42" s="230">
        <v>55132</v>
      </c>
      <c r="Q42" s="236">
        <f t="shared" si="0"/>
        <v>38592.399999999994</v>
      </c>
      <c r="R42" s="236">
        <f t="shared" si="1"/>
        <v>16539.600000000006</v>
      </c>
    </row>
    <row r="43" spans="1:18" x14ac:dyDescent="0.25">
      <c r="A43" s="1" t="s">
        <v>309</v>
      </c>
      <c r="B43" s="1" t="s">
        <v>310</v>
      </c>
      <c r="C43" s="1" t="s">
        <v>1421</v>
      </c>
      <c r="D43" s="1" t="s">
        <v>98</v>
      </c>
      <c r="E43" s="1" t="str">
        <f>IF(D43="","",IFERROR(INDEX(NameGender!$B$2:$B$90,MATCH(LOWER(TRIM(D43)),NameGender!$A$2:$A$90,0)),"Unknown"))</f>
        <v>Male</v>
      </c>
      <c r="F43" s="1">
        <v>40</v>
      </c>
      <c r="G43" s="1" t="s">
        <v>481</v>
      </c>
      <c r="H43" s="1" t="s">
        <v>1215</v>
      </c>
      <c r="I43" s="1" t="s">
        <v>160</v>
      </c>
      <c r="J43" s="1" t="s">
        <v>2107</v>
      </c>
      <c r="K43" s="1" t="s">
        <v>312</v>
      </c>
      <c r="L43" s="1" t="s">
        <v>1277</v>
      </c>
      <c r="M43" s="2" t="s">
        <v>1278</v>
      </c>
      <c r="N43" s="230">
        <v>7053</v>
      </c>
      <c r="O43" s="1">
        <v>24</v>
      </c>
      <c r="P43" s="230">
        <v>169272</v>
      </c>
      <c r="Q43" s="236">
        <f t="shared" si="0"/>
        <v>118490.4</v>
      </c>
      <c r="R43" s="236">
        <f t="shared" si="1"/>
        <v>50781.600000000006</v>
      </c>
    </row>
    <row r="44" spans="1:18" x14ac:dyDescent="0.25">
      <c r="A44" s="1" t="s">
        <v>315</v>
      </c>
      <c r="B44" s="1" t="s">
        <v>316</v>
      </c>
      <c r="C44" s="1" t="s">
        <v>1422</v>
      </c>
      <c r="D44" s="1" t="s">
        <v>1119</v>
      </c>
      <c r="E44" s="1" t="str">
        <f>IF(D44="","",IFERROR(INDEX(NameGender!$B$2:$B$90,MATCH(LOWER(TRIM(D44)),NameGender!$A$2:$A$90,0)),"Unknown"))</f>
        <v>Female</v>
      </c>
      <c r="F44" s="1">
        <v>40</v>
      </c>
      <c r="G44" s="1" t="s">
        <v>1229</v>
      </c>
      <c r="H44" s="1" t="s">
        <v>1230</v>
      </c>
      <c r="I44" s="1" t="s">
        <v>60</v>
      </c>
      <c r="J44" s="1" t="s">
        <v>2108</v>
      </c>
      <c r="K44" s="1" t="s">
        <v>318</v>
      </c>
      <c r="L44" s="1" t="s">
        <v>319</v>
      </c>
      <c r="M44" s="2" t="s">
        <v>320</v>
      </c>
      <c r="N44" s="230">
        <v>6185</v>
      </c>
      <c r="O44" s="1">
        <v>26</v>
      </c>
      <c r="P44" s="230">
        <v>160810</v>
      </c>
      <c r="Q44" s="236">
        <f t="shared" si="0"/>
        <v>112567</v>
      </c>
      <c r="R44" s="236">
        <f t="shared" si="1"/>
        <v>48243</v>
      </c>
    </row>
    <row r="45" spans="1:18" x14ac:dyDescent="0.25">
      <c r="A45" s="1" t="s">
        <v>321</v>
      </c>
      <c r="B45" s="1" t="s">
        <v>322</v>
      </c>
      <c r="C45" s="1" t="s">
        <v>1423</v>
      </c>
      <c r="D45" s="1" t="s">
        <v>172</v>
      </c>
      <c r="E45" s="1" t="str">
        <f>IF(D45="","",IFERROR(INDEX(NameGender!$B$2:$B$90,MATCH(LOWER(TRIM(D45)),NameGender!$A$2:$A$90,0)),"Unknown"))</f>
        <v>Male</v>
      </c>
      <c r="F45" s="1">
        <v>48</v>
      </c>
      <c r="G45" s="1" t="s">
        <v>58</v>
      </c>
      <c r="H45" s="1" t="s">
        <v>59</v>
      </c>
      <c r="I45" s="1" t="s">
        <v>118</v>
      </c>
      <c r="J45" s="1" t="s">
        <v>2109</v>
      </c>
      <c r="K45" s="1" t="s">
        <v>324</v>
      </c>
      <c r="L45" s="1" t="s">
        <v>1282</v>
      </c>
      <c r="M45" s="2" t="s">
        <v>1283</v>
      </c>
      <c r="N45" s="230">
        <v>1656</v>
      </c>
      <c r="O45" s="1">
        <v>10</v>
      </c>
      <c r="P45" s="230">
        <v>16560</v>
      </c>
      <c r="Q45" s="236">
        <f t="shared" si="0"/>
        <v>11592</v>
      </c>
      <c r="R45" s="236">
        <f t="shared" si="1"/>
        <v>4968</v>
      </c>
    </row>
    <row r="46" spans="1:18" x14ac:dyDescent="0.25">
      <c r="A46" s="1" t="s">
        <v>327</v>
      </c>
      <c r="B46" s="1" t="s">
        <v>328</v>
      </c>
      <c r="C46" s="1" t="s">
        <v>1424</v>
      </c>
      <c r="D46" s="1" t="s">
        <v>243</v>
      </c>
      <c r="E46" s="1" t="str">
        <f>IF(D46="","",IFERROR(INDEX(NameGender!$B$2:$B$90,MATCH(LOWER(TRIM(D46)),NameGender!$A$2:$A$90,0)),"Unknown"))</f>
        <v>Male</v>
      </c>
      <c r="F46" s="1">
        <v>52</v>
      </c>
      <c r="G46" s="1" t="s">
        <v>1229</v>
      </c>
      <c r="H46" s="1" t="s">
        <v>1230</v>
      </c>
      <c r="I46" s="1" t="s">
        <v>282</v>
      </c>
      <c r="J46" s="1" t="s">
        <v>2110</v>
      </c>
      <c r="K46" s="1" t="s">
        <v>330</v>
      </c>
      <c r="L46" s="1" t="s">
        <v>144</v>
      </c>
      <c r="M46" s="2" t="s">
        <v>331</v>
      </c>
      <c r="N46" s="230">
        <v>1984</v>
      </c>
      <c r="O46" s="1">
        <v>15</v>
      </c>
      <c r="P46" s="230">
        <v>29760</v>
      </c>
      <c r="Q46" s="236">
        <f t="shared" si="0"/>
        <v>20832</v>
      </c>
      <c r="R46" s="236">
        <f t="shared" si="1"/>
        <v>8928</v>
      </c>
    </row>
    <row r="47" spans="1:18" x14ac:dyDescent="0.25">
      <c r="A47" s="1" t="s">
        <v>332</v>
      </c>
      <c r="B47" s="1" t="s">
        <v>333</v>
      </c>
      <c r="C47" s="1" t="s">
        <v>1425</v>
      </c>
      <c r="D47" s="1" t="s">
        <v>2523</v>
      </c>
      <c r="E47" s="1" t="str">
        <f>IF(D47="","",IFERROR(INDEX(NameGender!$B$2:$B$90,MATCH(LOWER(TRIM(D47)),NameGender!$A$2:$A$90,0)),"Unknown"))</f>
        <v>Female</v>
      </c>
      <c r="F47" s="1">
        <v>39</v>
      </c>
      <c r="G47" s="1" t="s">
        <v>1210</v>
      </c>
      <c r="H47" s="1" t="s">
        <v>1211</v>
      </c>
      <c r="I47" s="1" t="s">
        <v>112</v>
      </c>
      <c r="J47" s="1" t="s">
        <v>2111</v>
      </c>
      <c r="K47" s="1" t="s">
        <v>335</v>
      </c>
      <c r="L47" s="1" t="s">
        <v>1287</v>
      </c>
      <c r="M47" s="2" t="s">
        <v>1288</v>
      </c>
      <c r="N47" s="230">
        <v>1549064</v>
      </c>
      <c r="O47" s="1">
        <v>3</v>
      </c>
      <c r="P47" s="230">
        <v>4647192</v>
      </c>
      <c r="Q47" s="236">
        <f t="shared" si="0"/>
        <v>3253034.4</v>
      </c>
      <c r="R47" s="236">
        <f t="shared" si="1"/>
        <v>1394157.6</v>
      </c>
    </row>
    <row r="48" spans="1:18" x14ac:dyDescent="0.25">
      <c r="A48" s="1" t="s">
        <v>338</v>
      </c>
      <c r="B48" s="1" t="s">
        <v>339</v>
      </c>
      <c r="C48" s="1" t="s">
        <v>1426</v>
      </c>
      <c r="D48" s="1" t="s">
        <v>124</v>
      </c>
      <c r="E48" s="1" t="str">
        <f>IF(D48="","",IFERROR(INDEX(NameGender!$B$2:$B$90,MATCH(LOWER(TRIM(D48)),NameGender!$A$2:$A$90,0)),"Unknown"))</f>
        <v>Male</v>
      </c>
      <c r="F48" s="1">
        <v>55</v>
      </c>
      <c r="G48" s="1" t="s">
        <v>1210</v>
      </c>
      <c r="H48" s="1" t="s">
        <v>1211</v>
      </c>
      <c r="I48" s="1" t="s">
        <v>191</v>
      </c>
      <c r="J48" s="1" t="s">
        <v>2112</v>
      </c>
      <c r="K48" s="1" t="s">
        <v>341</v>
      </c>
      <c r="L48" s="1" t="s">
        <v>342</v>
      </c>
      <c r="M48" s="2" t="s">
        <v>343</v>
      </c>
      <c r="N48" s="230">
        <v>450</v>
      </c>
      <c r="O48" s="1">
        <v>22</v>
      </c>
      <c r="P48" s="230">
        <v>9900</v>
      </c>
      <c r="Q48" s="236">
        <f t="shared" si="0"/>
        <v>6930</v>
      </c>
      <c r="R48" s="236">
        <f t="shared" si="1"/>
        <v>2970</v>
      </c>
    </row>
    <row r="49" spans="1:18" x14ac:dyDescent="0.25">
      <c r="A49" s="1" t="s">
        <v>344</v>
      </c>
      <c r="B49" s="1" t="s">
        <v>345</v>
      </c>
      <c r="C49" s="1" t="s">
        <v>1427</v>
      </c>
      <c r="D49" s="1" t="s">
        <v>124</v>
      </c>
      <c r="E49" s="1" t="str">
        <f>IF(D49="","",IFERROR(INDEX(NameGender!$B$2:$B$90,MATCH(LOWER(TRIM(D49)),NameGender!$A$2:$A$90,0)),"Unknown"))</f>
        <v>Male</v>
      </c>
      <c r="F49" s="1">
        <v>20</v>
      </c>
      <c r="G49" s="1" t="s">
        <v>476</v>
      </c>
      <c r="H49" s="1" t="s">
        <v>1248</v>
      </c>
      <c r="I49" s="1" t="s">
        <v>160</v>
      </c>
      <c r="J49" s="1" t="s">
        <v>2113</v>
      </c>
      <c r="K49" s="1" t="s">
        <v>347</v>
      </c>
      <c r="L49" s="1" t="s">
        <v>1292</v>
      </c>
      <c r="M49" s="2" t="s">
        <v>1293</v>
      </c>
      <c r="N49" s="230">
        <v>3472</v>
      </c>
      <c r="O49" s="1">
        <v>11</v>
      </c>
      <c r="P49" s="230">
        <v>38192</v>
      </c>
      <c r="Q49" s="236">
        <f t="shared" si="0"/>
        <v>26734.399999999998</v>
      </c>
      <c r="R49" s="236">
        <f t="shared" si="1"/>
        <v>11457.600000000002</v>
      </c>
    </row>
    <row r="50" spans="1:18" x14ac:dyDescent="0.25">
      <c r="A50" s="1" t="s">
        <v>350</v>
      </c>
      <c r="B50" s="1" t="s">
        <v>351</v>
      </c>
      <c r="C50" s="1" t="s">
        <v>1428</v>
      </c>
      <c r="D50" s="1" t="s">
        <v>1143</v>
      </c>
      <c r="E50" s="1" t="str">
        <f>IF(D50="","",IFERROR(INDEX(NameGender!$B$2:$B$90,MATCH(LOWER(TRIM(D50)),NameGender!$A$2:$A$90,0)),"Unknown"))</f>
        <v>Female</v>
      </c>
      <c r="F50" s="1">
        <v>46</v>
      </c>
      <c r="G50" s="1" t="s">
        <v>1219</v>
      </c>
      <c r="H50" s="1" t="s">
        <v>1220</v>
      </c>
      <c r="I50" s="1" t="s">
        <v>60</v>
      </c>
      <c r="J50" s="1" t="s">
        <v>2114</v>
      </c>
      <c r="K50" s="1" t="s">
        <v>353</v>
      </c>
      <c r="L50" s="1" t="s">
        <v>354</v>
      </c>
      <c r="M50" s="2" t="s">
        <v>355</v>
      </c>
      <c r="N50" s="230">
        <v>47331</v>
      </c>
      <c r="O50" s="1">
        <v>11</v>
      </c>
      <c r="P50" s="230">
        <v>520641</v>
      </c>
      <c r="Q50" s="236">
        <f t="shared" si="0"/>
        <v>364448.69999999995</v>
      </c>
      <c r="R50" s="236">
        <f t="shared" si="1"/>
        <v>156192.30000000005</v>
      </c>
    </row>
    <row r="51" spans="1:18" x14ac:dyDescent="0.25">
      <c r="A51" s="1" t="s">
        <v>356</v>
      </c>
      <c r="B51" s="1" t="s">
        <v>357</v>
      </c>
      <c r="C51" s="1" t="s">
        <v>1429</v>
      </c>
      <c r="D51" s="1" t="s">
        <v>98</v>
      </c>
      <c r="E51" s="1" t="str">
        <f>IF(D51="","",IFERROR(INDEX(NameGender!$B$2:$B$90,MATCH(LOWER(TRIM(D51)),NameGender!$A$2:$A$90,0)),"Unknown"))</f>
        <v>Male</v>
      </c>
      <c r="F51" s="1">
        <v>56</v>
      </c>
      <c r="G51" s="1" t="s">
        <v>476</v>
      </c>
      <c r="H51" s="1" t="s">
        <v>1248</v>
      </c>
      <c r="I51" s="1" t="s">
        <v>263</v>
      </c>
      <c r="J51" s="1" t="s">
        <v>2115</v>
      </c>
      <c r="K51" s="1" t="s">
        <v>359</v>
      </c>
      <c r="L51" s="1" t="s">
        <v>1297</v>
      </c>
      <c r="M51" s="2" t="s">
        <v>1298</v>
      </c>
      <c r="N51" s="230">
        <v>630</v>
      </c>
      <c r="O51" s="1">
        <v>34</v>
      </c>
      <c r="P51" s="230">
        <v>21420</v>
      </c>
      <c r="Q51" s="236">
        <f t="shared" si="0"/>
        <v>14993.999999999998</v>
      </c>
      <c r="R51" s="236">
        <f t="shared" si="1"/>
        <v>6426.0000000000018</v>
      </c>
    </row>
    <row r="52" spans="1:18" x14ac:dyDescent="0.25">
      <c r="A52" s="1" t="s">
        <v>1300</v>
      </c>
      <c r="B52" s="1" t="s">
        <v>1301</v>
      </c>
      <c r="C52" s="1" t="s">
        <v>1430</v>
      </c>
      <c r="D52" s="1" t="s">
        <v>117</v>
      </c>
      <c r="E52" s="1" t="str">
        <f>IF(D52="","",IFERROR(INDEX(NameGender!$B$2:$B$90,MATCH(LOWER(TRIM(D52)),NameGender!$A$2:$A$90,0)),"Unknown"))</f>
        <v>Male</v>
      </c>
      <c r="F52" s="1">
        <v>53</v>
      </c>
      <c r="G52" s="1" t="s">
        <v>1205</v>
      </c>
      <c r="H52" s="1" t="s">
        <v>1206</v>
      </c>
      <c r="I52" s="1" t="s">
        <v>60</v>
      </c>
      <c r="J52" s="1" t="s">
        <v>2116</v>
      </c>
      <c r="K52" s="1" t="s">
        <v>80</v>
      </c>
      <c r="L52" s="1" t="s">
        <v>131</v>
      </c>
      <c r="M52" s="2" t="s">
        <v>1274</v>
      </c>
      <c r="N52" s="230">
        <v>84990</v>
      </c>
      <c r="O52" s="1">
        <v>11</v>
      </c>
      <c r="P52" s="230">
        <v>934890</v>
      </c>
      <c r="Q52" s="236">
        <f t="shared" si="0"/>
        <v>654423</v>
      </c>
      <c r="R52" s="236">
        <f t="shared" si="1"/>
        <v>280467</v>
      </c>
    </row>
    <row r="53" spans="1:18" x14ac:dyDescent="0.25">
      <c r="A53" s="1" t="s">
        <v>1302</v>
      </c>
      <c r="B53" s="1" t="s">
        <v>1303</v>
      </c>
      <c r="C53" s="1" t="s">
        <v>1431</v>
      </c>
      <c r="D53" s="1" t="s">
        <v>2524</v>
      </c>
      <c r="E53" s="1" t="str">
        <f>IF(D53="","",IFERROR(INDEX(NameGender!$B$2:$B$90,MATCH(LOWER(TRIM(D53)),NameGender!$A$2:$A$90,0)),"Unknown"))</f>
        <v>Female</v>
      </c>
      <c r="F53" s="1">
        <v>31</v>
      </c>
      <c r="G53" s="1" t="s">
        <v>1229</v>
      </c>
      <c r="H53" s="1" t="s">
        <v>2252</v>
      </c>
      <c r="I53" s="1" t="s">
        <v>67</v>
      </c>
      <c r="J53" s="1" t="s">
        <v>2117</v>
      </c>
      <c r="K53" s="1" t="s">
        <v>1348</v>
      </c>
      <c r="L53" s="1" t="s">
        <v>1207</v>
      </c>
      <c r="M53" s="2" t="s">
        <v>70</v>
      </c>
      <c r="N53" s="230">
        <v>3410</v>
      </c>
      <c r="O53" s="1">
        <v>28</v>
      </c>
      <c r="P53" s="230">
        <v>95480</v>
      </c>
      <c r="Q53" s="236">
        <f t="shared" si="0"/>
        <v>66836</v>
      </c>
      <c r="R53" s="236">
        <f t="shared" si="1"/>
        <v>28644</v>
      </c>
    </row>
    <row r="54" spans="1:18" x14ac:dyDescent="0.25">
      <c r="A54" s="1" t="s">
        <v>1304</v>
      </c>
      <c r="B54" s="1" t="s">
        <v>1305</v>
      </c>
      <c r="C54" s="1" t="s">
        <v>1432</v>
      </c>
      <c r="D54" s="1" t="s">
        <v>2525</v>
      </c>
      <c r="E54" s="1" t="str">
        <f>IF(D54="","",IFERROR(INDEX(NameGender!$B$2:$B$90,MATCH(LOWER(TRIM(D54)),NameGender!$A$2:$A$90,0)),"Unknown"))</f>
        <v>Female</v>
      </c>
      <c r="F54" s="1">
        <v>60</v>
      </c>
      <c r="G54" s="1" t="s">
        <v>1261</v>
      </c>
      <c r="H54" s="1" t="s">
        <v>2253</v>
      </c>
      <c r="I54" s="1" t="s">
        <v>74</v>
      </c>
      <c r="J54" s="1" t="s">
        <v>2118</v>
      </c>
      <c r="K54" s="1" t="s">
        <v>1349</v>
      </c>
      <c r="L54" s="1" t="s">
        <v>75</v>
      </c>
      <c r="M54" s="2" t="s">
        <v>1350</v>
      </c>
      <c r="N54" s="230">
        <v>1170</v>
      </c>
      <c r="O54" s="1">
        <v>19</v>
      </c>
      <c r="P54" s="230">
        <v>22230</v>
      </c>
      <c r="Q54" s="236">
        <f t="shared" si="0"/>
        <v>15560.999999999998</v>
      </c>
      <c r="R54" s="236">
        <f t="shared" si="1"/>
        <v>6669.0000000000018</v>
      </c>
    </row>
    <row r="55" spans="1:18" x14ac:dyDescent="0.25">
      <c r="A55" s="1" t="s">
        <v>1307</v>
      </c>
      <c r="B55" s="1" t="s">
        <v>1308</v>
      </c>
      <c r="C55" s="1" t="s">
        <v>1433</v>
      </c>
      <c r="D55" s="1" t="s">
        <v>184</v>
      </c>
      <c r="E55" s="1" t="str">
        <f>IF(D55="","",IFERROR(INDEX(NameGender!$B$2:$B$90,MATCH(LOWER(TRIM(D55)),NameGender!$A$2:$A$90,0)),"Unknown"))</f>
        <v>Male</v>
      </c>
      <c r="F55" s="1">
        <v>43</v>
      </c>
      <c r="G55" s="1" t="s">
        <v>1210</v>
      </c>
      <c r="H55" s="1" t="s">
        <v>1211</v>
      </c>
      <c r="I55" s="1" t="s">
        <v>160</v>
      </c>
      <c r="J55" s="1" t="s">
        <v>2119</v>
      </c>
      <c r="K55" s="1" t="s">
        <v>244</v>
      </c>
      <c r="L55" s="1" t="s">
        <v>1212</v>
      </c>
      <c r="M55" s="2" t="s">
        <v>1351</v>
      </c>
      <c r="N55" s="230">
        <v>2790</v>
      </c>
      <c r="O55" s="1">
        <v>12</v>
      </c>
      <c r="P55" s="230">
        <v>33480</v>
      </c>
      <c r="Q55" s="236">
        <f t="shared" si="0"/>
        <v>23436</v>
      </c>
      <c r="R55" s="236">
        <f t="shared" si="1"/>
        <v>10044</v>
      </c>
    </row>
    <row r="56" spans="1:18" x14ac:dyDescent="0.25">
      <c r="A56" s="1" t="s">
        <v>1310</v>
      </c>
      <c r="B56" s="1" t="s">
        <v>1311</v>
      </c>
      <c r="C56" s="1" t="s">
        <v>1434</v>
      </c>
      <c r="D56" s="1" t="s">
        <v>352</v>
      </c>
      <c r="E56" s="1" t="str">
        <f>IF(D56="","",IFERROR(INDEX(NameGender!$B$2:$B$90,MATCH(LOWER(TRIM(D56)),NameGender!$A$2:$A$90,0)),"Unknown"))</f>
        <v>Male</v>
      </c>
      <c r="F56" s="1">
        <v>26</v>
      </c>
      <c r="G56" s="1" t="s">
        <v>1234</v>
      </c>
      <c r="H56" s="1" t="s">
        <v>1235</v>
      </c>
      <c r="I56" s="1" t="s">
        <v>191</v>
      </c>
      <c r="J56" s="1" t="s">
        <v>2120</v>
      </c>
      <c r="K56" s="1" t="s">
        <v>1352</v>
      </c>
      <c r="L56" s="1" t="s">
        <v>88</v>
      </c>
      <c r="M56" s="2" t="s">
        <v>1353</v>
      </c>
      <c r="N56" s="230">
        <v>630</v>
      </c>
      <c r="O56" s="1">
        <v>11</v>
      </c>
      <c r="P56" s="230">
        <v>6930</v>
      </c>
      <c r="Q56" s="236">
        <f t="shared" si="0"/>
        <v>4851</v>
      </c>
      <c r="R56" s="236">
        <f t="shared" si="1"/>
        <v>2079</v>
      </c>
    </row>
    <row r="57" spans="1:18" x14ac:dyDescent="0.25">
      <c r="A57" s="1" t="s">
        <v>1313</v>
      </c>
      <c r="B57" s="1" t="s">
        <v>1314</v>
      </c>
      <c r="C57" s="1" t="s">
        <v>1435</v>
      </c>
      <c r="D57" s="1" t="s">
        <v>2525</v>
      </c>
      <c r="E57" s="1" t="str">
        <f>IF(D57="","",IFERROR(INDEX(NameGender!$B$2:$B$90,MATCH(LOWER(TRIM(D57)),NameGender!$A$2:$A$90,0)),"Unknown"))</f>
        <v>Female</v>
      </c>
      <c r="F57" s="1">
        <v>31</v>
      </c>
      <c r="G57" s="1" t="s">
        <v>1205</v>
      </c>
      <c r="H57" s="1" t="s">
        <v>1309</v>
      </c>
      <c r="I57" s="1" t="s">
        <v>60</v>
      </c>
      <c r="J57" s="1" t="s">
        <v>2121</v>
      </c>
      <c r="K57" s="1" t="s">
        <v>1354</v>
      </c>
      <c r="L57" s="1" t="s">
        <v>94</v>
      </c>
      <c r="M57" s="2" t="s">
        <v>1355</v>
      </c>
      <c r="N57" s="230">
        <v>37800</v>
      </c>
      <c r="O57" s="1">
        <v>22</v>
      </c>
      <c r="P57" s="230">
        <v>831600</v>
      </c>
      <c r="Q57" s="236">
        <f t="shared" si="0"/>
        <v>582120</v>
      </c>
      <c r="R57" s="236">
        <f t="shared" si="1"/>
        <v>249480</v>
      </c>
    </row>
    <row r="58" spans="1:18" x14ac:dyDescent="0.25">
      <c r="A58" s="1" t="s">
        <v>1315</v>
      </c>
      <c r="B58" s="1" t="s">
        <v>1316</v>
      </c>
      <c r="C58" s="1" t="s">
        <v>1436</v>
      </c>
      <c r="D58" s="1" t="s">
        <v>1143</v>
      </c>
      <c r="E58" s="1" t="str">
        <f>IF(D58="","",IFERROR(INDEX(NameGender!$B$2:$B$90,MATCH(LOWER(TRIM(D58)),NameGender!$A$2:$A$90,0)),"Unknown"))</f>
        <v>Female</v>
      </c>
      <c r="F58" s="1">
        <v>45</v>
      </c>
      <c r="G58" s="1" t="s">
        <v>476</v>
      </c>
      <c r="H58" s="1" t="s">
        <v>2251</v>
      </c>
      <c r="I58" s="1" t="s">
        <v>67</v>
      </c>
      <c r="J58" s="1" t="s">
        <v>2122</v>
      </c>
      <c r="K58" s="1" t="s">
        <v>1356</v>
      </c>
      <c r="L58" s="1" t="s">
        <v>1216</v>
      </c>
      <c r="M58" s="2" t="s">
        <v>1213</v>
      </c>
      <c r="N58" s="230">
        <v>16875</v>
      </c>
      <c r="O58" s="1">
        <v>16</v>
      </c>
      <c r="P58" s="230">
        <v>270000</v>
      </c>
      <c r="Q58" s="236">
        <f t="shared" si="0"/>
        <v>189000</v>
      </c>
      <c r="R58" s="236">
        <f t="shared" si="1"/>
        <v>81000</v>
      </c>
    </row>
    <row r="59" spans="1:18" x14ac:dyDescent="0.25">
      <c r="A59" s="1" t="s">
        <v>1317</v>
      </c>
      <c r="B59" s="1" t="s">
        <v>1318</v>
      </c>
      <c r="C59" s="1" t="s">
        <v>1437</v>
      </c>
      <c r="D59" s="1" t="s">
        <v>190</v>
      </c>
      <c r="E59" s="1" t="str">
        <f>IF(D59="","",IFERROR(INDEX(NameGender!$B$2:$B$90,MATCH(LOWER(TRIM(D59)),NameGender!$A$2:$A$90,0)),"Unknown"))</f>
        <v>Male</v>
      </c>
      <c r="F59" s="1">
        <v>40</v>
      </c>
      <c r="G59" s="1" t="s">
        <v>1219</v>
      </c>
      <c r="H59" s="1" t="s">
        <v>1220</v>
      </c>
      <c r="I59" s="1" t="s">
        <v>160</v>
      </c>
      <c r="J59" s="1" t="s">
        <v>2123</v>
      </c>
      <c r="K59" s="1" t="s">
        <v>1357</v>
      </c>
      <c r="L59" s="1" t="s">
        <v>107</v>
      </c>
      <c r="M59" s="2" t="s">
        <v>1358</v>
      </c>
      <c r="N59" s="230">
        <v>4960</v>
      </c>
      <c r="O59" s="1">
        <v>21</v>
      </c>
      <c r="P59" s="230">
        <v>104160</v>
      </c>
      <c r="Q59" s="236">
        <f t="shared" si="0"/>
        <v>72912</v>
      </c>
      <c r="R59" s="236">
        <f t="shared" si="1"/>
        <v>31248</v>
      </c>
    </row>
    <row r="60" spans="1:18" x14ac:dyDescent="0.25">
      <c r="A60" s="1" t="s">
        <v>1320</v>
      </c>
      <c r="B60" s="1" t="s">
        <v>1321</v>
      </c>
      <c r="C60" s="1" t="s">
        <v>1438</v>
      </c>
      <c r="D60" s="1" t="s">
        <v>219</v>
      </c>
      <c r="E60" s="1" t="str">
        <f>IF(D60="","",IFERROR(INDEX(NameGender!$B$2:$B$90,MATCH(LOWER(TRIM(D60)),NameGender!$A$2:$A$90,0)),"Unknown"))</f>
        <v>Male</v>
      </c>
      <c r="F60" s="1">
        <v>43</v>
      </c>
      <c r="G60" s="1" t="s">
        <v>2531</v>
      </c>
      <c r="H60" s="1" t="s">
        <v>2533</v>
      </c>
      <c r="I60" s="1" t="s">
        <v>74</v>
      </c>
      <c r="J60" s="1" t="s">
        <v>2124</v>
      </c>
      <c r="K60" s="1" t="s">
        <v>1359</v>
      </c>
      <c r="L60" s="1" t="s">
        <v>1221</v>
      </c>
      <c r="M60" s="2" t="s">
        <v>1360</v>
      </c>
      <c r="N60" s="230">
        <v>900</v>
      </c>
      <c r="O60" s="1">
        <v>48</v>
      </c>
      <c r="P60" s="230">
        <v>43200</v>
      </c>
      <c r="Q60" s="236">
        <f t="shared" si="0"/>
        <v>30239.999999999996</v>
      </c>
      <c r="R60" s="236">
        <f t="shared" si="1"/>
        <v>12960.000000000004</v>
      </c>
    </row>
    <row r="61" spans="1:18" x14ac:dyDescent="0.25">
      <c r="A61" s="1" t="s">
        <v>1323</v>
      </c>
      <c r="B61" s="1" t="s">
        <v>1324</v>
      </c>
      <c r="C61" s="1" t="s">
        <v>1439</v>
      </c>
      <c r="D61" s="1" t="s">
        <v>135</v>
      </c>
      <c r="E61" s="1" t="str">
        <f>IF(D61="","",IFERROR(INDEX(NameGender!$B$2:$B$90,MATCH(LOWER(TRIM(D61)),NameGender!$A$2:$A$90,0)),"Unknown"))</f>
        <v>Male</v>
      </c>
      <c r="F61" s="1">
        <v>42</v>
      </c>
      <c r="G61" s="1" t="s">
        <v>476</v>
      </c>
      <c r="H61" s="1" t="s">
        <v>1248</v>
      </c>
      <c r="I61" s="1" t="s">
        <v>60</v>
      </c>
      <c r="J61" s="1" t="s">
        <v>2125</v>
      </c>
      <c r="K61" s="1" t="s">
        <v>1361</v>
      </c>
      <c r="L61" s="1" t="s">
        <v>120</v>
      </c>
      <c r="M61" s="2" t="s">
        <v>1362</v>
      </c>
      <c r="N61" s="230">
        <v>10075</v>
      </c>
      <c r="O61" s="1">
        <v>28</v>
      </c>
      <c r="P61" s="230">
        <v>282100</v>
      </c>
      <c r="Q61" s="236">
        <f t="shared" si="0"/>
        <v>197470</v>
      </c>
      <c r="R61" s="236">
        <f t="shared" si="1"/>
        <v>84630</v>
      </c>
    </row>
    <row r="62" spans="1:18" x14ac:dyDescent="0.25">
      <c r="A62" s="1" t="s">
        <v>1325</v>
      </c>
      <c r="B62" s="1" t="s">
        <v>1326</v>
      </c>
      <c r="C62" s="1" t="s">
        <v>1440</v>
      </c>
      <c r="D62" s="1" t="s">
        <v>1133</v>
      </c>
      <c r="E62" s="1" t="str">
        <f>IF(D62="","",IFERROR(INDEX(NameGender!$B$2:$B$90,MATCH(LOWER(TRIM(D62)),NameGender!$A$2:$A$90,0)),"Unknown"))</f>
        <v>Female</v>
      </c>
      <c r="F62" s="1">
        <v>29</v>
      </c>
      <c r="G62" s="1" t="s">
        <v>1210</v>
      </c>
      <c r="H62" s="1" t="s">
        <v>1211</v>
      </c>
      <c r="I62" s="1" t="s">
        <v>191</v>
      </c>
      <c r="J62" s="1" t="s">
        <v>2126</v>
      </c>
      <c r="K62" s="1" t="s">
        <v>1363</v>
      </c>
      <c r="L62" s="1" t="s">
        <v>1226</v>
      </c>
      <c r="M62" s="2" t="s">
        <v>1364</v>
      </c>
      <c r="N62" s="230">
        <v>1620</v>
      </c>
      <c r="O62" s="1">
        <v>18</v>
      </c>
      <c r="P62" s="230">
        <v>29160</v>
      </c>
      <c r="Q62" s="236">
        <f t="shared" si="0"/>
        <v>20412</v>
      </c>
      <c r="R62" s="236">
        <f t="shared" si="1"/>
        <v>8748</v>
      </c>
    </row>
    <row r="63" spans="1:18" x14ac:dyDescent="0.25">
      <c r="A63" s="1" t="s">
        <v>1328</v>
      </c>
      <c r="B63" s="1" t="s">
        <v>1329</v>
      </c>
      <c r="C63" s="1" t="s">
        <v>1441</v>
      </c>
      <c r="D63" s="1" t="s">
        <v>262</v>
      </c>
      <c r="E63" s="1" t="str">
        <f>IF(D63="","",IFERROR(INDEX(NameGender!$B$2:$B$90,MATCH(LOWER(TRIM(D63)),NameGender!$A$2:$A$90,0)),"Unknown"))</f>
        <v>Male</v>
      </c>
      <c r="F63" s="1">
        <v>34</v>
      </c>
      <c r="G63" s="1" t="s">
        <v>1205</v>
      </c>
      <c r="H63" s="1" t="s">
        <v>1206</v>
      </c>
      <c r="I63" s="1" t="s">
        <v>67</v>
      </c>
      <c r="J63" s="1" t="s">
        <v>2127</v>
      </c>
      <c r="K63" s="1" t="s">
        <v>1365</v>
      </c>
      <c r="L63" s="1" t="s">
        <v>131</v>
      </c>
      <c r="M63" s="2" t="s">
        <v>1366</v>
      </c>
      <c r="N63" s="230">
        <v>2790</v>
      </c>
      <c r="O63" s="1">
        <v>17</v>
      </c>
      <c r="P63" s="230">
        <v>47430</v>
      </c>
      <c r="Q63" s="236">
        <f t="shared" si="0"/>
        <v>33201</v>
      </c>
      <c r="R63" s="236">
        <f t="shared" si="1"/>
        <v>14229</v>
      </c>
    </row>
    <row r="64" spans="1:18" x14ac:dyDescent="0.25">
      <c r="A64" s="1" t="s">
        <v>1330</v>
      </c>
      <c r="B64" s="1" t="s">
        <v>1331</v>
      </c>
      <c r="C64" s="1" t="s">
        <v>1442</v>
      </c>
      <c r="D64" s="1" t="s">
        <v>1120</v>
      </c>
      <c r="E64" s="1" t="str">
        <f>IF(D64="","",IFERROR(INDEX(NameGender!$B$2:$B$90,MATCH(LOWER(TRIM(D64)),NameGender!$A$2:$A$90,0)),"Unknown"))</f>
        <v>Male</v>
      </c>
      <c r="F64" s="1">
        <v>54</v>
      </c>
      <c r="G64" s="1" t="s">
        <v>1239</v>
      </c>
      <c r="H64" s="1" t="s">
        <v>1240</v>
      </c>
      <c r="I64" s="1" t="s">
        <v>74</v>
      </c>
      <c r="J64" s="1" t="s">
        <v>2128</v>
      </c>
      <c r="K64" s="1" t="s">
        <v>1</v>
      </c>
      <c r="L64" s="1" t="s">
        <v>138</v>
      </c>
      <c r="M64" s="2" t="s">
        <v>1208</v>
      </c>
      <c r="N64" s="230">
        <v>650</v>
      </c>
      <c r="O64" s="1">
        <v>37</v>
      </c>
      <c r="P64" s="230">
        <v>24050</v>
      </c>
      <c r="Q64" s="236">
        <f t="shared" si="0"/>
        <v>16835</v>
      </c>
      <c r="R64" s="236">
        <f t="shared" si="1"/>
        <v>7215</v>
      </c>
    </row>
    <row r="65" spans="1:18" x14ac:dyDescent="0.25">
      <c r="A65" s="1" t="s">
        <v>1332</v>
      </c>
      <c r="B65" s="1" t="s">
        <v>1333</v>
      </c>
      <c r="C65" s="1" t="s">
        <v>1443</v>
      </c>
      <c r="D65" s="1" t="s">
        <v>346</v>
      </c>
      <c r="E65" s="1" t="str">
        <f>IF(D65="","",IFERROR(INDEX(NameGender!$B$2:$B$90,MATCH(LOWER(TRIM(D65)),NameGender!$A$2:$A$90,0)),"Unknown"))</f>
        <v>Male</v>
      </c>
      <c r="F65" s="1">
        <v>29</v>
      </c>
      <c r="G65" s="1" t="s">
        <v>1205</v>
      </c>
      <c r="H65" s="1" t="s">
        <v>2255</v>
      </c>
      <c r="I65" s="1" t="s">
        <v>160</v>
      </c>
      <c r="J65" s="1" t="s">
        <v>2129</v>
      </c>
      <c r="K65" s="1" t="s">
        <v>1367</v>
      </c>
      <c r="L65" s="1" t="s">
        <v>1231</v>
      </c>
      <c r="M65" s="2" t="s">
        <v>1368</v>
      </c>
      <c r="N65" s="230">
        <v>3410</v>
      </c>
      <c r="O65" s="1">
        <v>18</v>
      </c>
      <c r="P65" s="230">
        <v>61380</v>
      </c>
      <c r="Q65" s="236">
        <f t="shared" si="0"/>
        <v>42966</v>
      </c>
      <c r="R65" s="236">
        <f t="shared" si="1"/>
        <v>18414</v>
      </c>
    </row>
    <row r="66" spans="1:18" x14ac:dyDescent="0.25">
      <c r="A66" s="1" t="s">
        <v>1334</v>
      </c>
      <c r="B66" s="1" t="s">
        <v>1335</v>
      </c>
      <c r="C66" s="1" t="s">
        <v>1444</v>
      </c>
      <c r="D66" s="1" t="s">
        <v>219</v>
      </c>
      <c r="E66" s="1" t="str">
        <f>IF(D66="","",IFERROR(INDEX(NameGender!$B$2:$B$90,MATCH(LOWER(TRIM(D66)),NameGender!$A$2:$A$90,0)),"Unknown"))</f>
        <v>Male</v>
      </c>
      <c r="F66" s="1">
        <v>58</v>
      </c>
      <c r="G66" s="1" t="s">
        <v>58</v>
      </c>
      <c r="H66" s="1" t="s">
        <v>59</v>
      </c>
      <c r="I66" s="1" t="s">
        <v>60</v>
      </c>
      <c r="J66" s="1" t="s">
        <v>2130</v>
      </c>
      <c r="K66" s="1" t="s">
        <v>232</v>
      </c>
      <c r="L66" s="1" t="s">
        <v>79</v>
      </c>
      <c r="M66" s="2" t="s">
        <v>1227</v>
      </c>
      <c r="N66" s="230">
        <v>2325</v>
      </c>
      <c r="O66" s="1">
        <v>41</v>
      </c>
      <c r="P66" s="230">
        <v>95325</v>
      </c>
      <c r="Q66" s="236">
        <f t="shared" si="0"/>
        <v>66727.5</v>
      </c>
      <c r="R66" s="236">
        <f t="shared" si="1"/>
        <v>28597.5</v>
      </c>
    </row>
    <row r="67" spans="1:18" x14ac:dyDescent="0.25">
      <c r="A67" s="1" t="s">
        <v>1336</v>
      </c>
      <c r="B67" s="1" t="s">
        <v>1337</v>
      </c>
      <c r="C67" s="1" t="s">
        <v>1445</v>
      </c>
      <c r="D67" s="1" t="s">
        <v>153</v>
      </c>
      <c r="E67" s="1" t="str">
        <f>IF(D67="","",IFERROR(INDEX(NameGender!$B$2:$B$90,MATCH(LOWER(TRIM(D67)),NameGender!$A$2:$A$90,0)),"Unknown"))</f>
        <v>Male</v>
      </c>
      <c r="F67" s="1">
        <v>51</v>
      </c>
      <c r="G67" s="1" t="s">
        <v>1224</v>
      </c>
      <c r="H67" s="1" t="s">
        <v>1225</v>
      </c>
      <c r="I67" s="1" t="s">
        <v>191</v>
      </c>
      <c r="J67" s="1" t="s">
        <v>2131</v>
      </c>
      <c r="K67" s="1" t="s">
        <v>1369</v>
      </c>
      <c r="L67" s="1" t="s">
        <v>155</v>
      </c>
      <c r="M67" s="2" t="s">
        <v>1370</v>
      </c>
      <c r="N67" s="230">
        <v>630</v>
      </c>
      <c r="O67" s="1">
        <v>22</v>
      </c>
      <c r="P67" s="230">
        <v>13860</v>
      </c>
      <c r="Q67" s="236">
        <f t="shared" ref="Q67:Q130" si="2">P67*70%</f>
        <v>9702</v>
      </c>
      <c r="R67" s="236">
        <f t="shared" ref="R67:R130" si="3">P67-Q67</f>
        <v>4158</v>
      </c>
    </row>
    <row r="68" spans="1:18" x14ac:dyDescent="0.25">
      <c r="A68" s="1" t="s">
        <v>1339</v>
      </c>
      <c r="B68" s="1" t="s">
        <v>1340</v>
      </c>
      <c r="C68" s="1" t="s">
        <v>1446</v>
      </c>
      <c r="D68" s="1" t="s">
        <v>300</v>
      </c>
      <c r="E68" s="1" t="str">
        <f>IF(D68="","",IFERROR(INDEX(NameGender!$B$2:$B$90,MATCH(LOWER(TRIM(D68)),NameGender!$A$2:$A$90,0)),"Unknown"))</f>
        <v>Male</v>
      </c>
      <c r="F68" s="1">
        <v>51</v>
      </c>
      <c r="G68" s="1" t="s">
        <v>476</v>
      </c>
      <c r="H68" s="1" t="s">
        <v>1248</v>
      </c>
      <c r="I68" s="1" t="s">
        <v>67</v>
      </c>
      <c r="J68" s="1" t="s">
        <v>2132</v>
      </c>
      <c r="K68" s="1" t="s">
        <v>1371</v>
      </c>
      <c r="L68" s="1" t="s">
        <v>1236</v>
      </c>
      <c r="M68" s="2" t="s">
        <v>1242</v>
      </c>
      <c r="N68" s="230">
        <v>2713</v>
      </c>
      <c r="O68" s="1">
        <v>18</v>
      </c>
      <c r="P68" s="230">
        <v>48834</v>
      </c>
      <c r="Q68" s="236">
        <f t="shared" si="2"/>
        <v>34183.799999999996</v>
      </c>
      <c r="R68" s="236">
        <f t="shared" si="3"/>
        <v>14650.200000000004</v>
      </c>
    </row>
    <row r="69" spans="1:18" x14ac:dyDescent="0.25">
      <c r="A69" s="1" t="s">
        <v>1341</v>
      </c>
      <c r="B69" s="1" t="s">
        <v>1342</v>
      </c>
      <c r="C69" s="1" t="s">
        <v>1447</v>
      </c>
      <c r="D69" s="1" t="s">
        <v>1119</v>
      </c>
      <c r="E69" s="1" t="str">
        <f>IF(D69="","",IFERROR(INDEX(NameGender!$B$2:$B$90,MATCH(LOWER(TRIM(D69)),NameGender!$A$2:$A$90,0)),"Unknown"))</f>
        <v>Female</v>
      </c>
      <c r="F69" s="1">
        <v>56</v>
      </c>
      <c r="G69" s="1" t="s">
        <v>58</v>
      </c>
      <c r="H69" s="1" t="s">
        <v>59</v>
      </c>
      <c r="I69" s="1" t="s">
        <v>160</v>
      </c>
      <c r="J69" s="1" t="s">
        <v>2133</v>
      </c>
      <c r="K69" s="1" t="s">
        <v>1372</v>
      </c>
      <c r="L69" s="1" t="s">
        <v>342</v>
      </c>
      <c r="M69" s="2" t="s">
        <v>1373</v>
      </c>
      <c r="N69" s="230">
        <v>6510</v>
      </c>
      <c r="O69" s="1">
        <v>27</v>
      </c>
      <c r="P69" s="230">
        <v>175770</v>
      </c>
      <c r="Q69" s="236">
        <f t="shared" si="2"/>
        <v>123038.99999999999</v>
      </c>
      <c r="R69" s="236">
        <f t="shared" si="3"/>
        <v>52731.000000000015</v>
      </c>
    </row>
    <row r="70" spans="1:18" x14ac:dyDescent="0.25">
      <c r="A70" s="1" t="s">
        <v>1343</v>
      </c>
      <c r="B70" s="1" t="s">
        <v>1344</v>
      </c>
      <c r="C70" s="1" t="s">
        <v>1448</v>
      </c>
      <c r="D70" s="1" t="s">
        <v>2526</v>
      </c>
      <c r="E70" s="1" t="str">
        <f>IF(D70="","",IFERROR(INDEX(NameGender!$B$2:$B$90,MATCH(LOWER(TRIM(D70)),NameGender!$A$2:$A$90,0)),"Unknown"))</f>
        <v>Female</v>
      </c>
      <c r="F70" s="1">
        <v>36</v>
      </c>
      <c r="G70" s="1" t="s">
        <v>1224</v>
      </c>
      <c r="H70" s="1" t="s">
        <v>1225</v>
      </c>
      <c r="I70" s="1" t="s">
        <v>74</v>
      </c>
      <c r="J70" s="1" t="s">
        <v>2134</v>
      </c>
      <c r="K70" s="1" t="s">
        <v>1374</v>
      </c>
      <c r="L70" s="1" t="s">
        <v>1292</v>
      </c>
      <c r="M70" s="2" t="s">
        <v>1375</v>
      </c>
      <c r="N70" s="230">
        <v>810</v>
      </c>
      <c r="O70" s="1">
        <v>39</v>
      </c>
      <c r="P70" s="230">
        <v>31590</v>
      </c>
      <c r="Q70" s="236">
        <f t="shared" si="2"/>
        <v>22113</v>
      </c>
      <c r="R70" s="236">
        <f t="shared" si="3"/>
        <v>9477</v>
      </c>
    </row>
    <row r="71" spans="1:18" x14ac:dyDescent="0.25">
      <c r="A71" s="1" t="s">
        <v>1346</v>
      </c>
      <c r="B71" s="1" t="s">
        <v>1347</v>
      </c>
      <c r="C71" s="1" t="s">
        <v>1449</v>
      </c>
      <c r="D71" s="1" t="s">
        <v>1117</v>
      </c>
      <c r="E71" s="1" t="str">
        <f>IF(D71="","",IFERROR(INDEX(NameGender!$B$2:$B$90,MATCH(LOWER(TRIM(D71)),NameGender!$A$2:$A$90,0)),"Unknown"))</f>
        <v>Female</v>
      </c>
      <c r="F71" s="1">
        <v>56</v>
      </c>
      <c r="G71" s="1" t="s">
        <v>1210</v>
      </c>
      <c r="H71" s="1" t="s">
        <v>1211</v>
      </c>
      <c r="I71" s="1" t="s">
        <v>263</v>
      </c>
      <c r="J71" s="1" t="s">
        <v>2135</v>
      </c>
      <c r="K71" s="1" t="s">
        <v>1376</v>
      </c>
      <c r="L71" s="1" t="s">
        <v>1297</v>
      </c>
      <c r="M71" s="2" t="s">
        <v>1377</v>
      </c>
      <c r="N71" s="230">
        <v>10075</v>
      </c>
      <c r="O71" s="1">
        <v>25</v>
      </c>
      <c r="P71" s="230">
        <v>251875</v>
      </c>
      <c r="Q71" s="236">
        <f t="shared" si="2"/>
        <v>176312.5</v>
      </c>
      <c r="R71" s="236">
        <f t="shared" si="3"/>
        <v>75562.5</v>
      </c>
    </row>
    <row r="72" spans="1:18" x14ac:dyDescent="0.25">
      <c r="A72" s="1" t="s">
        <v>1487</v>
      </c>
      <c r="B72" s="1" t="s">
        <v>1507</v>
      </c>
      <c r="C72" s="1" t="s">
        <v>1527</v>
      </c>
      <c r="D72" s="1" t="s">
        <v>1117</v>
      </c>
      <c r="E72" s="1" t="str">
        <f>IF(D72="","",IFERROR(INDEX(NameGender!$B$2:$B$90,MATCH(LOWER(TRIM(D72)),NameGender!$A$2:$A$90,0)),"Unknown"))</f>
        <v>Female</v>
      </c>
      <c r="F72" s="1">
        <v>34</v>
      </c>
      <c r="G72" s="1" t="s">
        <v>2528</v>
      </c>
      <c r="H72" s="1" t="s">
        <v>2534</v>
      </c>
      <c r="I72" s="1" t="s">
        <v>74</v>
      </c>
      <c r="J72" s="1" t="s">
        <v>2136</v>
      </c>
      <c r="K72" s="1" t="s">
        <v>1349</v>
      </c>
      <c r="L72" s="1" t="s">
        <v>1287</v>
      </c>
      <c r="M72" s="2" t="s">
        <v>1355</v>
      </c>
      <c r="N72" s="230">
        <v>1530</v>
      </c>
      <c r="O72" s="1">
        <v>34</v>
      </c>
      <c r="P72" s="230">
        <v>52020</v>
      </c>
      <c r="Q72" s="236">
        <f t="shared" si="2"/>
        <v>36414</v>
      </c>
      <c r="R72" s="236">
        <f t="shared" si="3"/>
        <v>15606</v>
      </c>
    </row>
    <row r="73" spans="1:18" x14ac:dyDescent="0.25">
      <c r="A73" s="1" t="s">
        <v>1488</v>
      </c>
      <c r="B73" s="1" t="s">
        <v>1508</v>
      </c>
      <c r="C73" s="1" t="s">
        <v>1528</v>
      </c>
      <c r="D73" s="1" t="s">
        <v>1117</v>
      </c>
      <c r="E73" s="1" t="str">
        <f>IF(D73="","",IFERROR(INDEX(NameGender!$B$2:$B$90,MATCH(LOWER(TRIM(D73)),NameGender!$A$2:$A$90,0)),"Unknown"))</f>
        <v>Female</v>
      </c>
      <c r="F73" s="1">
        <v>27</v>
      </c>
      <c r="G73" s="1" t="s">
        <v>1205</v>
      </c>
      <c r="H73" s="1" t="s">
        <v>1309</v>
      </c>
      <c r="I73" s="1" t="s">
        <v>160</v>
      </c>
      <c r="J73" s="1" t="s">
        <v>2137</v>
      </c>
      <c r="K73" s="1" t="s">
        <v>1549</v>
      </c>
      <c r="L73" s="1" t="s">
        <v>1221</v>
      </c>
      <c r="M73" s="2" t="s">
        <v>1283</v>
      </c>
      <c r="N73" s="230">
        <v>4960</v>
      </c>
      <c r="O73" s="1">
        <v>29</v>
      </c>
      <c r="P73" s="230">
        <v>143840</v>
      </c>
      <c r="Q73" s="236">
        <f t="shared" si="2"/>
        <v>100688</v>
      </c>
      <c r="R73" s="236">
        <f t="shared" si="3"/>
        <v>43152</v>
      </c>
    </row>
    <row r="74" spans="1:18" x14ac:dyDescent="0.25">
      <c r="A74" s="1" t="s">
        <v>1489</v>
      </c>
      <c r="B74" s="1" t="s">
        <v>1509</v>
      </c>
      <c r="C74" s="1" t="s">
        <v>1529</v>
      </c>
      <c r="D74" s="1" t="s">
        <v>231</v>
      </c>
      <c r="E74" s="1" t="str">
        <f>IF(D74="","",IFERROR(INDEX(NameGender!$B$2:$B$90,MATCH(LOWER(TRIM(D74)),NameGender!$A$2:$A$90,0)),"Unknown"))</f>
        <v>Male</v>
      </c>
      <c r="F74" s="1">
        <v>49</v>
      </c>
      <c r="G74" s="1" t="s">
        <v>1210</v>
      </c>
      <c r="H74" s="1" t="s">
        <v>1211</v>
      </c>
      <c r="I74" s="1" t="s">
        <v>60</v>
      </c>
      <c r="J74" s="1" t="s">
        <v>2138</v>
      </c>
      <c r="K74" s="1" t="s">
        <v>1550</v>
      </c>
      <c r="L74" s="1" t="s">
        <v>138</v>
      </c>
      <c r="M74" s="2" t="s">
        <v>1370</v>
      </c>
      <c r="N74" s="230">
        <v>20250</v>
      </c>
      <c r="O74" s="1">
        <v>45</v>
      </c>
      <c r="P74" s="230">
        <v>911250</v>
      </c>
      <c r="Q74" s="236">
        <f t="shared" si="2"/>
        <v>637875</v>
      </c>
      <c r="R74" s="236">
        <f t="shared" si="3"/>
        <v>273375</v>
      </c>
    </row>
    <row r="75" spans="1:18" x14ac:dyDescent="0.25">
      <c r="A75" s="1" t="s">
        <v>1490</v>
      </c>
      <c r="B75" s="1" t="s">
        <v>1510</v>
      </c>
      <c r="C75" s="1" t="s">
        <v>1530</v>
      </c>
      <c r="D75" s="1" t="s">
        <v>153</v>
      </c>
      <c r="E75" s="1" t="str">
        <f>IF(D75="","",IFERROR(INDEX(NameGender!$B$2:$B$90,MATCH(LOWER(TRIM(D75)),NameGender!$A$2:$A$90,0)),"Unknown"))</f>
        <v>Male</v>
      </c>
      <c r="F75" s="1">
        <v>41</v>
      </c>
      <c r="G75" s="1" t="s">
        <v>1239</v>
      </c>
      <c r="H75" s="1" t="s">
        <v>1240</v>
      </c>
      <c r="I75" s="1" t="s">
        <v>263</v>
      </c>
      <c r="J75" s="1" t="s">
        <v>2139</v>
      </c>
      <c r="K75" s="1" t="s">
        <v>1551</v>
      </c>
      <c r="L75" s="1" t="s">
        <v>1212</v>
      </c>
      <c r="M75" s="2" t="s">
        <v>1227</v>
      </c>
      <c r="N75" s="230">
        <v>6975</v>
      </c>
      <c r="O75" s="1">
        <v>12</v>
      </c>
      <c r="P75" s="230">
        <v>83700</v>
      </c>
      <c r="Q75" s="236">
        <f t="shared" si="2"/>
        <v>58589.999999999993</v>
      </c>
      <c r="R75" s="236">
        <f t="shared" si="3"/>
        <v>25110.000000000007</v>
      </c>
    </row>
    <row r="76" spans="1:18" x14ac:dyDescent="0.25">
      <c r="A76" s="1" t="s">
        <v>1491</v>
      </c>
      <c r="B76" s="1" t="s">
        <v>1511</v>
      </c>
      <c r="C76" s="1" t="s">
        <v>1531</v>
      </c>
      <c r="D76" s="1" t="s">
        <v>1123</v>
      </c>
      <c r="E76" s="1" t="str">
        <f>IF(D76="","",IFERROR(INDEX(NameGender!$B$2:$B$90,MATCH(LOWER(TRIM(D76)),NameGender!$A$2:$A$90,0)),"Unknown"))</f>
        <v>Female</v>
      </c>
      <c r="F76" s="1">
        <v>56</v>
      </c>
      <c r="G76" s="1" t="s">
        <v>1219</v>
      </c>
      <c r="H76" s="1" t="s">
        <v>1220</v>
      </c>
      <c r="I76" s="1" t="s">
        <v>67</v>
      </c>
      <c r="J76" s="1" t="s">
        <v>2140</v>
      </c>
      <c r="K76" s="1" t="s">
        <v>1552</v>
      </c>
      <c r="L76" s="1" t="s">
        <v>354</v>
      </c>
      <c r="M76" s="2" t="s">
        <v>1246</v>
      </c>
      <c r="N76" s="230">
        <v>890</v>
      </c>
      <c r="O76" s="1">
        <v>12</v>
      </c>
      <c r="P76" s="230">
        <v>10680</v>
      </c>
      <c r="Q76" s="236">
        <f t="shared" si="2"/>
        <v>7475.9999999999991</v>
      </c>
      <c r="R76" s="236">
        <f t="shared" si="3"/>
        <v>3204.0000000000009</v>
      </c>
    </row>
    <row r="77" spans="1:18" x14ac:dyDescent="0.25">
      <c r="A77" s="1" t="s">
        <v>1492</v>
      </c>
      <c r="B77" s="1" t="s">
        <v>1512</v>
      </c>
      <c r="C77" s="1" t="s">
        <v>1532</v>
      </c>
      <c r="D77" s="1" t="s">
        <v>148</v>
      </c>
      <c r="E77" s="1" t="str">
        <f>IF(D77="","",IFERROR(INDEX(NameGender!$B$2:$B$90,MATCH(LOWER(TRIM(D77)),NameGender!$A$2:$A$90,0)),"Unknown"))</f>
        <v>Male</v>
      </c>
      <c r="F77" s="1">
        <v>23</v>
      </c>
      <c r="G77" s="1" t="s">
        <v>1261</v>
      </c>
      <c r="H77" s="1" t="s">
        <v>1262</v>
      </c>
      <c r="I77" s="1" t="s">
        <v>191</v>
      </c>
      <c r="J77" s="1" t="s">
        <v>2141</v>
      </c>
      <c r="K77" s="1" t="s">
        <v>1352</v>
      </c>
      <c r="L77" s="1" t="s">
        <v>79</v>
      </c>
      <c r="M77" s="2" t="s">
        <v>1563</v>
      </c>
      <c r="N77" s="230">
        <v>1170</v>
      </c>
      <c r="O77" s="1">
        <v>30</v>
      </c>
      <c r="P77" s="230">
        <v>35100</v>
      </c>
      <c r="Q77" s="236">
        <f t="shared" si="2"/>
        <v>24570</v>
      </c>
      <c r="R77" s="236">
        <f t="shared" si="3"/>
        <v>10530</v>
      </c>
    </row>
    <row r="78" spans="1:18" x14ac:dyDescent="0.25">
      <c r="A78" s="1" t="s">
        <v>1493</v>
      </c>
      <c r="B78" s="1" t="s">
        <v>1513</v>
      </c>
      <c r="C78" s="1" t="s">
        <v>1533</v>
      </c>
      <c r="D78" s="1" t="s">
        <v>117</v>
      </c>
      <c r="E78" s="1" t="str">
        <f>IF(D78="","",IFERROR(INDEX(NameGender!$B$2:$B$90,MATCH(LOWER(TRIM(D78)),NameGender!$A$2:$A$90,0)),"Unknown"))</f>
        <v>Male</v>
      </c>
      <c r="F78" s="1">
        <v>38</v>
      </c>
      <c r="G78" s="1" t="s">
        <v>1239</v>
      </c>
      <c r="H78" s="1" t="s">
        <v>2254</v>
      </c>
      <c r="I78" s="1" t="s">
        <v>86</v>
      </c>
      <c r="J78" s="1" t="s">
        <v>2142</v>
      </c>
      <c r="K78" s="1" t="s">
        <v>1553</v>
      </c>
      <c r="L78" s="1" t="s">
        <v>107</v>
      </c>
      <c r="M78" s="2" t="s">
        <v>1564</v>
      </c>
      <c r="N78" s="230">
        <v>1860</v>
      </c>
      <c r="O78" s="1">
        <v>26</v>
      </c>
      <c r="P78" s="230">
        <v>48360</v>
      </c>
      <c r="Q78" s="236">
        <f t="shared" si="2"/>
        <v>33852</v>
      </c>
      <c r="R78" s="236">
        <f t="shared" si="3"/>
        <v>14508</v>
      </c>
    </row>
    <row r="79" spans="1:18" x14ac:dyDescent="0.25">
      <c r="A79" s="1" t="s">
        <v>1494</v>
      </c>
      <c r="B79" s="1" t="s">
        <v>1514</v>
      </c>
      <c r="C79" s="1" t="s">
        <v>1534</v>
      </c>
      <c r="D79" s="1" t="s">
        <v>184</v>
      </c>
      <c r="E79" s="1" t="str">
        <f>IF(D79="","",IFERROR(INDEX(NameGender!$B$2:$B$90,MATCH(LOWER(TRIM(D79)),NameGender!$A$2:$A$90,0)),"Unknown"))</f>
        <v>Male</v>
      </c>
      <c r="F79" s="1">
        <v>45</v>
      </c>
      <c r="G79" s="1" t="s">
        <v>1234</v>
      </c>
      <c r="H79" s="1" t="s">
        <v>1235</v>
      </c>
      <c r="I79" s="1" t="s">
        <v>282</v>
      </c>
      <c r="J79" s="1" t="s">
        <v>2143</v>
      </c>
      <c r="K79" s="1" t="s">
        <v>1554</v>
      </c>
      <c r="L79" s="1" t="s">
        <v>131</v>
      </c>
      <c r="M79" s="2" t="s">
        <v>1350</v>
      </c>
      <c r="N79" s="230">
        <v>2790</v>
      </c>
      <c r="O79" s="1">
        <v>12</v>
      </c>
      <c r="P79" s="230">
        <v>33480</v>
      </c>
      <c r="Q79" s="236">
        <f t="shared" si="2"/>
        <v>23436</v>
      </c>
      <c r="R79" s="236">
        <f t="shared" si="3"/>
        <v>10044</v>
      </c>
    </row>
    <row r="80" spans="1:18" x14ac:dyDescent="0.25">
      <c r="A80" s="1" t="s">
        <v>1495</v>
      </c>
      <c r="B80" s="1" t="s">
        <v>1515</v>
      </c>
      <c r="C80" s="1" t="s">
        <v>1535</v>
      </c>
      <c r="D80" s="1" t="s">
        <v>1143</v>
      </c>
      <c r="E80" s="1" t="str">
        <f>IF(D80="","",IFERROR(INDEX(NameGender!$B$2:$B$90,MATCH(LOWER(TRIM(D80)),NameGender!$A$2:$A$90,0)),"Unknown"))</f>
        <v>Female</v>
      </c>
      <c r="F80" s="1">
        <v>31</v>
      </c>
      <c r="G80" s="1" t="s">
        <v>1239</v>
      </c>
      <c r="H80" s="1" t="s">
        <v>2247</v>
      </c>
      <c r="I80" s="1" t="s">
        <v>112</v>
      </c>
      <c r="J80" s="1" t="s">
        <v>2144</v>
      </c>
      <c r="K80" s="1" t="s">
        <v>1555</v>
      </c>
      <c r="L80" s="1" t="s">
        <v>1226</v>
      </c>
      <c r="M80" s="2" t="s">
        <v>1565</v>
      </c>
      <c r="N80" s="230">
        <v>1350</v>
      </c>
      <c r="O80" s="1">
        <v>8</v>
      </c>
      <c r="P80" s="230">
        <v>10800</v>
      </c>
      <c r="Q80" s="236">
        <f t="shared" si="2"/>
        <v>7559.9999999999991</v>
      </c>
      <c r="R80" s="236">
        <f t="shared" si="3"/>
        <v>3240.0000000000009</v>
      </c>
    </row>
    <row r="81" spans="1:18" x14ac:dyDescent="0.25">
      <c r="A81" s="1" t="s">
        <v>1496</v>
      </c>
      <c r="B81" s="1" t="s">
        <v>1516</v>
      </c>
      <c r="C81" s="1" t="s">
        <v>1536</v>
      </c>
      <c r="D81" s="1" t="s">
        <v>166</v>
      </c>
      <c r="E81" s="1" t="str">
        <f>IF(D81="","",IFERROR(INDEX(NameGender!$B$2:$B$90,MATCH(LOWER(TRIM(D81)),NameGender!$A$2:$A$90,0)),"Unknown"))</f>
        <v>Male</v>
      </c>
      <c r="F81" s="1">
        <v>52</v>
      </c>
      <c r="G81" s="1" t="s">
        <v>58</v>
      </c>
      <c r="H81" s="1" t="s">
        <v>59</v>
      </c>
      <c r="I81" s="1" t="s">
        <v>136</v>
      </c>
      <c r="J81" s="1" t="s">
        <v>2145</v>
      </c>
      <c r="K81" s="1" t="s">
        <v>1556</v>
      </c>
      <c r="L81" s="1" t="s">
        <v>1259</v>
      </c>
      <c r="M81" s="2" t="s">
        <v>1566</v>
      </c>
      <c r="N81" s="230">
        <v>9610</v>
      </c>
      <c r="O81" s="1">
        <v>33</v>
      </c>
      <c r="P81" s="230">
        <v>317130</v>
      </c>
      <c r="Q81" s="236">
        <f t="shared" si="2"/>
        <v>221991</v>
      </c>
      <c r="R81" s="236">
        <f t="shared" si="3"/>
        <v>95139</v>
      </c>
    </row>
    <row r="82" spans="1:18" x14ac:dyDescent="0.25">
      <c r="A82" s="1" t="s">
        <v>1497</v>
      </c>
      <c r="B82" s="1" t="s">
        <v>1517</v>
      </c>
      <c r="C82" s="1" t="s">
        <v>1537</v>
      </c>
      <c r="D82" s="1" t="s">
        <v>346</v>
      </c>
      <c r="E82" s="1" t="str">
        <f>IF(D82="","",IFERROR(INDEX(NameGender!$B$2:$B$90,MATCH(LOWER(TRIM(D82)),NameGender!$A$2:$A$90,0)),"Unknown"))</f>
        <v>Male</v>
      </c>
      <c r="F82" s="1">
        <v>28</v>
      </c>
      <c r="G82" s="1" t="s">
        <v>2531</v>
      </c>
      <c r="H82" s="1" t="s">
        <v>2533</v>
      </c>
      <c r="I82" s="1" t="s">
        <v>250</v>
      </c>
      <c r="J82" s="1" t="s">
        <v>2146</v>
      </c>
      <c r="K82" s="1" t="s">
        <v>1557</v>
      </c>
      <c r="L82" s="1" t="s">
        <v>62</v>
      </c>
      <c r="M82" s="2" t="s">
        <v>1213</v>
      </c>
      <c r="N82" s="230">
        <v>810</v>
      </c>
      <c r="O82" s="1">
        <v>33</v>
      </c>
      <c r="P82" s="230">
        <v>26730</v>
      </c>
      <c r="Q82" s="236">
        <f t="shared" si="2"/>
        <v>18711</v>
      </c>
      <c r="R82" s="236">
        <f t="shared" si="3"/>
        <v>8019</v>
      </c>
    </row>
    <row r="83" spans="1:18" x14ac:dyDescent="0.25">
      <c r="A83" s="1" t="s">
        <v>1498</v>
      </c>
      <c r="B83" s="1" t="s">
        <v>1518</v>
      </c>
      <c r="C83" s="1" t="s">
        <v>1538</v>
      </c>
      <c r="D83" s="1" t="s">
        <v>2520</v>
      </c>
      <c r="E83" s="1" t="str">
        <f>IF(D83="","",IFERROR(INDEX(NameGender!$B$2:$B$90,MATCH(LOWER(TRIM(D83)),NameGender!$A$2:$A$90,0)),"Unknown"))</f>
        <v>Male</v>
      </c>
      <c r="F83" s="1">
        <v>36</v>
      </c>
      <c r="G83" s="1" t="s">
        <v>1261</v>
      </c>
      <c r="H83" s="1" t="s">
        <v>1262</v>
      </c>
      <c r="I83" s="1" t="s">
        <v>118</v>
      </c>
      <c r="J83" s="1" t="s">
        <v>2147</v>
      </c>
      <c r="K83" s="1" t="s">
        <v>185</v>
      </c>
      <c r="L83" s="1" t="s">
        <v>1207</v>
      </c>
      <c r="M83" s="2" t="s">
        <v>63</v>
      </c>
      <c r="N83" s="230">
        <v>3255</v>
      </c>
      <c r="O83" s="1">
        <v>26</v>
      </c>
      <c r="P83" s="230">
        <v>84630</v>
      </c>
      <c r="Q83" s="236">
        <f t="shared" si="2"/>
        <v>59240.999999999993</v>
      </c>
      <c r="R83" s="236">
        <f t="shared" si="3"/>
        <v>25389.000000000007</v>
      </c>
    </row>
    <row r="84" spans="1:18" x14ac:dyDescent="0.25">
      <c r="A84" s="1" t="s">
        <v>1499</v>
      </c>
      <c r="B84" s="1" t="s">
        <v>1519</v>
      </c>
      <c r="C84" s="1" t="s">
        <v>1539</v>
      </c>
      <c r="D84" s="1" t="s">
        <v>219</v>
      </c>
      <c r="E84" s="1" t="str">
        <f>IF(D84="","",IFERROR(INDEX(NameGender!$B$2:$B$90,MATCH(LOWER(TRIM(D84)),NameGender!$A$2:$A$90,0)),"Unknown"))</f>
        <v>Male</v>
      </c>
      <c r="F84" s="1">
        <v>44</v>
      </c>
      <c r="G84" s="1" t="s">
        <v>1210</v>
      </c>
      <c r="H84" s="1" t="s">
        <v>1211</v>
      </c>
      <c r="I84" s="1" t="s">
        <v>74</v>
      </c>
      <c r="J84" s="1" t="s">
        <v>2148</v>
      </c>
      <c r="K84" s="1" t="s">
        <v>1558</v>
      </c>
      <c r="L84" s="1" t="s">
        <v>75</v>
      </c>
      <c r="M84" s="2" t="s">
        <v>1208</v>
      </c>
      <c r="N84" s="230">
        <v>1860</v>
      </c>
      <c r="O84" s="1">
        <v>47</v>
      </c>
      <c r="P84" s="230">
        <v>87420</v>
      </c>
      <c r="Q84" s="236">
        <f t="shared" si="2"/>
        <v>61193.999999999993</v>
      </c>
      <c r="R84" s="236">
        <f t="shared" si="3"/>
        <v>26226.000000000007</v>
      </c>
    </row>
    <row r="85" spans="1:18" x14ac:dyDescent="0.25">
      <c r="A85" s="1" t="s">
        <v>1500</v>
      </c>
      <c r="B85" s="1" t="s">
        <v>1520</v>
      </c>
      <c r="C85" s="1" t="s">
        <v>1540</v>
      </c>
      <c r="D85" s="1" t="s">
        <v>208</v>
      </c>
      <c r="E85" s="1" t="str">
        <f>IF(D85="","",IFERROR(INDEX(NameGender!$B$2:$B$90,MATCH(LOWER(TRIM(D85)),NameGender!$A$2:$A$90,0)),"Unknown"))</f>
        <v>Male</v>
      </c>
      <c r="F85" s="1">
        <v>29</v>
      </c>
      <c r="G85" s="1" t="s">
        <v>2528</v>
      </c>
      <c r="H85" s="1" t="s">
        <v>2534</v>
      </c>
      <c r="I85" s="1" t="s">
        <v>160</v>
      </c>
      <c r="J85" s="1" t="s">
        <v>2149</v>
      </c>
      <c r="K85" s="1" t="s">
        <v>244</v>
      </c>
      <c r="L85" s="1" t="s">
        <v>94</v>
      </c>
      <c r="M85" s="2" t="s">
        <v>76</v>
      </c>
      <c r="N85" s="230">
        <v>4340</v>
      </c>
      <c r="O85" s="1">
        <v>23</v>
      </c>
      <c r="P85" s="230">
        <v>99820</v>
      </c>
      <c r="Q85" s="236">
        <f t="shared" si="2"/>
        <v>69874</v>
      </c>
      <c r="R85" s="236">
        <f t="shared" si="3"/>
        <v>29946</v>
      </c>
    </row>
    <row r="86" spans="1:18" x14ac:dyDescent="0.25">
      <c r="A86" s="1" t="s">
        <v>1501</v>
      </c>
      <c r="B86" s="1" t="s">
        <v>1521</v>
      </c>
      <c r="C86" s="1" t="s">
        <v>1541</v>
      </c>
      <c r="D86" s="1" t="s">
        <v>219</v>
      </c>
      <c r="E86" s="1" t="str">
        <f>IF(D86="","",IFERROR(INDEX(NameGender!$B$2:$B$90,MATCH(LOWER(TRIM(D86)),NameGender!$A$2:$A$90,0)),"Unknown"))</f>
        <v>Male</v>
      </c>
      <c r="F86" s="1">
        <v>57</v>
      </c>
      <c r="G86" s="1" t="s">
        <v>1257</v>
      </c>
      <c r="H86" s="1" t="s">
        <v>1258</v>
      </c>
      <c r="I86" s="1" t="s">
        <v>60</v>
      </c>
      <c r="J86" s="1" t="s">
        <v>2150</v>
      </c>
      <c r="K86" s="1" t="s">
        <v>1559</v>
      </c>
      <c r="L86" s="1" t="s">
        <v>1254</v>
      </c>
      <c r="M86" s="2" t="s">
        <v>1242</v>
      </c>
      <c r="N86" s="230">
        <v>8680</v>
      </c>
      <c r="O86" s="1">
        <v>32</v>
      </c>
      <c r="P86" s="230">
        <v>277760</v>
      </c>
      <c r="Q86" s="236">
        <f t="shared" si="2"/>
        <v>194432</v>
      </c>
      <c r="R86" s="236">
        <f t="shared" si="3"/>
        <v>83328</v>
      </c>
    </row>
    <row r="87" spans="1:18" x14ac:dyDescent="0.25">
      <c r="A87" s="1" t="s">
        <v>1502</v>
      </c>
      <c r="B87" s="1" t="s">
        <v>1522</v>
      </c>
      <c r="C87" s="1" t="s">
        <v>1542</v>
      </c>
      <c r="D87" s="1" t="s">
        <v>2524</v>
      </c>
      <c r="E87" s="1" t="str">
        <f>IF(D87="","",IFERROR(INDEX(NameGender!$B$2:$B$90,MATCH(LOWER(TRIM(D87)),NameGender!$A$2:$A$90,0)),"Unknown"))</f>
        <v>Female</v>
      </c>
      <c r="F87" s="1">
        <v>33</v>
      </c>
      <c r="G87" s="1" t="s">
        <v>1271</v>
      </c>
      <c r="H87" s="1" t="s">
        <v>2256</v>
      </c>
      <c r="I87" s="1" t="s">
        <v>263</v>
      </c>
      <c r="J87" s="1" t="s">
        <v>2151</v>
      </c>
      <c r="K87" s="1" t="s">
        <v>1560</v>
      </c>
      <c r="L87" s="1" t="s">
        <v>144</v>
      </c>
      <c r="M87" s="2" t="s">
        <v>1373</v>
      </c>
      <c r="N87" s="230">
        <v>2480</v>
      </c>
      <c r="O87" s="1">
        <v>12</v>
      </c>
      <c r="P87" s="230">
        <v>29760</v>
      </c>
      <c r="Q87" s="236">
        <f t="shared" si="2"/>
        <v>20832</v>
      </c>
      <c r="R87" s="236">
        <f t="shared" si="3"/>
        <v>8928</v>
      </c>
    </row>
    <row r="88" spans="1:18" x14ac:dyDescent="0.25">
      <c r="A88" s="1" t="s">
        <v>1503</v>
      </c>
      <c r="B88" s="1" t="s">
        <v>1523</v>
      </c>
      <c r="C88" s="1" t="s">
        <v>1543</v>
      </c>
      <c r="D88" s="1" t="s">
        <v>1141</v>
      </c>
      <c r="E88" s="1" t="str">
        <f>IF(D88="","",IFERROR(INDEX(NameGender!$B$2:$B$90,MATCH(LOWER(TRIM(D88)),NameGender!$A$2:$A$90,0)),"Unknown"))</f>
        <v>Female</v>
      </c>
      <c r="F88" s="1">
        <v>48</v>
      </c>
      <c r="G88" s="1" t="s">
        <v>1280</v>
      </c>
      <c r="H88" s="1" t="s">
        <v>2530</v>
      </c>
      <c r="I88" s="1" t="s">
        <v>67</v>
      </c>
      <c r="J88" s="1" t="s">
        <v>2152</v>
      </c>
      <c r="K88" s="1" t="s">
        <v>1356</v>
      </c>
      <c r="L88" s="1" t="s">
        <v>258</v>
      </c>
      <c r="M88" s="2" t="s">
        <v>1375</v>
      </c>
      <c r="N88" s="230">
        <v>3410</v>
      </c>
      <c r="O88" s="1">
        <v>14</v>
      </c>
      <c r="P88" s="230">
        <v>47740</v>
      </c>
      <c r="Q88" s="236">
        <f t="shared" si="2"/>
        <v>33418</v>
      </c>
      <c r="R88" s="236">
        <f t="shared" si="3"/>
        <v>14322</v>
      </c>
    </row>
    <row r="89" spans="1:18" x14ac:dyDescent="0.25">
      <c r="A89" s="1" t="s">
        <v>1504</v>
      </c>
      <c r="B89" s="1" t="s">
        <v>1524</v>
      </c>
      <c r="C89" s="1" t="s">
        <v>1544</v>
      </c>
      <c r="D89" s="1" t="s">
        <v>1141</v>
      </c>
      <c r="E89" s="1" t="str">
        <f>IF(D89="","",IFERROR(INDEX(NameGender!$B$2:$B$90,MATCH(LOWER(TRIM(D89)),NameGender!$A$2:$A$90,0)),"Unknown"))</f>
        <v>Female</v>
      </c>
      <c r="F89" s="1">
        <v>25</v>
      </c>
      <c r="G89" s="1" t="s">
        <v>58</v>
      </c>
      <c r="H89" s="1" t="s">
        <v>59</v>
      </c>
      <c r="I89" s="1" t="s">
        <v>191</v>
      </c>
      <c r="J89" s="1" t="s">
        <v>2153</v>
      </c>
      <c r="K89" s="1" t="s">
        <v>1376</v>
      </c>
      <c r="L89" s="1" t="s">
        <v>296</v>
      </c>
      <c r="M89" s="2" t="s">
        <v>1377</v>
      </c>
      <c r="N89" s="230">
        <v>5890</v>
      </c>
      <c r="O89" s="1">
        <v>34</v>
      </c>
      <c r="P89" s="230">
        <v>200260</v>
      </c>
      <c r="Q89" s="236">
        <f t="shared" si="2"/>
        <v>140182</v>
      </c>
      <c r="R89" s="236">
        <f t="shared" si="3"/>
        <v>60078</v>
      </c>
    </row>
    <row r="90" spans="1:18" x14ac:dyDescent="0.25">
      <c r="A90" s="1" t="s">
        <v>1505</v>
      </c>
      <c r="B90" s="1" t="s">
        <v>1525</v>
      </c>
      <c r="C90" s="1" t="s">
        <v>1545</v>
      </c>
      <c r="D90" s="1" t="s">
        <v>104</v>
      </c>
      <c r="E90" s="1" t="str">
        <f>IF(D90="","",IFERROR(INDEX(NameGender!$B$2:$B$90,MATCH(LOWER(TRIM(D90)),NameGender!$A$2:$A$90,0)),"Unknown"))</f>
        <v>Male</v>
      </c>
      <c r="F90" s="1">
        <v>40</v>
      </c>
      <c r="G90" s="1" t="s">
        <v>1205</v>
      </c>
      <c r="H90" s="1" t="s">
        <v>1309</v>
      </c>
      <c r="I90" s="1" t="s">
        <v>86</v>
      </c>
      <c r="J90" s="1" t="s">
        <v>2154</v>
      </c>
      <c r="K90" s="1" t="s">
        <v>1561</v>
      </c>
      <c r="L90" s="1" t="s">
        <v>1282</v>
      </c>
      <c r="M90" s="2" t="s">
        <v>1567</v>
      </c>
      <c r="N90" s="230">
        <v>1260</v>
      </c>
      <c r="O90" s="1">
        <v>34</v>
      </c>
      <c r="P90" s="230">
        <v>42840</v>
      </c>
      <c r="Q90" s="236">
        <f t="shared" si="2"/>
        <v>29987.999999999996</v>
      </c>
      <c r="R90" s="236">
        <f t="shared" si="3"/>
        <v>12852.000000000004</v>
      </c>
    </row>
    <row r="91" spans="1:18" x14ac:dyDescent="0.25">
      <c r="A91" s="1" t="s">
        <v>1506</v>
      </c>
      <c r="B91" s="1" t="s">
        <v>1526</v>
      </c>
      <c r="C91" s="1" t="s">
        <v>1546</v>
      </c>
      <c r="D91" s="1" t="s">
        <v>1130</v>
      </c>
      <c r="E91" s="1" t="str">
        <f>IF(D91="","",IFERROR(INDEX(NameGender!$B$2:$B$90,MATCH(LOWER(TRIM(D91)),NameGender!$A$2:$A$90,0)),"Unknown"))</f>
        <v>Female</v>
      </c>
      <c r="F91" s="1">
        <v>54</v>
      </c>
      <c r="G91" s="1" t="s">
        <v>2528</v>
      </c>
      <c r="H91" s="1" t="s">
        <v>2534</v>
      </c>
      <c r="I91" s="1" t="s">
        <v>112</v>
      </c>
      <c r="J91" s="1" t="s">
        <v>2155</v>
      </c>
      <c r="K91" s="1" t="s">
        <v>1562</v>
      </c>
      <c r="L91" s="1" t="s">
        <v>120</v>
      </c>
      <c r="M91" s="2" t="s">
        <v>1568</v>
      </c>
      <c r="N91" s="230">
        <v>2248</v>
      </c>
      <c r="O91" s="1">
        <v>27</v>
      </c>
      <c r="P91" s="230">
        <v>60696</v>
      </c>
      <c r="Q91" s="236">
        <f t="shared" si="2"/>
        <v>42487.199999999997</v>
      </c>
      <c r="R91" s="236">
        <f t="shared" si="3"/>
        <v>18208.800000000003</v>
      </c>
    </row>
    <row r="92" spans="1:18" x14ac:dyDescent="0.25">
      <c r="A92" s="1" t="s">
        <v>1569</v>
      </c>
      <c r="B92" s="1" t="s">
        <v>1570</v>
      </c>
      <c r="C92" s="1" t="s">
        <v>1571</v>
      </c>
      <c r="D92" s="1" t="s">
        <v>124</v>
      </c>
      <c r="E92" s="1" t="str">
        <f>IF(D92="","",IFERROR(INDEX(NameGender!$B$2:$B$90,MATCH(LOWER(TRIM(D92)),NameGender!$A$2:$A$90,0)),"Unknown"))</f>
        <v>Male</v>
      </c>
      <c r="F92" s="1">
        <v>20</v>
      </c>
      <c r="G92" s="1" t="s">
        <v>1224</v>
      </c>
      <c r="H92" s="1" t="s">
        <v>1225</v>
      </c>
      <c r="I92" s="1" t="s">
        <v>160</v>
      </c>
      <c r="J92" s="1" t="s">
        <v>2156</v>
      </c>
      <c r="K92" s="1" t="s">
        <v>1549</v>
      </c>
      <c r="L92" s="1" t="s">
        <v>88</v>
      </c>
      <c r="M92" s="2" t="s">
        <v>63</v>
      </c>
      <c r="N92" s="230">
        <v>1860</v>
      </c>
      <c r="O92" s="1">
        <v>27</v>
      </c>
      <c r="P92" s="230">
        <v>50220</v>
      </c>
      <c r="Q92" s="236">
        <f t="shared" si="2"/>
        <v>35154</v>
      </c>
      <c r="R92" s="236">
        <f t="shared" si="3"/>
        <v>15066</v>
      </c>
    </row>
    <row r="93" spans="1:18" x14ac:dyDescent="0.25">
      <c r="A93" s="1" t="s">
        <v>1572</v>
      </c>
      <c r="B93" s="1" t="s">
        <v>1573</v>
      </c>
      <c r="C93" s="1" t="s">
        <v>1574</v>
      </c>
      <c r="D93" s="1" t="s">
        <v>2520</v>
      </c>
      <c r="E93" s="1" t="str">
        <f>IF(D93="","",IFERROR(INDEX(NameGender!$B$2:$B$90,MATCH(LOWER(TRIM(D93)),NameGender!$A$2:$A$90,0)),"Unknown"))</f>
        <v>Male</v>
      </c>
      <c r="F93" s="1">
        <v>27</v>
      </c>
      <c r="G93" s="1" t="s">
        <v>58</v>
      </c>
      <c r="H93" s="1" t="s">
        <v>59</v>
      </c>
      <c r="I93" s="1" t="s">
        <v>60</v>
      </c>
      <c r="J93" s="1" t="s">
        <v>2157</v>
      </c>
      <c r="K93" s="1" t="s">
        <v>80</v>
      </c>
      <c r="L93" s="1" t="s">
        <v>1282</v>
      </c>
      <c r="M93" s="2" t="s">
        <v>1208</v>
      </c>
      <c r="N93" s="230">
        <v>84990</v>
      </c>
      <c r="O93" s="1">
        <v>9</v>
      </c>
      <c r="P93" s="230">
        <v>764910</v>
      </c>
      <c r="Q93" s="236">
        <f t="shared" si="2"/>
        <v>535437</v>
      </c>
      <c r="R93" s="236">
        <f t="shared" si="3"/>
        <v>229473</v>
      </c>
    </row>
    <row r="94" spans="1:18" x14ac:dyDescent="0.25">
      <c r="A94" s="1" t="s">
        <v>1575</v>
      </c>
      <c r="B94" s="1" t="s">
        <v>1576</v>
      </c>
      <c r="C94" s="1" t="s">
        <v>1577</v>
      </c>
      <c r="D94" s="1" t="s">
        <v>1121</v>
      </c>
      <c r="E94" s="1" t="str">
        <f>IF(D94="","",IFERROR(INDEX(NameGender!$B$2:$B$90,MATCH(LOWER(TRIM(D94)),NameGender!$A$2:$A$90,0)),"Unknown"))</f>
        <v>Female</v>
      </c>
      <c r="F94" s="1">
        <v>34</v>
      </c>
      <c r="G94" s="1" t="s">
        <v>1239</v>
      </c>
      <c r="H94" s="1" t="s">
        <v>2254</v>
      </c>
      <c r="I94" s="1" t="s">
        <v>263</v>
      </c>
      <c r="J94" s="1" t="s">
        <v>2158</v>
      </c>
      <c r="K94" s="1" t="s">
        <v>1376</v>
      </c>
      <c r="L94" s="1" t="s">
        <v>120</v>
      </c>
      <c r="M94" s="2" t="s">
        <v>76</v>
      </c>
      <c r="N94" s="230">
        <v>5890</v>
      </c>
      <c r="O94" s="1">
        <v>35</v>
      </c>
      <c r="P94" s="230">
        <v>206150</v>
      </c>
      <c r="Q94" s="236">
        <f t="shared" si="2"/>
        <v>144305</v>
      </c>
      <c r="R94" s="236">
        <f t="shared" si="3"/>
        <v>61845</v>
      </c>
    </row>
    <row r="95" spans="1:18" x14ac:dyDescent="0.25">
      <c r="A95" s="1" t="s">
        <v>1578</v>
      </c>
      <c r="B95" s="1" t="s">
        <v>1579</v>
      </c>
      <c r="C95" s="1" t="s">
        <v>1580</v>
      </c>
      <c r="D95" s="1" t="s">
        <v>104</v>
      </c>
      <c r="E95" s="1" t="str">
        <f>IF(D95="","",IFERROR(INDEX(NameGender!$B$2:$B$90,MATCH(LOWER(TRIM(D95)),NameGender!$A$2:$A$90,0)),"Unknown"))</f>
        <v>Male</v>
      </c>
      <c r="F95" s="1">
        <v>41</v>
      </c>
      <c r="G95" s="1" t="s">
        <v>477</v>
      </c>
      <c r="H95" s="1" t="s">
        <v>2246</v>
      </c>
      <c r="I95" s="1" t="s">
        <v>67</v>
      </c>
      <c r="J95" s="1" t="s">
        <v>2159</v>
      </c>
      <c r="K95" s="1" t="s">
        <v>68</v>
      </c>
      <c r="L95" s="1" t="s">
        <v>296</v>
      </c>
      <c r="M95" s="2" t="s">
        <v>1213</v>
      </c>
      <c r="N95" s="230">
        <v>4990</v>
      </c>
      <c r="O95" s="1">
        <v>28</v>
      </c>
      <c r="P95" s="230">
        <v>139720</v>
      </c>
      <c r="Q95" s="236">
        <f t="shared" si="2"/>
        <v>97804</v>
      </c>
      <c r="R95" s="236">
        <f t="shared" si="3"/>
        <v>41916</v>
      </c>
    </row>
    <row r="96" spans="1:18" x14ac:dyDescent="0.25">
      <c r="A96" s="1" t="s">
        <v>1581</v>
      </c>
      <c r="B96" s="1" t="s">
        <v>1582</v>
      </c>
      <c r="C96" s="1" t="s">
        <v>1583</v>
      </c>
      <c r="D96" s="1" t="s">
        <v>1130</v>
      </c>
      <c r="E96" s="1" t="str">
        <f>IF(D96="","",IFERROR(INDEX(NameGender!$B$2:$B$90,MATCH(LOWER(TRIM(D96)),NameGender!$A$2:$A$90,0)),"Unknown"))</f>
        <v>Female</v>
      </c>
      <c r="F96" s="1">
        <v>48</v>
      </c>
      <c r="G96" s="1" t="s">
        <v>481</v>
      </c>
      <c r="H96" s="1" t="s">
        <v>1215</v>
      </c>
      <c r="I96" s="1" t="s">
        <v>191</v>
      </c>
      <c r="J96" s="1" t="s">
        <v>2160</v>
      </c>
      <c r="K96" s="1" t="s">
        <v>1846</v>
      </c>
      <c r="L96" s="1" t="s">
        <v>258</v>
      </c>
      <c r="M96" s="2" t="s">
        <v>1847</v>
      </c>
      <c r="N96" s="230">
        <v>1440</v>
      </c>
      <c r="O96" s="1">
        <v>29</v>
      </c>
      <c r="P96" s="230">
        <v>41760</v>
      </c>
      <c r="Q96" s="236">
        <f t="shared" si="2"/>
        <v>29231.999999999996</v>
      </c>
      <c r="R96" s="236">
        <f t="shared" si="3"/>
        <v>12528.000000000004</v>
      </c>
    </row>
    <row r="97" spans="1:18" x14ac:dyDescent="0.25">
      <c r="A97" s="1" t="s">
        <v>1584</v>
      </c>
      <c r="B97" s="1" t="s">
        <v>1585</v>
      </c>
      <c r="C97" s="1" t="s">
        <v>1586</v>
      </c>
      <c r="D97" s="1" t="s">
        <v>237</v>
      </c>
      <c r="E97" s="1" t="str">
        <f>IF(D97="","",IFERROR(INDEX(NameGender!$B$2:$B$90,MATCH(LOWER(TRIM(D97)),NameGender!$A$2:$A$90,0)),"Unknown"))</f>
        <v>Male</v>
      </c>
      <c r="F97" s="1">
        <v>55</v>
      </c>
      <c r="G97" s="1" t="s">
        <v>1266</v>
      </c>
      <c r="H97" s="1" t="s">
        <v>1267</v>
      </c>
      <c r="I97" s="1" t="s">
        <v>86</v>
      </c>
      <c r="J97" s="1" t="s">
        <v>2161</v>
      </c>
      <c r="K97" s="1" t="s">
        <v>1561</v>
      </c>
      <c r="L97" s="1" t="s">
        <v>354</v>
      </c>
      <c r="M97" s="2" t="s">
        <v>1848</v>
      </c>
      <c r="N97" s="230">
        <v>1260</v>
      </c>
      <c r="O97" s="1">
        <v>65</v>
      </c>
      <c r="P97" s="230">
        <v>81900</v>
      </c>
      <c r="Q97" s="236">
        <f t="shared" si="2"/>
        <v>57330</v>
      </c>
      <c r="R97" s="236">
        <f t="shared" si="3"/>
        <v>24570</v>
      </c>
    </row>
    <row r="98" spans="1:18" x14ac:dyDescent="0.25">
      <c r="A98" s="1" t="s">
        <v>1587</v>
      </c>
      <c r="B98" s="1" t="s">
        <v>1588</v>
      </c>
      <c r="C98" s="1" t="s">
        <v>1589</v>
      </c>
      <c r="D98" s="1" t="s">
        <v>2522</v>
      </c>
      <c r="E98" s="1" t="str">
        <f>IF(D98="","",IFERROR(INDEX(NameGender!$B$2:$B$90,MATCH(LOWER(TRIM(D98)),NameGender!$A$2:$A$90,0)),"Unknown"))</f>
        <v>Male</v>
      </c>
      <c r="F98" s="1">
        <v>21</v>
      </c>
      <c r="G98" s="1" t="s">
        <v>1290</v>
      </c>
      <c r="H98" s="1" t="s">
        <v>1291</v>
      </c>
      <c r="I98" s="1" t="s">
        <v>282</v>
      </c>
      <c r="J98" s="1" t="s">
        <v>2162</v>
      </c>
      <c r="K98" s="1" t="s">
        <v>1849</v>
      </c>
      <c r="L98" s="1" t="s">
        <v>107</v>
      </c>
      <c r="M98" s="2" t="s">
        <v>1222</v>
      </c>
      <c r="N98" s="230">
        <v>810</v>
      </c>
      <c r="O98" s="1">
        <v>23</v>
      </c>
      <c r="P98" s="230">
        <v>18630</v>
      </c>
      <c r="Q98" s="236">
        <f t="shared" si="2"/>
        <v>13041</v>
      </c>
      <c r="R98" s="236">
        <f t="shared" si="3"/>
        <v>5589</v>
      </c>
    </row>
    <row r="99" spans="1:18" x14ac:dyDescent="0.25">
      <c r="A99" s="1" t="s">
        <v>1590</v>
      </c>
      <c r="B99" s="1" t="s">
        <v>1591</v>
      </c>
      <c r="C99" s="1" t="s">
        <v>1592</v>
      </c>
      <c r="D99" s="1" t="s">
        <v>2523</v>
      </c>
      <c r="E99" s="1" t="str">
        <f>IF(D99="","",IFERROR(INDEX(NameGender!$B$2:$B$90,MATCH(LOWER(TRIM(D99)),NameGender!$A$2:$A$90,0)),"Unknown"))</f>
        <v>Female</v>
      </c>
      <c r="F99" s="1">
        <v>28</v>
      </c>
      <c r="G99" s="1" t="s">
        <v>58</v>
      </c>
      <c r="H99" s="1" t="s">
        <v>59</v>
      </c>
      <c r="I99" s="1" t="s">
        <v>112</v>
      </c>
      <c r="J99" s="1" t="s">
        <v>2163</v>
      </c>
      <c r="K99" s="1" t="s">
        <v>1562</v>
      </c>
      <c r="L99" s="1" t="s">
        <v>94</v>
      </c>
      <c r="M99" s="2" t="s">
        <v>1370</v>
      </c>
      <c r="N99" s="230">
        <v>2248</v>
      </c>
      <c r="O99" s="1">
        <v>15</v>
      </c>
      <c r="P99" s="230">
        <v>33720</v>
      </c>
      <c r="Q99" s="236">
        <f t="shared" si="2"/>
        <v>23604</v>
      </c>
      <c r="R99" s="236">
        <f t="shared" si="3"/>
        <v>10116</v>
      </c>
    </row>
    <row r="100" spans="1:18" x14ac:dyDescent="0.25">
      <c r="A100" s="1" t="s">
        <v>1593</v>
      </c>
      <c r="B100" s="1" t="s">
        <v>1594</v>
      </c>
      <c r="C100" s="1" t="s">
        <v>1595</v>
      </c>
      <c r="D100" s="1" t="s">
        <v>256</v>
      </c>
      <c r="E100" s="1" t="str">
        <f>IF(D100="","",IFERROR(INDEX(NameGender!$B$2:$B$90,MATCH(LOWER(TRIM(D100)),NameGender!$A$2:$A$90,0)),"Unknown"))</f>
        <v>Male</v>
      </c>
      <c r="F100" s="1">
        <v>35</v>
      </c>
      <c r="G100" s="1" t="s">
        <v>1234</v>
      </c>
      <c r="H100" s="1" t="s">
        <v>1235</v>
      </c>
      <c r="I100" s="1" t="s">
        <v>136</v>
      </c>
      <c r="J100" s="1" t="s">
        <v>2164</v>
      </c>
      <c r="K100" s="1" t="s">
        <v>1850</v>
      </c>
      <c r="L100" s="1" t="s">
        <v>1254</v>
      </c>
      <c r="M100" s="2" t="s">
        <v>1227</v>
      </c>
      <c r="N100" s="230">
        <v>47250</v>
      </c>
      <c r="O100" s="1">
        <v>17</v>
      </c>
      <c r="P100" s="230">
        <v>803250</v>
      </c>
      <c r="Q100" s="236">
        <f t="shared" si="2"/>
        <v>562275</v>
      </c>
      <c r="R100" s="236">
        <f t="shared" si="3"/>
        <v>240975</v>
      </c>
    </row>
    <row r="101" spans="1:18" x14ac:dyDescent="0.25">
      <c r="A101" s="1" t="s">
        <v>1596</v>
      </c>
      <c r="B101" s="1" t="s">
        <v>1597</v>
      </c>
      <c r="C101" s="1" t="s">
        <v>1598</v>
      </c>
      <c r="D101" s="1" t="s">
        <v>178</v>
      </c>
      <c r="E101" s="1" t="str">
        <f>IF(D101="","",IFERROR(INDEX(NameGender!$B$2:$B$90,MATCH(LOWER(TRIM(D101)),NameGender!$A$2:$A$90,0)),"Unknown"))</f>
        <v>Male</v>
      </c>
      <c r="F101" s="1">
        <v>42</v>
      </c>
      <c r="G101" s="1" t="s">
        <v>2528</v>
      </c>
      <c r="H101" s="1" t="s">
        <v>2529</v>
      </c>
      <c r="I101" s="1" t="s">
        <v>250</v>
      </c>
      <c r="J101" s="1" t="s">
        <v>2165</v>
      </c>
      <c r="K101" s="1" t="s">
        <v>1851</v>
      </c>
      <c r="L101" s="1" t="s">
        <v>144</v>
      </c>
      <c r="M101" s="2" t="s">
        <v>1355</v>
      </c>
      <c r="N101" s="230">
        <v>64800</v>
      </c>
      <c r="O101" s="1">
        <v>19</v>
      </c>
      <c r="P101" s="230">
        <v>1231200</v>
      </c>
      <c r="Q101" s="236">
        <f t="shared" si="2"/>
        <v>861840</v>
      </c>
      <c r="R101" s="236">
        <f t="shared" si="3"/>
        <v>369360</v>
      </c>
    </row>
    <row r="102" spans="1:18" x14ac:dyDescent="0.25">
      <c r="A102" s="1" t="s">
        <v>1599</v>
      </c>
      <c r="B102" s="1" t="s">
        <v>1600</v>
      </c>
      <c r="C102" s="1" t="s">
        <v>1601</v>
      </c>
      <c r="D102" s="1" t="s">
        <v>153</v>
      </c>
      <c r="E102" s="1" t="str">
        <f>IF(D102="","",IFERROR(INDEX(NameGender!$B$2:$B$90,MATCH(LOWER(TRIM(D102)),NameGender!$A$2:$A$90,0)),"Unknown"))</f>
        <v>Male</v>
      </c>
      <c r="F102" s="1">
        <v>49</v>
      </c>
      <c r="G102" s="1" t="s">
        <v>477</v>
      </c>
      <c r="H102" s="1" t="s">
        <v>2246</v>
      </c>
      <c r="I102" s="1" t="s">
        <v>118</v>
      </c>
      <c r="J102" s="1" t="s">
        <v>2166</v>
      </c>
      <c r="K102" s="1" t="s">
        <v>1852</v>
      </c>
      <c r="L102" s="1" t="s">
        <v>79</v>
      </c>
      <c r="M102" s="2" t="s">
        <v>1375</v>
      </c>
      <c r="N102" s="230">
        <v>900</v>
      </c>
      <c r="O102" s="1">
        <v>11</v>
      </c>
      <c r="P102" s="230">
        <v>9900</v>
      </c>
      <c r="Q102" s="236">
        <f t="shared" si="2"/>
        <v>6930</v>
      </c>
      <c r="R102" s="236">
        <f t="shared" si="3"/>
        <v>2970</v>
      </c>
    </row>
    <row r="103" spans="1:18" x14ac:dyDescent="0.25">
      <c r="A103" s="1" t="s">
        <v>1602</v>
      </c>
      <c r="B103" s="1" t="s">
        <v>1603</v>
      </c>
      <c r="C103" s="1" t="s">
        <v>1604</v>
      </c>
      <c r="D103" s="1" t="s">
        <v>166</v>
      </c>
      <c r="E103" s="1" t="str">
        <f>IF(D103="","",IFERROR(INDEX(NameGender!$B$2:$B$90,MATCH(LOWER(TRIM(D103)),NameGender!$A$2:$A$90,0)),"Unknown"))</f>
        <v>Male</v>
      </c>
      <c r="F103" s="1">
        <v>56</v>
      </c>
      <c r="G103" s="1" t="s">
        <v>1205</v>
      </c>
      <c r="H103" s="1" t="s">
        <v>1206</v>
      </c>
      <c r="I103" s="1" t="s">
        <v>74</v>
      </c>
      <c r="J103" s="1" t="s">
        <v>2167</v>
      </c>
      <c r="K103" s="1" t="s">
        <v>1</v>
      </c>
      <c r="L103" s="1" t="s">
        <v>62</v>
      </c>
      <c r="M103" s="2" t="s">
        <v>1377</v>
      </c>
      <c r="N103" s="230">
        <v>650</v>
      </c>
      <c r="O103" s="1">
        <v>46</v>
      </c>
      <c r="P103" s="230">
        <v>29900</v>
      </c>
      <c r="Q103" s="236">
        <f t="shared" si="2"/>
        <v>20930</v>
      </c>
      <c r="R103" s="236">
        <f t="shared" si="3"/>
        <v>8970</v>
      </c>
    </row>
    <row r="104" spans="1:18" x14ac:dyDescent="0.25">
      <c r="A104" s="1" t="s">
        <v>1605</v>
      </c>
      <c r="B104" s="1" t="s">
        <v>1606</v>
      </c>
      <c r="C104" s="1" t="s">
        <v>1607</v>
      </c>
      <c r="D104" s="1" t="s">
        <v>2526</v>
      </c>
      <c r="E104" s="1" t="str">
        <f>IF(D104="","",IFERROR(INDEX(NameGender!$B$2:$B$90,MATCH(LOWER(TRIM(D104)),NameGender!$A$2:$A$90,0)),"Unknown"))</f>
        <v>Female</v>
      </c>
      <c r="F104" s="1">
        <v>22</v>
      </c>
      <c r="G104" s="1" t="s">
        <v>1239</v>
      </c>
      <c r="H104" s="1" t="s">
        <v>2247</v>
      </c>
      <c r="I104" s="1" t="s">
        <v>160</v>
      </c>
      <c r="J104" s="1" t="s">
        <v>2168</v>
      </c>
      <c r="K104" s="1" t="s">
        <v>1549</v>
      </c>
      <c r="L104" s="1" t="s">
        <v>1207</v>
      </c>
      <c r="M104" s="2" t="s">
        <v>1567</v>
      </c>
      <c r="N104" s="230">
        <v>1860</v>
      </c>
      <c r="O104" s="1">
        <v>14</v>
      </c>
      <c r="P104" s="230">
        <v>26040</v>
      </c>
      <c r="Q104" s="236">
        <f t="shared" si="2"/>
        <v>18228</v>
      </c>
      <c r="R104" s="236">
        <f t="shared" si="3"/>
        <v>7812</v>
      </c>
    </row>
    <row r="105" spans="1:18" x14ac:dyDescent="0.25">
      <c r="A105" s="1" t="s">
        <v>1608</v>
      </c>
      <c r="B105" s="1" t="s">
        <v>1609</v>
      </c>
      <c r="C105" s="1" t="s">
        <v>1610</v>
      </c>
      <c r="D105" s="1" t="s">
        <v>262</v>
      </c>
      <c r="E105" s="1" t="str">
        <f>IF(D105="","",IFERROR(INDEX(NameGender!$B$2:$B$90,MATCH(LOWER(TRIM(D105)),NameGender!$A$2:$A$90,0)),"Unknown"))</f>
        <v>Male</v>
      </c>
      <c r="F105" s="1">
        <v>29</v>
      </c>
      <c r="G105" s="1" t="s">
        <v>1219</v>
      </c>
      <c r="H105" s="1" t="s">
        <v>1220</v>
      </c>
      <c r="I105" s="1" t="s">
        <v>60</v>
      </c>
      <c r="J105" s="1" t="s">
        <v>2169</v>
      </c>
      <c r="K105" s="1" t="s">
        <v>80</v>
      </c>
      <c r="L105" s="1" t="s">
        <v>75</v>
      </c>
      <c r="M105" s="2" t="s">
        <v>1568</v>
      </c>
      <c r="N105" s="230">
        <v>84990</v>
      </c>
      <c r="O105" s="1">
        <v>10</v>
      </c>
      <c r="P105" s="230">
        <v>849900</v>
      </c>
      <c r="Q105" s="236">
        <f t="shared" si="2"/>
        <v>594930</v>
      </c>
      <c r="R105" s="236">
        <f t="shared" si="3"/>
        <v>254970</v>
      </c>
    </row>
    <row r="106" spans="1:18" x14ac:dyDescent="0.25">
      <c r="A106" s="1" t="s">
        <v>1611</v>
      </c>
      <c r="B106" s="1" t="s">
        <v>1612</v>
      </c>
      <c r="C106" s="1" t="s">
        <v>1613</v>
      </c>
      <c r="D106" s="1" t="s">
        <v>202</v>
      </c>
      <c r="E106" s="1" t="str">
        <f>IF(D106="","",IFERROR(INDEX(NameGender!$B$2:$B$90,MATCH(LOWER(TRIM(D106)),NameGender!$A$2:$A$90,0)),"Unknown"))</f>
        <v>Male</v>
      </c>
      <c r="F106" s="1">
        <v>36</v>
      </c>
      <c r="G106" s="1" t="s">
        <v>2531</v>
      </c>
      <c r="H106" s="1" t="s">
        <v>2532</v>
      </c>
      <c r="I106" s="1" t="s">
        <v>263</v>
      </c>
      <c r="J106" s="1" t="s">
        <v>2170</v>
      </c>
      <c r="K106" s="1" t="s">
        <v>1376</v>
      </c>
      <c r="L106" s="1" t="s">
        <v>1212</v>
      </c>
      <c r="M106" s="2" t="s">
        <v>1362</v>
      </c>
      <c r="N106" s="230">
        <v>5890</v>
      </c>
      <c r="O106" s="1">
        <v>26</v>
      </c>
      <c r="P106" s="230">
        <v>153140</v>
      </c>
      <c r="Q106" s="236">
        <f t="shared" si="2"/>
        <v>107198</v>
      </c>
      <c r="R106" s="236">
        <f t="shared" si="3"/>
        <v>45942</v>
      </c>
    </row>
    <row r="107" spans="1:18" x14ac:dyDescent="0.25">
      <c r="A107" s="1" t="s">
        <v>1614</v>
      </c>
      <c r="B107" s="1" t="s">
        <v>1615</v>
      </c>
      <c r="C107" s="1" t="s">
        <v>1616</v>
      </c>
      <c r="D107" s="1" t="s">
        <v>1116</v>
      </c>
      <c r="E107" s="1" t="str">
        <f>IF(D107="","",IFERROR(INDEX(NameGender!$B$2:$B$90,MATCH(LOWER(TRIM(D107)),NameGender!$A$2:$A$90,0)),"Unknown"))</f>
        <v>Female</v>
      </c>
      <c r="F107" s="1">
        <v>43</v>
      </c>
      <c r="G107" s="1" t="s">
        <v>58</v>
      </c>
      <c r="H107" s="1" t="s">
        <v>59</v>
      </c>
      <c r="I107" s="1" t="s">
        <v>67</v>
      </c>
      <c r="J107" s="1" t="s">
        <v>2171</v>
      </c>
      <c r="K107" s="1" t="s">
        <v>68</v>
      </c>
      <c r="L107" s="1" t="s">
        <v>88</v>
      </c>
      <c r="M107" s="2" t="s">
        <v>1242</v>
      </c>
      <c r="N107" s="230">
        <v>4990</v>
      </c>
      <c r="O107" s="1">
        <v>14</v>
      </c>
      <c r="P107" s="230">
        <v>69860</v>
      </c>
      <c r="Q107" s="236">
        <f t="shared" si="2"/>
        <v>48902</v>
      </c>
      <c r="R107" s="236">
        <f t="shared" si="3"/>
        <v>20958</v>
      </c>
    </row>
    <row r="108" spans="1:18" x14ac:dyDescent="0.25">
      <c r="A108" s="1" t="s">
        <v>1617</v>
      </c>
      <c r="B108" s="1" t="s">
        <v>1618</v>
      </c>
      <c r="C108" s="1" t="s">
        <v>1619</v>
      </c>
      <c r="D108" s="1" t="s">
        <v>1120</v>
      </c>
      <c r="E108" s="1" t="str">
        <f>IF(D108="","",IFERROR(INDEX(NameGender!$B$2:$B$90,MATCH(LOWER(TRIM(D108)),NameGender!$A$2:$A$90,0)),"Unknown"))</f>
        <v>Male</v>
      </c>
      <c r="F108" s="1">
        <v>50</v>
      </c>
      <c r="G108" s="1" t="s">
        <v>2528</v>
      </c>
      <c r="H108" s="1" t="s">
        <v>2534</v>
      </c>
      <c r="I108" s="1" t="s">
        <v>191</v>
      </c>
      <c r="J108" s="1" t="s">
        <v>2172</v>
      </c>
      <c r="K108" s="1" t="s">
        <v>1846</v>
      </c>
      <c r="L108" s="1" t="s">
        <v>1282</v>
      </c>
      <c r="M108" s="2" t="s">
        <v>1246</v>
      </c>
      <c r="N108" s="230">
        <v>1440</v>
      </c>
      <c r="O108" s="1">
        <v>30</v>
      </c>
      <c r="P108" s="230">
        <v>43200</v>
      </c>
      <c r="Q108" s="236">
        <f t="shared" si="2"/>
        <v>30239.999999999996</v>
      </c>
      <c r="R108" s="236">
        <f t="shared" si="3"/>
        <v>12960.000000000004</v>
      </c>
    </row>
    <row r="109" spans="1:18" x14ac:dyDescent="0.25">
      <c r="A109" s="1" t="s">
        <v>1620</v>
      </c>
      <c r="B109" s="1" t="s">
        <v>1621</v>
      </c>
      <c r="C109" s="1" t="s">
        <v>1622</v>
      </c>
      <c r="D109" s="1" t="s">
        <v>1127</v>
      </c>
      <c r="E109" s="1" t="str">
        <f>IF(D109="","",IFERROR(INDEX(NameGender!$B$2:$B$90,MATCH(LOWER(TRIM(D109)),NameGender!$A$2:$A$90,0)),"Unknown"))</f>
        <v>Female</v>
      </c>
      <c r="F109" s="1">
        <v>57</v>
      </c>
      <c r="G109" s="1" t="s">
        <v>483</v>
      </c>
      <c r="H109" s="1" t="s">
        <v>1276</v>
      </c>
      <c r="I109" s="1" t="s">
        <v>86</v>
      </c>
      <c r="J109" s="1" t="s">
        <v>2173</v>
      </c>
      <c r="K109" s="1" t="s">
        <v>1561</v>
      </c>
      <c r="L109" s="1" t="s">
        <v>120</v>
      </c>
      <c r="M109" s="2" t="s">
        <v>1853</v>
      </c>
      <c r="N109" s="230">
        <v>1260</v>
      </c>
      <c r="O109" s="1">
        <v>37</v>
      </c>
      <c r="P109" s="230">
        <v>46620</v>
      </c>
      <c r="Q109" s="236">
        <f t="shared" si="2"/>
        <v>32633.999999999996</v>
      </c>
      <c r="R109" s="236">
        <f t="shared" si="3"/>
        <v>13986.000000000004</v>
      </c>
    </row>
    <row r="110" spans="1:18" x14ac:dyDescent="0.25">
      <c r="A110" s="1" t="s">
        <v>1623</v>
      </c>
      <c r="B110" s="1" t="s">
        <v>1624</v>
      </c>
      <c r="C110" s="1" t="s">
        <v>1625</v>
      </c>
      <c r="D110" s="1" t="s">
        <v>2526</v>
      </c>
      <c r="E110" s="1" t="str">
        <f>IF(D110="","",IFERROR(INDEX(NameGender!$B$2:$B$90,MATCH(LOWER(TRIM(D110)),NameGender!$A$2:$A$90,0)),"Unknown"))</f>
        <v>Female</v>
      </c>
      <c r="F110" s="1">
        <v>23</v>
      </c>
      <c r="G110" s="1" t="s">
        <v>2531</v>
      </c>
      <c r="H110" s="1" t="s">
        <v>2533</v>
      </c>
      <c r="I110" s="1" t="s">
        <v>282</v>
      </c>
      <c r="J110" s="1" t="s">
        <v>2174</v>
      </c>
      <c r="K110" s="1" t="s">
        <v>1849</v>
      </c>
      <c r="L110" s="1" t="s">
        <v>296</v>
      </c>
      <c r="M110" s="2" t="s">
        <v>1854</v>
      </c>
      <c r="N110" s="230">
        <v>810</v>
      </c>
      <c r="O110" s="1">
        <v>24</v>
      </c>
      <c r="P110" s="230">
        <v>19440</v>
      </c>
      <c r="Q110" s="236">
        <f t="shared" si="2"/>
        <v>13608</v>
      </c>
      <c r="R110" s="236">
        <f t="shared" si="3"/>
        <v>5832</v>
      </c>
    </row>
    <row r="111" spans="1:18" x14ac:dyDescent="0.25">
      <c r="A111" s="1" t="s">
        <v>1626</v>
      </c>
      <c r="B111" s="1" t="s">
        <v>1627</v>
      </c>
      <c r="C111" s="1" t="s">
        <v>1628</v>
      </c>
      <c r="D111" s="1" t="s">
        <v>1154</v>
      </c>
      <c r="E111" s="1" t="str">
        <f>IF(D111="","",IFERROR(INDEX(NameGender!$B$2:$B$90,MATCH(LOWER(TRIM(D111)),NameGender!$A$2:$A$90,0)),"Unknown"))</f>
        <v>Female</v>
      </c>
      <c r="F111" s="1">
        <v>30</v>
      </c>
      <c r="G111" s="1" t="s">
        <v>58</v>
      </c>
      <c r="H111" s="1" t="s">
        <v>59</v>
      </c>
      <c r="I111" s="1" t="s">
        <v>112</v>
      </c>
      <c r="J111" s="1" t="s">
        <v>2175</v>
      </c>
      <c r="K111" s="1" t="s">
        <v>1562</v>
      </c>
      <c r="L111" s="1" t="s">
        <v>258</v>
      </c>
      <c r="M111" s="2" t="s">
        <v>1855</v>
      </c>
      <c r="N111" s="230">
        <v>2248</v>
      </c>
      <c r="O111" s="1">
        <v>16</v>
      </c>
      <c r="P111" s="230">
        <v>35968</v>
      </c>
      <c r="Q111" s="236">
        <f t="shared" si="2"/>
        <v>25177.599999999999</v>
      </c>
      <c r="R111" s="236">
        <f t="shared" si="3"/>
        <v>10790.400000000001</v>
      </c>
    </row>
    <row r="112" spans="1:18" x14ac:dyDescent="0.25">
      <c r="A112" s="1" t="s">
        <v>1630</v>
      </c>
      <c r="B112" s="1" t="s">
        <v>1631</v>
      </c>
      <c r="C112" s="1" t="s">
        <v>1632</v>
      </c>
      <c r="D112" s="1" t="s">
        <v>1126</v>
      </c>
      <c r="E112" s="1" t="str">
        <f>IF(D112="","",IFERROR(INDEX(NameGender!$B$2:$B$90,MATCH(LOWER(TRIM(D112)),NameGender!$A$2:$A$90,0)),"Unknown"))</f>
        <v>Male</v>
      </c>
      <c r="F112" s="1">
        <v>37</v>
      </c>
      <c r="G112" s="1" t="s">
        <v>1239</v>
      </c>
      <c r="H112" s="1" t="s">
        <v>2258</v>
      </c>
      <c r="I112" s="1" t="s">
        <v>136</v>
      </c>
      <c r="J112" s="1" t="s">
        <v>2176</v>
      </c>
      <c r="K112" s="1" t="s">
        <v>1850</v>
      </c>
      <c r="L112" s="1" t="s">
        <v>354</v>
      </c>
      <c r="M112" s="2" t="s">
        <v>1563</v>
      </c>
      <c r="N112" s="230">
        <v>47250</v>
      </c>
      <c r="O112" s="1">
        <v>18</v>
      </c>
      <c r="P112" s="230">
        <v>850500</v>
      </c>
      <c r="Q112" s="236">
        <f t="shared" si="2"/>
        <v>595350</v>
      </c>
      <c r="R112" s="236">
        <f t="shared" si="3"/>
        <v>255150</v>
      </c>
    </row>
    <row r="113" spans="1:18" x14ac:dyDescent="0.25">
      <c r="A113" s="1" t="s">
        <v>1633</v>
      </c>
      <c r="B113" s="1" t="s">
        <v>1634</v>
      </c>
      <c r="C113" s="1" t="s">
        <v>1635</v>
      </c>
      <c r="D113" s="1" t="s">
        <v>219</v>
      </c>
      <c r="E113" s="1" t="str">
        <f>IF(D113="","",IFERROR(INDEX(NameGender!$B$2:$B$90,MATCH(LOWER(TRIM(D113)),NameGender!$A$2:$A$90,0)),"Unknown"))</f>
        <v>Male</v>
      </c>
      <c r="F113" s="1">
        <v>44</v>
      </c>
      <c r="G113" s="1" t="s">
        <v>481</v>
      </c>
      <c r="H113" s="1" t="s">
        <v>1215</v>
      </c>
      <c r="I113" s="1" t="s">
        <v>250</v>
      </c>
      <c r="J113" s="1" t="s">
        <v>2177</v>
      </c>
      <c r="K113" s="1" t="s">
        <v>1851</v>
      </c>
      <c r="L113" s="1" t="s">
        <v>107</v>
      </c>
      <c r="M113" s="2" t="s">
        <v>1217</v>
      </c>
      <c r="N113" s="230">
        <v>64800</v>
      </c>
      <c r="O113" s="1">
        <v>10</v>
      </c>
      <c r="P113" s="230">
        <v>648000</v>
      </c>
      <c r="Q113" s="236">
        <f t="shared" si="2"/>
        <v>453600</v>
      </c>
      <c r="R113" s="236">
        <f t="shared" si="3"/>
        <v>194400</v>
      </c>
    </row>
    <row r="114" spans="1:18" x14ac:dyDescent="0.25">
      <c r="A114" s="1" t="s">
        <v>1636</v>
      </c>
      <c r="B114" s="1" t="s">
        <v>1637</v>
      </c>
      <c r="C114" s="1" t="s">
        <v>1638</v>
      </c>
      <c r="D114" s="1" t="s">
        <v>306</v>
      </c>
      <c r="E114" s="1" t="str">
        <f>IF(D114="","",IFERROR(INDEX(NameGender!$B$2:$B$90,MATCH(LOWER(TRIM(D114)),NameGender!$A$2:$A$90,0)),"Unknown"))</f>
        <v>Male</v>
      </c>
      <c r="F114" s="1">
        <v>51</v>
      </c>
      <c r="G114" s="1" t="s">
        <v>1224</v>
      </c>
      <c r="H114" s="1" t="s">
        <v>1225</v>
      </c>
      <c r="I114" s="1" t="s">
        <v>118</v>
      </c>
      <c r="J114" s="1" t="s">
        <v>2178</v>
      </c>
      <c r="K114" s="1" t="s">
        <v>1852</v>
      </c>
      <c r="L114" s="1" t="s">
        <v>94</v>
      </c>
      <c r="M114" s="2" t="s">
        <v>1564</v>
      </c>
      <c r="N114" s="230">
        <v>900</v>
      </c>
      <c r="O114" s="1">
        <v>12</v>
      </c>
      <c r="P114" s="230">
        <v>10800</v>
      </c>
      <c r="Q114" s="236">
        <f t="shared" si="2"/>
        <v>7559.9999999999991</v>
      </c>
      <c r="R114" s="236">
        <f t="shared" si="3"/>
        <v>3240.0000000000009</v>
      </c>
    </row>
    <row r="115" spans="1:18" x14ac:dyDescent="0.25">
      <c r="A115" s="1" t="s">
        <v>1639</v>
      </c>
      <c r="B115" s="1" t="s">
        <v>1640</v>
      </c>
      <c r="C115" s="1" t="s">
        <v>1641</v>
      </c>
      <c r="D115" s="1" t="s">
        <v>1116</v>
      </c>
      <c r="E115" s="1" t="str">
        <f>IF(D115="","",IFERROR(INDEX(NameGender!$B$2:$B$90,MATCH(LOWER(TRIM(D115)),NameGender!$A$2:$A$90,0)),"Unknown"))</f>
        <v>Female</v>
      </c>
      <c r="F115" s="1">
        <v>58</v>
      </c>
      <c r="G115" s="1" t="s">
        <v>1224</v>
      </c>
      <c r="H115" s="1" t="s">
        <v>1225</v>
      </c>
      <c r="I115" s="1" t="s">
        <v>74</v>
      </c>
      <c r="J115" s="1" t="s">
        <v>2179</v>
      </c>
      <c r="K115" s="1" t="s">
        <v>1</v>
      </c>
      <c r="L115" s="1" t="s">
        <v>1254</v>
      </c>
      <c r="M115" s="2" t="s">
        <v>1856</v>
      </c>
      <c r="N115" s="230">
        <v>650</v>
      </c>
      <c r="O115" s="1">
        <v>32</v>
      </c>
      <c r="P115" s="230">
        <v>20800</v>
      </c>
      <c r="Q115" s="236">
        <f t="shared" si="2"/>
        <v>14559.999999999998</v>
      </c>
      <c r="R115" s="236">
        <f t="shared" si="3"/>
        <v>6240.0000000000018</v>
      </c>
    </row>
    <row r="116" spans="1:18" x14ac:dyDescent="0.25">
      <c r="A116" s="1" t="s">
        <v>1642</v>
      </c>
      <c r="B116" s="1" t="s">
        <v>1643</v>
      </c>
      <c r="C116" s="1" t="s">
        <v>1644</v>
      </c>
      <c r="D116" s="1" t="s">
        <v>1118</v>
      </c>
      <c r="E116" s="1" t="str">
        <f>IF(D116="","",IFERROR(INDEX(NameGender!$B$2:$B$90,MATCH(LOWER(TRIM(D116)),NameGender!$A$2:$A$90,0)),"Unknown"))</f>
        <v>Female</v>
      </c>
      <c r="F116" s="1">
        <v>24</v>
      </c>
      <c r="G116" s="1" t="s">
        <v>1229</v>
      </c>
      <c r="H116" s="1" t="s">
        <v>1230</v>
      </c>
      <c r="I116" s="1" t="s">
        <v>160</v>
      </c>
      <c r="J116" s="1" t="s">
        <v>2180</v>
      </c>
      <c r="K116" s="1" t="s">
        <v>1549</v>
      </c>
      <c r="L116" s="1" t="s">
        <v>144</v>
      </c>
      <c r="M116" s="2" t="s">
        <v>1351</v>
      </c>
      <c r="N116" s="230">
        <v>1860</v>
      </c>
      <c r="O116" s="1">
        <v>24</v>
      </c>
      <c r="P116" s="230">
        <v>44640</v>
      </c>
      <c r="Q116" s="236">
        <f t="shared" si="2"/>
        <v>31247.999999999996</v>
      </c>
      <c r="R116" s="236">
        <f t="shared" si="3"/>
        <v>13392.000000000004</v>
      </c>
    </row>
    <row r="117" spans="1:18" x14ac:dyDescent="0.25">
      <c r="A117" s="1" t="s">
        <v>1645</v>
      </c>
      <c r="B117" s="1" t="s">
        <v>1646</v>
      </c>
      <c r="C117" s="1" t="s">
        <v>1647</v>
      </c>
      <c r="D117" s="1" t="s">
        <v>300</v>
      </c>
      <c r="E117" s="1" t="str">
        <f>IF(D117="","",IFERROR(INDEX(NameGender!$B$2:$B$90,MATCH(LOWER(TRIM(D117)),NameGender!$A$2:$A$90,0)),"Unknown"))</f>
        <v>Male</v>
      </c>
      <c r="F117" s="1">
        <v>31</v>
      </c>
      <c r="G117" s="1" t="s">
        <v>58</v>
      </c>
      <c r="H117" s="1" t="s">
        <v>59</v>
      </c>
      <c r="I117" s="1" t="s">
        <v>60</v>
      </c>
      <c r="J117" s="1" t="s">
        <v>2181</v>
      </c>
      <c r="K117" s="1" t="s">
        <v>80</v>
      </c>
      <c r="L117" s="1" t="s">
        <v>79</v>
      </c>
      <c r="M117" s="2" t="s">
        <v>1353</v>
      </c>
      <c r="N117" s="230">
        <v>84990</v>
      </c>
      <c r="O117" s="1">
        <v>11</v>
      </c>
      <c r="P117" s="230">
        <v>934890</v>
      </c>
      <c r="Q117" s="236">
        <f t="shared" si="2"/>
        <v>654423</v>
      </c>
      <c r="R117" s="236">
        <f t="shared" si="3"/>
        <v>280467</v>
      </c>
    </row>
    <row r="118" spans="1:18" x14ac:dyDescent="0.25">
      <c r="A118" s="1" t="s">
        <v>1648</v>
      </c>
      <c r="B118" s="1" t="s">
        <v>1649</v>
      </c>
      <c r="C118" s="1" t="s">
        <v>1650</v>
      </c>
      <c r="D118" s="1" t="s">
        <v>262</v>
      </c>
      <c r="E118" s="1" t="str">
        <f>IF(D118="","",IFERROR(INDEX(NameGender!$B$2:$B$90,MATCH(LOWER(TRIM(D118)),NameGender!$A$2:$A$90,0)),"Unknown"))</f>
        <v>Male</v>
      </c>
      <c r="F118" s="1">
        <v>38</v>
      </c>
      <c r="G118" s="1" t="s">
        <v>1285</v>
      </c>
      <c r="H118" s="1" t="s">
        <v>1286</v>
      </c>
      <c r="I118" s="1" t="s">
        <v>263</v>
      </c>
      <c r="J118" s="1" t="s">
        <v>2182</v>
      </c>
      <c r="K118" s="1" t="s">
        <v>1376</v>
      </c>
      <c r="L118" s="1" t="s">
        <v>62</v>
      </c>
      <c r="M118" s="2" t="s">
        <v>1857</v>
      </c>
      <c r="N118" s="230">
        <v>5890</v>
      </c>
      <c r="O118" s="1">
        <v>27</v>
      </c>
      <c r="P118" s="230">
        <v>159030</v>
      </c>
      <c r="Q118" s="236">
        <f t="shared" si="2"/>
        <v>111321</v>
      </c>
      <c r="R118" s="236">
        <f t="shared" si="3"/>
        <v>47709</v>
      </c>
    </row>
    <row r="119" spans="1:18" x14ac:dyDescent="0.25">
      <c r="A119" s="1" t="s">
        <v>1651</v>
      </c>
      <c r="B119" s="1" t="s">
        <v>1652</v>
      </c>
      <c r="C119" s="1" t="s">
        <v>1653</v>
      </c>
      <c r="D119" s="1" t="s">
        <v>1126</v>
      </c>
      <c r="E119" s="1" t="str">
        <f>IF(D119="","",IFERROR(INDEX(NameGender!$B$2:$B$90,MATCH(LOWER(TRIM(D119)),NameGender!$A$2:$A$90,0)),"Unknown"))</f>
        <v>Male</v>
      </c>
      <c r="F119" s="1">
        <v>45</v>
      </c>
      <c r="G119" s="1" t="s">
        <v>1285</v>
      </c>
      <c r="H119" s="1" t="s">
        <v>1286</v>
      </c>
      <c r="I119" s="1" t="s">
        <v>67</v>
      </c>
      <c r="J119" s="1" t="s">
        <v>2183</v>
      </c>
      <c r="K119" s="1" t="s">
        <v>68</v>
      </c>
      <c r="L119" s="1" t="s">
        <v>1207</v>
      </c>
      <c r="M119" s="2" t="s">
        <v>1274</v>
      </c>
      <c r="N119" s="230">
        <v>4990</v>
      </c>
      <c r="O119" s="1">
        <v>21</v>
      </c>
      <c r="P119" s="230">
        <v>104790</v>
      </c>
      <c r="Q119" s="236">
        <f t="shared" si="2"/>
        <v>73353</v>
      </c>
      <c r="R119" s="236">
        <f t="shared" si="3"/>
        <v>31437</v>
      </c>
    </row>
    <row r="120" spans="1:18" x14ac:dyDescent="0.25">
      <c r="A120" s="1" t="s">
        <v>1654</v>
      </c>
      <c r="B120" s="1" t="s">
        <v>1655</v>
      </c>
      <c r="C120" s="1" t="s">
        <v>1656</v>
      </c>
      <c r="D120" s="1" t="s">
        <v>294</v>
      </c>
      <c r="E120" s="1" t="str">
        <f>IF(D120="","",IFERROR(INDEX(NameGender!$B$2:$B$90,MATCH(LOWER(TRIM(D120)),NameGender!$A$2:$A$90,0)),"Unknown"))</f>
        <v>Male</v>
      </c>
      <c r="F120" s="1">
        <v>52</v>
      </c>
      <c r="G120" s="1" t="s">
        <v>1271</v>
      </c>
      <c r="H120" s="1" t="s">
        <v>1272</v>
      </c>
      <c r="I120" s="1" t="s">
        <v>191</v>
      </c>
      <c r="J120" s="1" t="s">
        <v>2184</v>
      </c>
      <c r="K120" s="1" t="s">
        <v>1846</v>
      </c>
      <c r="L120" s="1" t="s">
        <v>75</v>
      </c>
      <c r="M120" s="2" t="s">
        <v>1373</v>
      </c>
      <c r="N120" s="230">
        <v>1440</v>
      </c>
      <c r="O120" s="1">
        <v>21</v>
      </c>
      <c r="P120" s="230">
        <v>30240</v>
      </c>
      <c r="Q120" s="236">
        <f t="shared" si="2"/>
        <v>21168</v>
      </c>
      <c r="R120" s="236">
        <f t="shared" si="3"/>
        <v>9072</v>
      </c>
    </row>
    <row r="121" spans="1:18" x14ac:dyDescent="0.25">
      <c r="A121" s="1" t="s">
        <v>1657</v>
      </c>
      <c r="B121" s="1" t="s">
        <v>1658</v>
      </c>
      <c r="C121" s="1" t="s">
        <v>1659</v>
      </c>
      <c r="D121" s="1" t="s">
        <v>1140</v>
      </c>
      <c r="E121" s="1" t="str">
        <f>IF(D121="","",IFERROR(INDEX(NameGender!$B$2:$B$90,MATCH(LOWER(TRIM(D121)),NameGender!$A$2:$A$90,0)),"Unknown"))</f>
        <v>Male</v>
      </c>
      <c r="F121" s="1">
        <v>59</v>
      </c>
      <c r="G121" s="1" t="s">
        <v>1271</v>
      </c>
      <c r="H121" s="1" t="s">
        <v>2256</v>
      </c>
      <c r="I121" s="1" t="s">
        <v>86</v>
      </c>
      <c r="J121" s="1" t="s">
        <v>2185</v>
      </c>
      <c r="K121" s="1" t="s">
        <v>1561</v>
      </c>
      <c r="L121" s="1" t="s">
        <v>1212</v>
      </c>
      <c r="M121" s="2" t="s">
        <v>1350</v>
      </c>
      <c r="N121" s="230">
        <v>1260</v>
      </c>
      <c r="O121" s="1">
        <v>58</v>
      </c>
      <c r="P121" s="230">
        <v>73080</v>
      </c>
      <c r="Q121" s="236">
        <f t="shared" si="2"/>
        <v>51156</v>
      </c>
      <c r="R121" s="236">
        <f t="shared" si="3"/>
        <v>21924</v>
      </c>
    </row>
    <row r="122" spans="1:18" x14ac:dyDescent="0.25">
      <c r="A122" s="1" t="s">
        <v>1660</v>
      </c>
      <c r="B122" s="1" t="s">
        <v>1661</v>
      </c>
      <c r="C122" s="1" t="s">
        <v>1662</v>
      </c>
      <c r="D122" s="1" t="s">
        <v>1125</v>
      </c>
      <c r="E122" s="1" t="str">
        <f>IF(D122="","",IFERROR(INDEX(NameGender!$B$2:$B$90,MATCH(LOWER(TRIM(D122)),NameGender!$A$2:$A$90,0)),"Unknown"))</f>
        <v>Female</v>
      </c>
      <c r="F122" s="1">
        <v>25</v>
      </c>
      <c r="G122" s="1" t="s">
        <v>1271</v>
      </c>
      <c r="H122" s="1" t="s">
        <v>1272</v>
      </c>
      <c r="I122" s="1" t="s">
        <v>282</v>
      </c>
      <c r="J122" s="1" t="s">
        <v>2186</v>
      </c>
      <c r="K122" s="1" t="s">
        <v>1849</v>
      </c>
      <c r="L122" s="1" t="s">
        <v>88</v>
      </c>
      <c r="M122" s="2" t="s">
        <v>1858</v>
      </c>
      <c r="N122" s="230">
        <v>810</v>
      </c>
      <c r="O122" s="1">
        <v>25</v>
      </c>
      <c r="P122" s="230">
        <v>20250</v>
      </c>
      <c r="Q122" s="236">
        <f t="shared" si="2"/>
        <v>14175</v>
      </c>
      <c r="R122" s="236">
        <f t="shared" si="3"/>
        <v>6075</v>
      </c>
    </row>
    <row r="123" spans="1:18" x14ac:dyDescent="0.25">
      <c r="A123" s="1" t="s">
        <v>1663</v>
      </c>
      <c r="B123" s="1" t="s">
        <v>1664</v>
      </c>
      <c r="C123" s="1" t="s">
        <v>1665</v>
      </c>
      <c r="D123" s="1" t="s">
        <v>1122</v>
      </c>
      <c r="E123" s="1" t="str">
        <f>IF(D123="","",IFERROR(INDEX(NameGender!$B$2:$B$90,MATCH(LOWER(TRIM(D123)),NameGender!$A$2:$A$90,0)),"Unknown"))</f>
        <v>Female</v>
      </c>
      <c r="F123" s="1">
        <v>32</v>
      </c>
      <c r="G123" s="1" t="s">
        <v>58</v>
      </c>
      <c r="H123" s="1" t="s">
        <v>59</v>
      </c>
      <c r="I123" s="1" t="s">
        <v>112</v>
      </c>
      <c r="J123" s="1" t="s">
        <v>2187</v>
      </c>
      <c r="K123" s="1" t="s">
        <v>1562</v>
      </c>
      <c r="L123" s="1" t="s">
        <v>1282</v>
      </c>
      <c r="M123" s="2" t="s">
        <v>1255</v>
      </c>
      <c r="N123" s="230">
        <v>2248</v>
      </c>
      <c r="O123" s="1">
        <v>17</v>
      </c>
      <c r="P123" s="230">
        <v>38216</v>
      </c>
      <c r="Q123" s="236">
        <f t="shared" si="2"/>
        <v>26751.199999999997</v>
      </c>
      <c r="R123" s="236">
        <f t="shared" si="3"/>
        <v>11464.800000000003</v>
      </c>
    </row>
    <row r="124" spans="1:18" x14ac:dyDescent="0.25">
      <c r="A124" s="1" t="s">
        <v>1666</v>
      </c>
      <c r="B124" s="1" t="s">
        <v>1667</v>
      </c>
      <c r="C124" s="1" t="s">
        <v>1668</v>
      </c>
      <c r="D124" s="1" t="s">
        <v>219</v>
      </c>
      <c r="E124" s="1" t="str">
        <f>IF(D124="","",IFERROR(INDEX(NameGender!$B$2:$B$90,MATCH(LOWER(TRIM(D124)),NameGender!$A$2:$A$90,0)),"Unknown"))</f>
        <v>Male</v>
      </c>
      <c r="F124" s="1">
        <v>39</v>
      </c>
      <c r="G124" s="1" t="s">
        <v>1280</v>
      </c>
      <c r="H124" s="1" t="s">
        <v>1281</v>
      </c>
      <c r="I124" s="1" t="s">
        <v>136</v>
      </c>
      <c r="J124" s="1" t="s">
        <v>2188</v>
      </c>
      <c r="K124" s="1" t="s">
        <v>1850</v>
      </c>
      <c r="L124" s="1" t="s">
        <v>120</v>
      </c>
      <c r="M124" s="2" t="s">
        <v>1859</v>
      </c>
      <c r="N124" s="230">
        <v>47250</v>
      </c>
      <c r="O124" s="1">
        <v>19</v>
      </c>
      <c r="P124" s="230">
        <v>897750</v>
      </c>
      <c r="Q124" s="236">
        <f t="shared" si="2"/>
        <v>628425</v>
      </c>
      <c r="R124" s="236">
        <f t="shared" si="3"/>
        <v>269325</v>
      </c>
    </row>
    <row r="125" spans="1:18" x14ac:dyDescent="0.25">
      <c r="A125" s="1" t="s">
        <v>1669</v>
      </c>
      <c r="B125" s="1" t="s">
        <v>1670</v>
      </c>
      <c r="C125" s="1" t="s">
        <v>1671</v>
      </c>
      <c r="D125" s="1" t="s">
        <v>1137</v>
      </c>
      <c r="E125" s="1" t="str">
        <f>IF(D125="","",IFERROR(INDEX(NameGender!$B$2:$B$90,MATCH(LOWER(TRIM(D125)),NameGender!$A$2:$A$90,0)),"Unknown"))</f>
        <v>Female</v>
      </c>
      <c r="F125" s="1">
        <v>46</v>
      </c>
      <c r="G125" s="1" t="s">
        <v>1210</v>
      </c>
      <c r="H125" s="1" t="s">
        <v>1211</v>
      </c>
      <c r="I125" s="1" t="s">
        <v>250</v>
      </c>
      <c r="J125" s="1" t="s">
        <v>2189</v>
      </c>
      <c r="K125" s="1" t="s">
        <v>1851</v>
      </c>
      <c r="L125" s="1" t="s">
        <v>296</v>
      </c>
      <c r="M125" s="2" t="s">
        <v>1298</v>
      </c>
      <c r="N125" s="230">
        <v>64800</v>
      </c>
      <c r="O125" s="1">
        <v>11</v>
      </c>
      <c r="P125" s="230">
        <v>712800</v>
      </c>
      <c r="Q125" s="236">
        <f t="shared" si="2"/>
        <v>498959.99999999994</v>
      </c>
      <c r="R125" s="236">
        <f t="shared" si="3"/>
        <v>213840.00000000006</v>
      </c>
    </row>
    <row r="126" spans="1:18" x14ac:dyDescent="0.25">
      <c r="A126" s="1" t="s">
        <v>1672</v>
      </c>
      <c r="B126" s="1" t="s">
        <v>1673</v>
      </c>
      <c r="C126" s="1" t="s">
        <v>1674</v>
      </c>
      <c r="D126" s="1" t="s">
        <v>1146</v>
      </c>
      <c r="E126" s="1" t="str">
        <f>IF(D126="","",IFERROR(INDEX(NameGender!$B$2:$B$90,MATCH(LOWER(TRIM(D126)),NameGender!$A$2:$A$90,0)),"Unknown"))</f>
        <v>Male</v>
      </c>
      <c r="F126" s="1">
        <v>53</v>
      </c>
      <c r="G126" s="1" t="s">
        <v>1244</v>
      </c>
      <c r="H126" s="1" t="s">
        <v>1244</v>
      </c>
      <c r="I126" s="1" t="s">
        <v>118</v>
      </c>
      <c r="J126" s="1" t="s">
        <v>2190</v>
      </c>
      <c r="K126" s="1" t="s">
        <v>1852</v>
      </c>
      <c r="L126" s="1" t="s">
        <v>258</v>
      </c>
      <c r="M126" s="2" t="s">
        <v>1860</v>
      </c>
      <c r="N126" s="230">
        <v>900</v>
      </c>
      <c r="O126" s="1">
        <v>13</v>
      </c>
      <c r="P126" s="230">
        <v>11700</v>
      </c>
      <c r="Q126" s="236">
        <f t="shared" si="2"/>
        <v>8189.9999999999991</v>
      </c>
      <c r="R126" s="236">
        <f t="shared" si="3"/>
        <v>3510.0000000000009</v>
      </c>
    </row>
    <row r="127" spans="1:18" x14ac:dyDescent="0.25">
      <c r="A127" s="1" t="s">
        <v>1675</v>
      </c>
      <c r="B127" s="1" t="s">
        <v>1676</v>
      </c>
      <c r="C127" s="1" t="s">
        <v>1677</v>
      </c>
      <c r="D127" s="1" t="s">
        <v>142</v>
      </c>
      <c r="E127" s="1" t="str">
        <f>IF(D127="","",IFERROR(INDEX(NameGender!$B$2:$B$90,MATCH(LOWER(TRIM(D127)),NameGender!$A$2:$A$90,0)),"Unknown"))</f>
        <v>Male</v>
      </c>
      <c r="F127" s="1">
        <v>60</v>
      </c>
      <c r="G127" s="1" t="s">
        <v>1261</v>
      </c>
      <c r="H127" s="1" t="s">
        <v>1262</v>
      </c>
      <c r="I127" s="1" t="s">
        <v>74</v>
      </c>
      <c r="J127" s="1" t="s">
        <v>2191</v>
      </c>
      <c r="K127" s="1" t="s">
        <v>1</v>
      </c>
      <c r="L127" s="1" t="s">
        <v>354</v>
      </c>
      <c r="M127" s="2" t="s">
        <v>1861</v>
      </c>
      <c r="N127" s="230">
        <v>650</v>
      </c>
      <c r="O127" s="1">
        <v>26</v>
      </c>
      <c r="P127" s="230">
        <v>16900</v>
      </c>
      <c r="Q127" s="236">
        <f t="shared" si="2"/>
        <v>11830</v>
      </c>
      <c r="R127" s="236">
        <f t="shared" si="3"/>
        <v>5070</v>
      </c>
    </row>
    <row r="128" spans="1:18" x14ac:dyDescent="0.25">
      <c r="A128" s="1" t="s">
        <v>1679</v>
      </c>
      <c r="B128" s="1" t="s">
        <v>1680</v>
      </c>
      <c r="C128" s="1" t="s">
        <v>1681</v>
      </c>
      <c r="D128" s="1" t="s">
        <v>2520</v>
      </c>
      <c r="E128" s="1" t="str">
        <f>IF(D128="","",IFERROR(INDEX(NameGender!$B$2:$B$90,MATCH(LOWER(TRIM(D128)),NameGender!$A$2:$A$90,0)),"Unknown"))</f>
        <v>Male</v>
      </c>
      <c r="F128" s="1">
        <v>26</v>
      </c>
      <c r="G128" s="1" t="s">
        <v>1229</v>
      </c>
      <c r="H128" s="1" t="s">
        <v>1230</v>
      </c>
      <c r="I128" s="1" t="s">
        <v>160</v>
      </c>
      <c r="J128" s="1" t="s">
        <v>2192</v>
      </c>
      <c r="K128" s="1" t="s">
        <v>1549</v>
      </c>
      <c r="L128" s="1" t="s">
        <v>107</v>
      </c>
      <c r="M128" s="2" t="s">
        <v>1862</v>
      </c>
      <c r="N128" s="230">
        <v>1860</v>
      </c>
      <c r="O128" s="1">
        <v>11</v>
      </c>
      <c r="P128" s="230">
        <v>20460</v>
      </c>
      <c r="Q128" s="236">
        <f t="shared" si="2"/>
        <v>14322</v>
      </c>
      <c r="R128" s="236">
        <f t="shared" si="3"/>
        <v>6138</v>
      </c>
    </row>
    <row r="129" spans="1:18" x14ac:dyDescent="0.25">
      <c r="A129" s="1" t="s">
        <v>1682</v>
      </c>
      <c r="B129" s="1" t="s">
        <v>1683</v>
      </c>
      <c r="C129" s="1" t="s">
        <v>1684</v>
      </c>
      <c r="D129" s="1" t="s">
        <v>317</v>
      </c>
      <c r="E129" s="1" t="str">
        <f>IF(D129="","",IFERROR(INDEX(NameGender!$B$2:$B$90,MATCH(LOWER(TRIM(D129)),NameGender!$A$2:$A$90,0)),"Unknown"))</f>
        <v>Male</v>
      </c>
      <c r="F129" s="1">
        <v>33</v>
      </c>
      <c r="G129" s="1" t="s">
        <v>1219</v>
      </c>
      <c r="H129" s="1" t="s">
        <v>1220</v>
      </c>
      <c r="I129" s="1" t="s">
        <v>60</v>
      </c>
      <c r="J129" s="1" t="s">
        <v>2193</v>
      </c>
      <c r="K129" s="1" t="s">
        <v>80</v>
      </c>
      <c r="L129" s="1" t="s">
        <v>94</v>
      </c>
      <c r="M129" s="2" t="s">
        <v>1863</v>
      </c>
      <c r="N129" s="230">
        <v>84990</v>
      </c>
      <c r="O129" s="1">
        <v>12</v>
      </c>
      <c r="P129" s="230">
        <v>1019880</v>
      </c>
      <c r="Q129" s="236">
        <f t="shared" si="2"/>
        <v>713916</v>
      </c>
      <c r="R129" s="236">
        <f t="shared" si="3"/>
        <v>305964</v>
      </c>
    </row>
    <row r="130" spans="1:18" x14ac:dyDescent="0.25">
      <c r="A130" s="1" t="s">
        <v>1685</v>
      </c>
      <c r="B130" s="1" t="s">
        <v>1686</v>
      </c>
      <c r="C130" s="1" t="s">
        <v>1687</v>
      </c>
      <c r="D130" s="1" t="s">
        <v>2520</v>
      </c>
      <c r="E130" s="1" t="str">
        <f>IF(D130="","",IFERROR(INDEX(NameGender!$B$2:$B$90,MATCH(LOWER(TRIM(D130)),NameGender!$A$2:$A$90,0)),"Unknown"))</f>
        <v>Male</v>
      </c>
      <c r="F130" s="1">
        <v>40</v>
      </c>
      <c r="G130" s="1" t="s">
        <v>1219</v>
      </c>
      <c r="H130" s="1" t="s">
        <v>1220</v>
      </c>
      <c r="I130" s="1" t="s">
        <v>263</v>
      </c>
      <c r="J130" s="1" t="s">
        <v>2194</v>
      </c>
      <c r="K130" s="1" t="s">
        <v>1376</v>
      </c>
      <c r="L130" s="1" t="s">
        <v>1254</v>
      </c>
      <c r="M130" s="2" t="s">
        <v>1566</v>
      </c>
      <c r="N130" s="230">
        <v>5890</v>
      </c>
      <c r="O130" s="1">
        <v>28</v>
      </c>
      <c r="P130" s="230">
        <v>164920</v>
      </c>
      <c r="Q130" s="236">
        <f t="shared" si="2"/>
        <v>115443.99999999999</v>
      </c>
      <c r="R130" s="236">
        <f t="shared" si="3"/>
        <v>49476.000000000015</v>
      </c>
    </row>
    <row r="131" spans="1:18" x14ac:dyDescent="0.25">
      <c r="A131" s="1" t="s">
        <v>1688</v>
      </c>
      <c r="B131" s="1" t="s">
        <v>1689</v>
      </c>
      <c r="C131" s="1" t="s">
        <v>1690</v>
      </c>
      <c r="D131" s="1" t="s">
        <v>306</v>
      </c>
      <c r="E131" s="1" t="str">
        <f>IF(D131="","",IFERROR(INDEX(NameGender!$B$2:$B$90,MATCH(LOWER(TRIM(D131)),NameGender!$A$2:$A$90,0)),"Unknown"))</f>
        <v>Male</v>
      </c>
      <c r="F131" s="1">
        <v>47</v>
      </c>
      <c r="G131" s="1" t="s">
        <v>2528</v>
      </c>
      <c r="H131" s="1" t="s">
        <v>2534</v>
      </c>
      <c r="I131" s="1" t="s">
        <v>67</v>
      </c>
      <c r="J131" s="1" t="s">
        <v>2195</v>
      </c>
      <c r="K131" s="1" t="s">
        <v>68</v>
      </c>
      <c r="L131" s="1" t="s">
        <v>144</v>
      </c>
      <c r="M131" s="2" t="s">
        <v>1864</v>
      </c>
      <c r="N131" s="230">
        <v>4990</v>
      </c>
      <c r="O131" s="1">
        <v>28</v>
      </c>
      <c r="P131" s="230">
        <v>139720</v>
      </c>
      <c r="Q131" s="236">
        <f t="shared" ref="Q131:Q180" si="4">P131*70%</f>
        <v>97804</v>
      </c>
      <c r="R131" s="236">
        <f t="shared" ref="R131:R180" si="5">P131-Q131</f>
        <v>41916</v>
      </c>
    </row>
    <row r="132" spans="1:18" x14ac:dyDescent="0.25">
      <c r="A132" s="1" t="s">
        <v>1691</v>
      </c>
      <c r="B132" s="1" t="s">
        <v>1692</v>
      </c>
      <c r="C132" s="1" t="s">
        <v>1693</v>
      </c>
      <c r="D132" s="1" t="s">
        <v>231</v>
      </c>
      <c r="E132" s="1" t="str">
        <f>IF(D132="","",IFERROR(INDEX(NameGender!$B$2:$B$90,MATCH(LOWER(TRIM(D132)),NameGender!$A$2:$A$90,0)),"Unknown"))</f>
        <v>Male</v>
      </c>
      <c r="F132" s="1">
        <v>54</v>
      </c>
      <c r="G132" s="1" t="s">
        <v>1280</v>
      </c>
      <c r="H132" s="1" t="s">
        <v>1281</v>
      </c>
      <c r="I132" s="1" t="s">
        <v>191</v>
      </c>
      <c r="J132" s="1" t="s">
        <v>2196</v>
      </c>
      <c r="K132" s="1" t="s">
        <v>1846</v>
      </c>
      <c r="L132" s="1" t="s">
        <v>79</v>
      </c>
      <c r="M132" s="2" t="s">
        <v>1865</v>
      </c>
      <c r="N132" s="230">
        <v>1440</v>
      </c>
      <c r="O132" s="1">
        <v>22</v>
      </c>
      <c r="P132" s="230">
        <v>31680</v>
      </c>
      <c r="Q132" s="236">
        <f t="shared" si="4"/>
        <v>22176</v>
      </c>
      <c r="R132" s="236">
        <f t="shared" si="5"/>
        <v>9504</v>
      </c>
    </row>
    <row r="133" spans="1:18" x14ac:dyDescent="0.25">
      <c r="A133" s="1" t="s">
        <v>1694</v>
      </c>
      <c r="B133" s="1" t="s">
        <v>1695</v>
      </c>
      <c r="C133" s="1" t="s">
        <v>1696</v>
      </c>
      <c r="D133" s="1" t="s">
        <v>1172</v>
      </c>
      <c r="E133" s="1" t="str">
        <f>IF(D133="","",IFERROR(INDEX(NameGender!$B$2:$B$90,MATCH(LOWER(TRIM(D133)),NameGender!$A$2:$A$90,0)),"Unknown"))</f>
        <v>Female</v>
      </c>
      <c r="F133" s="1">
        <v>20</v>
      </c>
      <c r="G133" s="1" t="s">
        <v>476</v>
      </c>
      <c r="H133" s="1" t="s">
        <v>1248</v>
      </c>
      <c r="I133" s="1" t="s">
        <v>86</v>
      </c>
      <c r="J133" s="1" t="s">
        <v>2197</v>
      </c>
      <c r="K133" s="1" t="s">
        <v>1561</v>
      </c>
      <c r="L133" s="1" t="s">
        <v>62</v>
      </c>
      <c r="M133" s="2" t="s">
        <v>1264</v>
      </c>
      <c r="N133" s="230">
        <v>1260</v>
      </c>
      <c r="O133" s="1">
        <v>30</v>
      </c>
      <c r="P133" s="230">
        <v>37800</v>
      </c>
      <c r="Q133" s="236">
        <f t="shared" si="4"/>
        <v>26460</v>
      </c>
      <c r="R133" s="236">
        <f t="shared" si="5"/>
        <v>11340</v>
      </c>
    </row>
    <row r="134" spans="1:18" x14ac:dyDescent="0.25">
      <c r="A134" s="1" t="s">
        <v>1697</v>
      </c>
      <c r="B134" s="1" t="s">
        <v>1698</v>
      </c>
      <c r="C134" s="1" t="s">
        <v>1699</v>
      </c>
      <c r="D134" s="1" t="s">
        <v>1125</v>
      </c>
      <c r="E134" s="1" t="str">
        <f>IF(D134="","",IFERROR(INDEX(NameGender!$B$2:$B$90,MATCH(LOWER(TRIM(D134)),NameGender!$A$2:$A$90,0)),"Unknown"))</f>
        <v>Female</v>
      </c>
      <c r="F134" s="1">
        <v>27</v>
      </c>
      <c r="G134" s="1" t="s">
        <v>477</v>
      </c>
      <c r="H134" s="1" t="s">
        <v>2246</v>
      </c>
      <c r="I134" s="1" t="s">
        <v>282</v>
      </c>
      <c r="J134" s="1" t="s">
        <v>2198</v>
      </c>
      <c r="K134" s="1" t="s">
        <v>1849</v>
      </c>
      <c r="L134" s="1" t="s">
        <v>1207</v>
      </c>
      <c r="M134" s="2" t="s">
        <v>1368</v>
      </c>
      <c r="N134" s="230">
        <v>810</v>
      </c>
      <c r="O134" s="1">
        <v>16</v>
      </c>
      <c r="P134" s="230">
        <v>12960</v>
      </c>
      <c r="Q134" s="236">
        <f t="shared" si="4"/>
        <v>9072</v>
      </c>
      <c r="R134" s="236">
        <f t="shared" si="5"/>
        <v>3888</v>
      </c>
    </row>
    <row r="135" spans="1:18" x14ac:dyDescent="0.25">
      <c r="A135" s="1" t="s">
        <v>1700</v>
      </c>
      <c r="B135" s="1" t="s">
        <v>1701</v>
      </c>
      <c r="C135" s="1" t="s">
        <v>1702</v>
      </c>
      <c r="D135" s="1" t="s">
        <v>1146</v>
      </c>
      <c r="E135" s="1" t="str">
        <f>IF(D135="","",IFERROR(INDEX(NameGender!$B$2:$B$90,MATCH(LOWER(TRIM(D135)),NameGender!$A$2:$A$90,0)),"Unknown"))</f>
        <v>Male</v>
      </c>
      <c r="F135" s="1">
        <v>34</v>
      </c>
      <c r="G135" s="1" t="s">
        <v>1210</v>
      </c>
      <c r="H135" s="1" t="s">
        <v>1211</v>
      </c>
      <c r="I135" s="1" t="s">
        <v>112</v>
      </c>
      <c r="J135" s="1" t="s">
        <v>2199</v>
      </c>
      <c r="K135" s="1" t="s">
        <v>1562</v>
      </c>
      <c r="L135" s="1" t="s">
        <v>75</v>
      </c>
      <c r="M135" s="2" t="s">
        <v>1269</v>
      </c>
      <c r="N135" s="230">
        <v>2248</v>
      </c>
      <c r="O135" s="1">
        <v>18</v>
      </c>
      <c r="P135" s="230">
        <v>40464</v>
      </c>
      <c r="Q135" s="236">
        <f t="shared" si="4"/>
        <v>28324.799999999999</v>
      </c>
      <c r="R135" s="236">
        <f t="shared" si="5"/>
        <v>12139.2</v>
      </c>
    </row>
    <row r="136" spans="1:18" x14ac:dyDescent="0.25">
      <c r="A136" s="1" t="s">
        <v>1703</v>
      </c>
      <c r="B136" s="1" t="s">
        <v>1704</v>
      </c>
      <c r="C136" s="1" t="s">
        <v>1705</v>
      </c>
      <c r="D136" s="1" t="s">
        <v>178</v>
      </c>
      <c r="E136" s="1" t="str">
        <f>IF(D136="","",IFERROR(INDEX(NameGender!$B$2:$B$90,MATCH(LOWER(TRIM(D136)),NameGender!$A$2:$A$90,0)),"Unknown"))</f>
        <v>Male</v>
      </c>
      <c r="F136" s="1">
        <v>41</v>
      </c>
      <c r="G136" s="1" t="s">
        <v>1234</v>
      </c>
      <c r="H136" s="1" t="s">
        <v>1235</v>
      </c>
      <c r="I136" s="1" t="s">
        <v>136</v>
      </c>
      <c r="J136" s="1" t="s">
        <v>2200</v>
      </c>
      <c r="K136" s="1" t="s">
        <v>1850</v>
      </c>
      <c r="L136" s="1" t="s">
        <v>1212</v>
      </c>
      <c r="M136" s="2" t="s">
        <v>1866</v>
      </c>
      <c r="N136" s="230">
        <v>47250</v>
      </c>
      <c r="O136" s="1">
        <v>20</v>
      </c>
      <c r="P136" s="230">
        <v>945000</v>
      </c>
      <c r="Q136" s="236">
        <f t="shared" si="4"/>
        <v>661500</v>
      </c>
      <c r="R136" s="236">
        <f t="shared" si="5"/>
        <v>283500</v>
      </c>
    </row>
    <row r="137" spans="1:18" x14ac:dyDescent="0.25">
      <c r="A137" s="1" t="s">
        <v>1706</v>
      </c>
      <c r="B137" s="1" t="s">
        <v>1707</v>
      </c>
      <c r="C137" s="1" t="s">
        <v>1708</v>
      </c>
      <c r="D137" s="1" t="s">
        <v>2526</v>
      </c>
      <c r="E137" s="1" t="str">
        <f>IF(D137="","",IFERROR(INDEX(NameGender!$B$2:$B$90,MATCH(LOWER(TRIM(D137)),NameGender!$A$2:$A$90,0)),"Unknown"))</f>
        <v>Female</v>
      </c>
      <c r="F137" s="1">
        <v>48</v>
      </c>
      <c r="G137" s="1" t="s">
        <v>2535</v>
      </c>
      <c r="H137" s="1" t="s">
        <v>2536</v>
      </c>
      <c r="I137" s="1" t="s">
        <v>250</v>
      </c>
      <c r="J137" s="1" t="s">
        <v>2201</v>
      </c>
      <c r="K137" s="1" t="s">
        <v>1851</v>
      </c>
      <c r="L137" s="1" t="s">
        <v>88</v>
      </c>
      <c r="M137" s="2" t="s">
        <v>1867</v>
      </c>
      <c r="N137" s="230">
        <v>64800</v>
      </c>
      <c r="O137" s="1">
        <v>12</v>
      </c>
      <c r="P137" s="230">
        <v>777600</v>
      </c>
      <c r="Q137" s="236">
        <f t="shared" si="4"/>
        <v>544320</v>
      </c>
      <c r="R137" s="236">
        <f t="shared" si="5"/>
        <v>233280</v>
      </c>
    </row>
    <row r="138" spans="1:18" x14ac:dyDescent="0.25">
      <c r="A138" s="1" t="s">
        <v>1709</v>
      </c>
      <c r="B138" s="1" t="s">
        <v>1710</v>
      </c>
      <c r="C138" s="1" t="s">
        <v>1711</v>
      </c>
      <c r="D138" s="1" t="s">
        <v>1196</v>
      </c>
      <c r="E138" s="1" t="str">
        <f>IF(D138="","",IFERROR(INDEX(NameGender!$B$2:$B$90,MATCH(LOWER(TRIM(D138)),NameGender!$A$2:$A$90,0)),"Unknown"))</f>
        <v>Female</v>
      </c>
      <c r="F138" s="1">
        <v>55</v>
      </c>
      <c r="G138" s="1" t="s">
        <v>1280</v>
      </c>
      <c r="H138" s="1" t="s">
        <v>1281</v>
      </c>
      <c r="I138" s="1" t="s">
        <v>118</v>
      </c>
      <c r="J138" s="1" t="s">
        <v>2202</v>
      </c>
      <c r="K138" s="1" t="s">
        <v>1852</v>
      </c>
      <c r="L138" s="1" t="s">
        <v>1282</v>
      </c>
      <c r="M138" s="2" t="s">
        <v>1868</v>
      </c>
      <c r="N138" s="230">
        <v>900</v>
      </c>
      <c r="O138" s="1">
        <v>14</v>
      </c>
      <c r="P138" s="230">
        <v>12600</v>
      </c>
      <c r="Q138" s="236">
        <f t="shared" si="4"/>
        <v>8820</v>
      </c>
      <c r="R138" s="236">
        <f t="shared" si="5"/>
        <v>3780</v>
      </c>
    </row>
    <row r="139" spans="1:18" x14ac:dyDescent="0.25">
      <c r="A139" s="1" t="s">
        <v>1713</v>
      </c>
      <c r="B139" s="1" t="s">
        <v>1714</v>
      </c>
      <c r="C139" s="1" t="s">
        <v>1715</v>
      </c>
      <c r="D139" s="1" t="s">
        <v>214</v>
      </c>
      <c r="E139" s="1" t="str">
        <f>IF(D139="","",IFERROR(INDEX(NameGender!$B$2:$B$90,MATCH(LOWER(TRIM(D139)),NameGender!$A$2:$A$90,0)),"Unknown"))</f>
        <v>Male</v>
      </c>
      <c r="F139" s="1">
        <v>21</v>
      </c>
      <c r="G139" s="1" t="s">
        <v>1252</v>
      </c>
      <c r="H139" s="1" t="s">
        <v>1253</v>
      </c>
      <c r="I139" s="1" t="s">
        <v>74</v>
      </c>
      <c r="J139" s="1" t="s">
        <v>2203</v>
      </c>
      <c r="K139" s="1" t="s">
        <v>1</v>
      </c>
      <c r="L139" s="1" t="s">
        <v>120</v>
      </c>
      <c r="M139" s="2" t="s">
        <v>1869</v>
      </c>
      <c r="N139" s="230">
        <v>650</v>
      </c>
      <c r="O139" s="1">
        <v>45</v>
      </c>
      <c r="P139" s="230">
        <v>29250</v>
      </c>
      <c r="Q139" s="236">
        <f t="shared" si="4"/>
        <v>20475</v>
      </c>
      <c r="R139" s="236">
        <f t="shared" si="5"/>
        <v>8775</v>
      </c>
    </row>
    <row r="140" spans="1:18" x14ac:dyDescent="0.25">
      <c r="A140" s="1" t="s">
        <v>1716</v>
      </c>
      <c r="B140" s="1" t="s">
        <v>1717</v>
      </c>
      <c r="C140" s="1" t="s">
        <v>1718</v>
      </c>
      <c r="D140" s="1" t="s">
        <v>1128</v>
      </c>
      <c r="E140" s="1" t="str">
        <f>IF(D140="","",IFERROR(INDEX(NameGender!$B$2:$B$90,MATCH(LOWER(TRIM(D140)),NameGender!$A$2:$A$90,0)),"Unknown"))</f>
        <v>Female</v>
      </c>
      <c r="F140" s="1">
        <v>28</v>
      </c>
      <c r="G140" s="1" t="s">
        <v>1252</v>
      </c>
      <c r="H140" s="1" t="s">
        <v>2249</v>
      </c>
      <c r="I140" s="1" t="s">
        <v>160</v>
      </c>
      <c r="J140" s="1" t="s">
        <v>2204</v>
      </c>
      <c r="K140" s="1" t="s">
        <v>1549</v>
      </c>
      <c r="L140" s="1" t="s">
        <v>296</v>
      </c>
      <c r="M140" s="2" t="s">
        <v>1870</v>
      </c>
      <c r="N140" s="230">
        <v>1860</v>
      </c>
      <c r="O140" s="1">
        <v>21</v>
      </c>
      <c r="P140" s="230">
        <v>39060</v>
      </c>
      <c r="Q140" s="236">
        <f t="shared" si="4"/>
        <v>27342</v>
      </c>
      <c r="R140" s="236">
        <f t="shared" si="5"/>
        <v>11718</v>
      </c>
    </row>
    <row r="141" spans="1:18" x14ac:dyDescent="0.25">
      <c r="A141" s="1" t="s">
        <v>1719</v>
      </c>
      <c r="B141" s="1" t="s">
        <v>1720</v>
      </c>
      <c r="C141" s="1" t="s">
        <v>1721</v>
      </c>
      <c r="D141" s="1" t="s">
        <v>2523</v>
      </c>
      <c r="E141" s="1" t="str">
        <f>IF(D141="","",IFERROR(INDEX(NameGender!$B$2:$B$90,MATCH(LOWER(TRIM(D141)),NameGender!$A$2:$A$90,0)),"Unknown"))</f>
        <v>Female</v>
      </c>
      <c r="F141" s="1">
        <v>35</v>
      </c>
      <c r="G141" s="1" t="s">
        <v>1280</v>
      </c>
      <c r="H141" s="1" t="s">
        <v>2530</v>
      </c>
      <c r="I141" s="1" t="s">
        <v>60</v>
      </c>
      <c r="J141" s="1" t="s">
        <v>2205</v>
      </c>
      <c r="K141" s="1" t="s">
        <v>80</v>
      </c>
      <c r="L141" s="1" t="s">
        <v>258</v>
      </c>
      <c r="M141" s="2" t="s">
        <v>1871</v>
      </c>
      <c r="N141" s="230">
        <v>84990</v>
      </c>
      <c r="O141" s="1">
        <v>12</v>
      </c>
      <c r="P141" s="230">
        <v>1019880</v>
      </c>
      <c r="Q141" s="236">
        <f t="shared" si="4"/>
        <v>713916</v>
      </c>
      <c r="R141" s="236">
        <f t="shared" si="5"/>
        <v>305964</v>
      </c>
    </row>
    <row r="142" spans="1:18" x14ac:dyDescent="0.25">
      <c r="A142" s="1" t="s">
        <v>1723</v>
      </c>
      <c r="B142" s="1" t="s">
        <v>1724</v>
      </c>
      <c r="C142" s="1" t="s">
        <v>1725</v>
      </c>
      <c r="D142" s="1" t="s">
        <v>104</v>
      </c>
      <c r="E142" s="1" t="str">
        <f>IF(D142="","",IFERROR(INDEX(NameGender!$B$2:$B$90,MATCH(LOWER(TRIM(D142)),NameGender!$A$2:$A$90,0)),"Unknown"))</f>
        <v>Male</v>
      </c>
      <c r="F142" s="1">
        <v>42</v>
      </c>
      <c r="G142" s="1" t="s">
        <v>1229</v>
      </c>
      <c r="H142" s="1" t="s">
        <v>2252</v>
      </c>
      <c r="I142" s="1" t="s">
        <v>263</v>
      </c>
      <c r="J142" s="1" t="s">
        <v>2206</v>
      </c>
      <c r="K142" s="1" t="s">
        <v>1376</v>
      </c>
      <c r="L142" s="1" t="s">
        <v>354</v>
      </c>
      <c r="M142" s="2" t="s">
        <v>1872</v>
      </c>
      <c r="N142" s="230">
        <v>5890</v>
      </c>
      <c r="O142" s="1">
        <v>29</v>
      </c>
      <c r="P142" s="230">
        <v>170810</v>
      </c>
      <c r="Q142" s="236">
        <f t="shared" si="4"/>
        <v>119566.99999999999</v>
      </c>
      <c r="R142" s="236">
        <f t="shared" si="5"/>
        <v>51243.000000000015</v>
      </c>
    </row>
    <row r="143" spans="1:18" x14ac:dyDescent="0.25">
      <c r="A143" s="1" t="s">
        <v>1726</v>
      </c>
      <c r="B143" s="1" t="s">
        <v>1727</v>
      </c>
      <c r="C143" s="1" t="s">
        <v>1728</v>
      </c>
      <c r="D143" s="1" t="s">
        <v>1142</v>
      </c>
      <c r="E143" s="1" t="str">
        <f>IF(D143="","",IFERROR(INDEX(NameGender!$B$2:$B$90,MATCH(LOWER(TRIM(D143)),NameGender!$A$2:$A$90,0)),"Unknown"))</f>
        <v>Female</v>
      </c>
      <c r="F143" s="1">
        <v>49</v>
      </c>
      <c r="G143" s="1" t="s">
        <v>1205</v>
      </c>
      <c r="H143" s="1" t="s">
        <v>1206</v>
      </c>
      <c r="I143" s="1" t="s">
        <v>67</v>
      </c>
      <c r="J143" s="1" t="s">
        <v>2207</v>
      </c>
      <c r="K143" s="1" t="s">
        <v>68</v>
      </c>
      <c r="L143" s="1" t="s">
        <v>107</v>
      </c>
      <c r="M143" s="2" t="s">
        <v>1873</v>
      </c>
      <c r="N143" s="230">
        <v>4990</v>
      </c>
      <c r="O143" s="1">
        <v>14</v>
      </c>
      <c r="P143" s="230">
        <v>69860</v>
      </c>
      <c r="Q143" s="236">
        <f t="shared" si="4"/>
        <v>48902</v>
      </c>
      <c r="R143" s="236">
        <f t="shared" si="5"/>
        <v>20958</v>
      </c>
    </row>
    <row r="144" spans="1:18" x14ac:dyDescent="0.25">
      <c r="A144" s="1" t="s">
        <v>1730</v>
      </c>
      <c r="B144" s="1" t="s">
        <v>1731</v>
      </c>
      <c r="C144" s="1" t="s">
        <v>1732</v>
      </c>
      <c r="D144" s="1" t="s">
        <v>1121</v>
      </c>
      <c r="E144" s="1" t="str">
        <f>IF(D144="","",IFERROR(INDEX(NameGender!$B$2:$B$90,MATCH(LOWER(TRIM(D144)),NameGender!$A$2:$A$90,0)),"Unknown"))</f>
        <v>Female</v>
      </c>
      <c r="F144" s="1">
        <v>56</v>
      </c>
      <c r="G144" s="1" t="s">
        <v>58</v>
      </c>
      <c r="H144" s="1" t="s">
        <v>59</v>
      </c>
      <c r="I144" s="1" t="s">
        <v>191</v>
      </c>
      <c r="J144" s="1" t="s">
        <v>2208</v>
      </c>
      <c r="K144" s="1" t="s">
        <v>1846</v>
      </c>
      <c r="L144" s="1" t="s">
        <v>94</v>
      </c>
      <c r="M144" s="2" t="s">
        <v>1874</v>
      </c>
      <c r="N144" s="230">
        <v>1440</v>
      </c>
      <c r="O144" s="1">
        <v>23</v>
      </c>
      <c r="P144" s="230">
        <v>33120</v>
      </c>
      <c r="Q144" s="236">
        <f t="shared" si="4"/>
        <v>23184</v>
      </c>
      <c r="R144" s="236">
        <f t="shared" si="5"/>
        <v>9936</v>
      </c>
    </row>
    <row r="145" spans="1:18" x14ac:dyDescent="0.25">
      <c r="A145" s="1" t="s">
        <v>1734</v>
      </c>
      <c r="B145" s="1" t="s">
        <v>1735</v>
      </c>
      <c r="C145" s="1" t="s">
        <v>1736</v>
      </c>
      <c r="D145" s="1" t="s">
        <v>306</v>
      </c>
      <c r="E145" s="1" t="str">
        <f>IF(D145="","",IFERROR(INDEX(NameGender!$B$2:$B$90,MATCH(LOWER(TRIM(D145)),NameGender!$A$2:$A$90,0)),"Unknown"))</f>
        <v>Male</v>
      </c>
      <c r="F145" s="1">
        <v>22</v>
      </c>
      <c r="G145" s="1" t="s">
        <v>476</v>
      </c>
      <c r="H145" s="1" t="s">
        <v>1248</v>
      </c>
      <c r="I145" s="1" t="s">
        <v>86</v>
      </c>
      <c r="J145" s="1" t="s">
        <v>2209</v>
      </c>
      <c r="K145" s="1" t="s">
        <v>1561</v>
      </c>
      <c r="L145" s="1" t="s">
        <v>1254</v>
      </c>
      <c r="M145" s="2" t="s">
        <v>1875</v>
      </c>
      <c r="N145" s="230">
        <v>1260</v>
      </c>
      <c r="O145" s="1">
        <v>51</v>
      </c>
      <c r="P145" s="230">
        <v>64260</v>
      </c>
      <c r="Q145" s="236">
        <f t="shared" si="4"/>
        <v>44982</v>
      </c>
      <c r="R145" s="236">
        <f t="shared" si="5"/>
        <v>19278</v>
      </c>
    </row>
    <row r="146" spans="1:18" x14ac:dyDescent="0.25">
      <c r="A146" s="1" t="s">
        <v>1738</v>
      </c>
      <c r="B146" s="1" t="s">
        <v>1739</v>
      </c>
      <c r="C146" s="1" t="s">
        <v>1740</v>
      </c>
      <c r="D146" s="1" t="s">
        <v>1117</v>
      </c>
      <c r="E146" s="1" t="str">
        <f>IF(D146="","",IFERROR(INDEX(NameGender!$B$2:$B$90,MATCH(LOWER(TRIM(D146)),NameGender!$A$2:$A$90,0)),"Unknown"))</f>
        <v>Female</v>
      </c>
      <c r="F146" s="1">
        <v>29</v>
      </c>
      <c r="G146" s="1" t="s">
        <v>1257</v>
      </c>
      <c r="H146" s="1" t="s">
        <v>1258</v>
      </c>
      <c r="I146" s="1" t="s">
        <v>282</v>
      </c>
      <c r="J146" s="1" t="s">
        <v>2210</v>
      </c>
      <c r="K146" s="1" t="s">
        <v>1849</v>
      </c>
      <c r="L146" s="1" t="s">
        <v>144</v>
      </c>
      <c r="M146" s="2" t="s">
        <v>1876</v>
      </c>
      <c r="N146" s="230">
        <v>810</v>
      </c>
      <c r="O146" s="1">
        <v>17</v>
      </c>
      <c r="P146" s="230">
        <v>13770</v>
      </c>
      <c r="Q146" s="236">
        <f t="shared" si="4"/>
        <v>9639</v>
      </c>
      <c r="R146" s="236">
        <f t="shared" si="5"/>
        <v>4131</v>
      </c>
    </row>
    <row r="147" spans="1:18" x14ac:dyDescent="0.25">
      <c r="A147" s="1" t="s">
        <v>1741</v>
      </c>
      <c r="B147" s="1" t="s">
        <v>1742</v>
      </c>
      <c r="C147" s="1" t="s">
        <v>1743</v>
      </c>
      <c r="D147" s="1" t="s">
        <v>306</v>
      </c>
      <c r="E147" s="1" t="str">
        <f>IF(D147="","",IFERROR(INDEX(NameGender!$B$2:$B$90,MATCH(LOWER(TRIM(D147)),NameGender!$A$2:$A$90,0)),"Unknown"))</f>
        <v>Male</v>
      </c>
      <c r="F147" s="1">
        <v>36</v>
      </c>
      <c r="G147" s="1" t="s">
        <v>1257</v>
      </c>
      <c r="H147" s="1" t="s">
        <v>1258</v>
      </c>
      <c r="I147" s="1" t="s">
        <v>112</v>
      </c>
      <c r="J147" s="1" t="s">
        <v>2211</v>
      </c>
      <c r="K147" s="1" t="s">
        <v>1562</v>
      </c>
      <c r="L147" s="1" t="s">
        <v>79</v>
      </c>
      <c r="M147" s="2" t="s">
        <v>1877</v>
      </c>
      <c r="N147" s="230">
        <v>2248</v>
      </c>
      <c r="O147" s="1">
        <v>19</v>
      </c>
      <c r="P147" s="230">
        <v>42712</v>
      </c>
      <c r="Q147" s="236">
        <f t="shared" si="4"/>
        <v>29898.399999999998</v>
      </c>
      <c r="R147" s="236">
        <f t="shared" si="5"/>
        <v>12813.600000000002</v>
      </c>
    </row>
    <row r="148" spans="1:18" x14ac:dyDescent="0.25">
      <c r="A148" s="1" t="s">
        <v>1745</v>
      </c>
      <c r="B148" s="1" t="s">
        <v>1746</v>
      </c>
      <c r="C148" s="1" t="s">
        <v>1747</v>
      </c>
      <c r="D148" s="1" t="s">
        <v>166</v>
      </c>
      <c r="E148" s="1" t="str">
        <f>IF(D148="","",IFERROR(INDEX(NameGender!$B$2:$B$90,MATCH(LOWER(TRIM(D148)),NameGender!$A$2:$A$90,0)),"Unknown"))</f>
        <v>Male</v>
      </c>
      <c r="F148" s="1">
        <v>43</v>
      </c>
      <c r="G148" s="1" t="s">
        <v>1224</v>
      </c>
      <c r="H148" s="1" t="s">
        <v>1225</v>
      </c>
      <c r="I148" s="1" t="s">
        <v>136</v>
      </c>
      <c r="J148" s="1" t="s">
        <v>2212</v>
      </c>
      <c r="K148" s="1" t="s">
        <v>1850</v>
      </c>
      <c r="L148" s="1" t="s">
        <v>62</v>
      </c>
      <c r="M148" s="2" t="s">
        <v>1878</v>
      </c>
      <c r="N148" s="230">
        <v>47250</v>
      </c>
      <c r="O148" s="1">
        <v>11</v>
      </c>
      <c r="P148" s="230">
        <v>519750</v>
      </c>
      <c r="Q148" s="236">
        <f t="shared" si="4"/>
        <v>363825</v>
      </c>
      <c r="R148" s="236">
        <f t="shared" si="5"/>
        <v>155925</v>
      </c>
    </row>
    <row r="149" spans="1:18" x14ac:dyDescent="0.25">
      <c r="A149" s="1" t="s">
        <v>1749</v>
      </c>
      <c r="B149" s="1" t="s">
        <v>1750</v>
      </c>
      <c r="C149" s="1" t="s">
        <v>1751</v>
      </c>
      <c r="D149" s="1" t="s">
        <v>214</v>
      </c>
      <c r="E149" s="1" t="str">
        <f>IF(D149="","",IFERROR(INDEX(NameGender!$B$2:$B$90,MATCH(LOWER(TRIM(D149)),NameGender!$A$2:$A$90,0)),"Unknown"))</f>
        <v>Male</v>
      </c>
      <c r="F149" s="1">
        <v>50</v>
      </c>
      <c r="G149" s="1" t="s">
        <v>1224</v>
      </c>
      <c r="H149" s="1" t="s">
        <v>1225</v>
      </c>
      <c r="I149" s="1" t="s">
        <v>250</v>
      </c>
      <c r="J149" s="1" t="s">
        <v>2213</v>
      </c>
      <c r="K149" s="1" t="s">
        <v>1851</v>
      </c>
      <c r="L149" s="1" t="s">
        <v>1207</v>
      </c>
      <c r="M149" s="2" t="s">
        <v>1879</v>
      </c>
      <c r="N149" s="230">
        <v>64800</v>
      </c>
      <c r="O149" s="1">
        <v>13</v>
      </c>
      <c r="P149" s="230">
        <v>842400</v>
      </c>
      <c r="Q149" s="236">
        <f t="shared" si="4"/>
        <v>589680</v>
      </c>
      <c r="R149" s="236">
        <f t="shared" si="5"/>
        <v>252720</v>
      </c>
    </row>
    <row r="150" spans="1:18" x14ac:dyDescent="0.25">
      <c r="A150" s="1" t="s">
        <v>1753</v>
      </c>
      <c r="B150" s="1" t="s">
        <v>1754</v>
      </c>
      <c r="C150" s="1" t="s">
        <v>1755</v>
      </c>
      <c r="D150" s="1" t="s">
        <v>1118</v>
      </c>
      <c r="E150" s="1" t="str">
        <f>IF(D150="","",IFERROR(INDEX(NameGender!$B$2:$B$90,MATCH(LOWER(TRIM(D150)),NameGender!$A$2:$A$90,0)),"Unknown"))</f>
        <v>Female</v>
      </c>
      <c r="F150" s="1">
        <v>57</v>
      </c>
      <c r="G150" s="1" t="s">
        <v>58</v>
      </c>
      <c r="H150" s="1" t="s">
        <v>59</v>
      </c>
      <c r="I150" s="1" t="s">
        <v>118</v>
      </c>
      <c r="J150" s="1" t="s">
        <v>2214</v>
      </c>
      <c r="K150" s="1" t="s">
        <v>1852</v>
      </c>
      <c r="L150" s="1" t="s">
        <v>75</v>
      </c>
      <c r="M150" s="2" t="s">
        <v>63</v>
      </c>
      <c r="N150" s="230">
        <v>900</v>
      </c>
      <c r="O150" s="1">
        <v>15</v>
      </c>
      <c r="P150" s="230">
        <v>13500</v>
      </c>
      <c r="Q150" s="236">
        <f t="shared" si="4"/>
        <v>9450</v>
      </c>
      <c r="R150" s="236">
        <f t="shared" si="5"/>
        <v>4050</v>
      </c>
    </row>
    <row r="151" spans="1:18" x14ac:dyDescent="0.25">
      <c r="A151" s="1" t="s">
        <v>1756</v>
      </c>
      <c r="B151" s="1" t="s">
        <v>1757</v>
      </c>
      <c r="C151" s="1" t="s">
        <v>1758</v>
      </c>
      <c r="D151" s="1" t="s">
        <v>148</v>
      </c>
      <c r="E151" s="1" t="str">
        <f>IF(D151="","",IFERROR(INDEX(NameGender!$B$2:$B$90,MATCH(LOWER(TRIM(D151)),NameGender!$A$2:$A$90,0)),"Unknown"))</f>
        <v>Male</v>
      </c>
      <c r="F151" s="1">
        <v>23</v>
      </c>
      <c r="G151" s="1" t="s">
        <v>1295</v>
      </c>
      <c r="H151" s="1" t="s">
        <v>1296</v>
      </c>
      <c r="I151" s="1" t="s">
        <v>74</v>
      </c>
      <c r="J151" s="1" t="s">
        <v>2215</v>
      </c>
      <c r="K151" s="1" t="s">
        <v>1</v>
      </c>
      <c r="L151" s="1" t="s">
        <v>1212</v>
      </c>
      <c r="M151" s="2" t="s">
        <v>1208</v>
      </c>
      <c r="N151" s="230">
        <v>650</v>
      </c>
      <c r="O151" s="1">
        <v>31</v>
      </c>
      <c r="P151" s="230">
        <v>20150</v>
      </c>
      <c r="Q151" s="236">
        <f t="shared" si="4"/>
        <v>14105</v>
      </c>
      <c r="R151" s="236">
        <f t="shared" si="5"/>
        <v>6045</v>
      </c>
    </row>
    <row r="152" spans="1:18" x14ac:dyDescent="0.25">
      <c r="A152" s="1" t="s">
        <v>1759</v>
      </c>
      <c r="B152" s="1" t="s">
        <v>1760</v>
      </c>
      <c r="C152" s="1" t="s">
        <v>1761</v>
      </c>
      <c r="D152" s="1" t="s">
        <v>172</v>
      </c>
      <c r="E152" s="1" t="str">
        <f>IF(D152="","",IFERROR(INDEX(NameGender!$B$2:$B$90,MATCH(LOWER(TRIM(D152)),NameGender!$A$2:$A$90,0)),"Unknown"))</f>
        <v>Male</v>
      </c>
      <c r="F152" s="1">
        <v>30</v>
      </c>
      <c r="G152" s="1" t="s">
        <v>476</v>
      </c>
      <c r="H152" s="1" t="s">
        <v>1248</v>
      </c>
      <c r="I152" s="1" t="s">
        <v>160</v>
      </c>
      <c r="J152" s="1" t="s">
        <v>2216</v>
      </c>
      <c r="K152" s="1" t="s">
        <v>1549</v>
      </c>
      <c r="L152" s="1" t="s">
        <v>88</v>
      </c>
      <c r="M152" s="2" t="s">
        <v>76</v>
      </c>
      <c r="N152" s="230">
        <v>1860</v>
      </c>
      <c r="O152" s="1">
        <v>8</v>
      </c>
      <c r="P152" s="230">
        <v>14880</v>
      </c>
      <c r="Q152" s="236">
        <f t="shared" si="4"/>
        <v>10416</v>
      </c>
      <c r="R152" s="236">
        <f t="shared" si="5"/>
        <v>4464</v>
      </c>
    </row>
    <row r="153" spans="1:18" x14ac:dyDescent="0.25">
      <c r="A153" s="1" t="s">
        <v>1762</v>
      </c>
      <c r="B153" s="1" t="s">
        <v>1763</v>
      </c>
      <c r="C153" s="1" t="s">
        <v>1764</v>
      </c>
      <c r="D153" s="1" t="s">
        <v>294</v>
      </c>
      <c r="E153" s="1" t="str">
        <f>IF(D153="","",IFERROR(INDEX(NameGender!$B$2:$B$90,MATCH(LOWER(TRIM(D153)),NameGender!$A$2:$A$90,0)),"Unknown"))</f>
        <v>Male</v>
      </c>
      <c r="F153" s="1">
        <v>37</v>
      </c>
      <c r="G153" s="1" t="s">
        <v>58</v>
      </c>
      <c r="H153" s="1" t="s">
        <v>59</v>
      </c>
      <c r="I153" s="1" t="s">
        <v>60</v>
      </c>
      <c r="J153" s="1" t="s">
        <v>2217</v>
      </c>
      <c r="K153" s="1" t="s">
        <v>80</v>
      </c>
      <c r="L153" s="1" t="s">
        <v>1282</v>
      </c>
      <c r="M153" s="2" t="s">
        <v>1213</v>
      </c>
      <c r="N153" s="230">
        <v>84990</v>
      </c>
      <c r="O153" s="1">
        <v>4</v>
      </c>
      <c r="P153" s="230">
        <v>339960</v>
      </c>
      <c r="Q153" s="236">
        <f t="shared" si="4"/>
        <v>237971.99999999997</v>
      </c>
      <c r="R153" s="236">
        <f t="shared" si="5"/>
        <v>101988.00000000003</v>
      </c>
    </row>
    <row r="154" spans="1:18" x14ac:dyDescent="0.25">
      <c r="A154" s="1" t="s">
        <v>1765</v>
      </c>
      <c r="B154" s="1" t="s">
        <v>1766</v>
      </c>
      <c r="C154" s="1" t="s">
        <v>1767</v>
      </c>
      <c r="D154" s="1" t="s">
        <v>219</v>
      </c>
      <c r="E154" s="1" t="str">
        <f>IF(D154="","",IFERROR(INDEX(NameGender!$B$2:$B$90,MATCH(LOWER(TRIM(D154)),NameGender!$A$2:$A$90,0)),"Unknown"))</f>
        <v>Male</v>
      </c>
      <c r="F154" s="1">
        <v>44</v>
      </c>
      <c r="G154" s="1" t="s">
        <v>1210</v>
      </c>
      <c r="H154" s="1" t="s">
        <v>1211</v>
      </c>
      <c r="I154" s="1" t="s">
        <v>263</v>
      </c>
      <c r="J154" s="1" t="s">
        <v>2218</v>
      </c>
      <c r="K154" s="1" t="s">
        <v>1376</v>
      </c>
      <c r="L154" s="1" t="s">
        <v>120</v>
      </c>
      <c r="M154" s="2" t="s">
        <v>1847</v>
      </c>
      <c r="N154" s="230">
        <v>5890</v>
      </c>
      <c r="O154" s="1">
        <v>30</v>
      </c>
      <c r="P154" s="230">
        <v>176700</v>
      </c>
      <c r="Q154" s="236">
        <f t="shared" si="4"/>
        <v>123689.99999999999</v>
      </c>
      <c r="R154" s="236">
        <f t="shared" si="5"/>
        <v>53010.000000000015</v>
      </c>
    </row>
    <row r="155" spans="1:18" x14ac:dyDescent="0.25">
      <c r="A155" s="1" t="s">
        <v>1768</v>
      </c>
      <c r="B155" s="1" t="s">
        <v>1769</v>
      </c>
      <c r="C155" s="1" t="s">
        <v>1770</v>
      </c>
      <c r="D155" s="1" t="s">
        <v>346</v>
      </c>
      <c r="E155" s="1" t="str">
        <f>IF(D155="","",IFERROR(INDEX(NameGender!$B$2:$B$90,MATCH(LOWER(TRIM(D155)),NameGender!$A$2:$A$90,0)),"Unknown"))</f>
        <v>Male</v>
      </c>
      <c r="F155" s="1">
        <v>51</v>
      </c>
      <c r="G155" s="1" t="s">
        <v>1234</v>
      </c>
      <c r="H155" s="1" t="s">
        <v>2257</v>
      </c>
      <c r="I155" s="1" t="s">
        <v>67</v>
      </c>
      <c r="J155" s="1" t="s">
        <v>2219</v>
      </c>
      <c r="K155" s="1" t="s">
        <v>68</v>
      </c>
      <c r="L155" s="1" t="s">
        <v>296</v>
      </c>
      <c r="M155" s="2" t="s">
        <v>1848</v>
      </c>
      <c r="N155" s="230">
        <v>4990</v>
      </c>
      <c r="O155" s="1">
        <v>14</v>
      </c>
      <c r="P155" s="230">
        <v>69860</v>
      </c>
      <c r="Q155" s="236">
        <f t="shared" si="4"/>
        <v>48902</v>
      </c>
      <c r="R155" s="236">
        <f t="shared" si="5"/>
        <v>20958</v>
      </c>
    </row>
    <row r="156" spans="1:18" x14ac:dyDescent="0.25">
      <c r="A156" s="1" t="s">
        <v>1771</v>
      </c>
      <c r="B156" s="1" t="s">
        <v>1772</v>
      </c>
      <c r="C156" s="1" t="s">
        <v>1773</v>
      </c>
      <c r="D156" s="1" t="s">
        <v>243</v>
      </c>
      <c r="E156" s="1" t="str">
        <f>IF(D156="","",IFERROR(INDEX(NameGender!$B$2:$B$90,MATCH(LOWER(TRIM(D156)),NameGender!$A$2:$A$90,0)),"Unknown"))</f>
        <v>Male</v>
      </c>
      <c r="F156" s="1">
        <v>58</v>
      </c>
      <c r="G156" s="1" t="s">
        <v>1239</v>
      </c>
      <c r="H156" s="1" t="s">
        <v>2258</v>
      </c>
      <c r="I156" s="1" t="s">
        <v>191</v>
      </c>
      <c r="J156" s="1" t="s">
        <v>2220</v>
      </c>
      <c r="K156" s="1" t="s">
        <v>1846</v>
      </c>
      <c r="L156" s="1" t="s">
        <v>258</v>
      </c>
      <c r="M156" s="2" t="s">
        <v>1222</v>
      </c>
      <c r="N156" s="230">
        <v>1440</v>
      </c>
      <c r="O156" s="1">
        <v>24</v>
      </c>
      <c r="P156" s="230">
        <v>34560</v>
      </c>
      <c r="Q156" s="236">
        <f t="shared" si="4"/>
        <v>24192</v>
      </c>
      <c r="R156" s="236">
        <f t="shared" si="5"/>
        <v>10368</v>
      </c>
    </row>
    <row r="157" spans="1:18" x14ac:dyDescent="0.25">
      <c r="A157" s="1" t="s">
        <v>1774</v>
      </c>
      <c r="B157" s="1" t="s">
        <v>1775</v>
      </c>
      <c r="C157" s="1" t="s">
        <v>1776</v>
      </c>
      <c r="D157" s="1" t="s">
        <v>334</v>
      </c>
      <c r="E157" s="1" t="str">
        <f>IF(D157="","",IFERROR(INDEX(NameGender!$B$2:$B$90,MATCH(LOWER(TRIM(D157)),NameGender!$A$2:$A$90,0)),"Unknown"))</f>
        <v>Male</v>
      </c>
      <c r="F157" s="1">
        <v>24</v>
      </c>
      <c r="G157" s="1" t="s">
        <v>58</v>
      </c>
      <c r="H157" s="1" t="s">
        <v>59</v>
      </c>
      <c r="I157" s="1" t="s">
        <v>86</v>
      </c>
      <c r="J157" s="1" t="s">
        <v>2221</v>
      </c>
      <c r="K157" s="1" t="s">
        <v>1561</v>
      </c>
      <c r="L157" s="1" t="s">
        <v>354</v>
      </c>
      <c r="M157" s="2" t="s">
        <v>1370</v>
      </c>
      <c r="N157" s="230">
        <v>1260</v>
      </c>
      <c r="O157" s="1">
        <v>72</v>
      </c>
      <c r="P157" s="230">
        <v>90720</v>
      </c>
      <c r="Q157" s="236">
        <f t="shared" si="4"/>
        <v>63503.999999999993</v>
      </c>
      <c r="R157" s="236">
        <f t="shared" si="5"/>
        <v>27216.000000000007</v>
      </c>
    </row>
    <row r="158" spans="1:18" x14ac:dyDescent="0.25">
      <c r="A158" s="1" t="s">
        <v>1777</v>
      </c>
      <c r="B158" s="1" t="s">
        <v>1778</v>
      </c>
      <c r="C158" s="1" t="s">
        <v>1779</v>
      </c>
      <c r="D158" s="1" t="s">
        <v>2524</v>
      </c>
      <c r="E158" s="1" t="str">
        <f>IF(D158="","",IFERROR(INDEX(NameGender!$B$2:$B$90,MATCH(LOWER(TRIM(D158)),NameGender!$A$2:$A$90,0)),"Unknown"))</f>
        <v>Female</v>
      </c>
      <c r="F158" s="1">
        <v>31</v>
      </c>
      <c r="G158" s="1" t="s">
        <v>1219</v>
      </c>
      <c r="H158" s="1" t="s">
        <v>1220</v>
      </c>
      <c r="I158" s="1" t="s">
        <v>282</v>
      </c>
      <c r="J158" s="1" t="s">
        <v>2222</v>
      </c>
      <c r="K158" s="1" t="s">
        <v>1849</v>
      </c>
      <c r="L158" s="1" t="s">
        <v>107</v>
      </c>
      <c r="M158" s="2" t="s">
        <v>1227</v>
      </c>
      <c r="N158" s="230">
        <v>810</v>
      </c>
      <c r="O158" s="1">
        <v>18</v>
      </c>
      <c r="P158" s="230">
        <v>14580</v>
      </c>
      <c r="Q158" s="236">
        <f t="shared" si="4"/>
        <v>10206</v>
      </c>
      <c r="R158" s="236">
        <f t="shared" si="5"/>
        <v>4374</v>
      </c>
    </row>
    <row r="159" spans="1:18" x14ac:dyDescent="0.25">
      <c r="A159" s="1" t="s">
        <v>1780</v>
      </c>
      <c r="B159" s="1" t="s">
        <v>1781</v>
      </c>
      <c r="C159" s="1" t="s">
        <v>1782</v>
      </c>
      <c r="D159" s="1" t="s">
        <v>135</v>
      </c>
      <c r="E159" s="1" t="str">
        <f>IF(D159="","",IFERROR(INDEX(NameGender!$B$2:$B$90,MATCH(LOWER(TRIM(D159)),NameGender!$A$2:$A$90,0)),"Unknown"))</f>
        <v>Male</v>
      </c>
      <c r="F159" s="1">
        <v>38</v>
      </c>
      <c r="G159" s="1" t="s">
        <v>2531</v>
      </c>
      <c r="H159" s="1" t="s">
        <v>2533</v>
      </c>
      <c r="I159" s="1" t="s">
        <v>112</v>
      </c>
      <c r="J159" s="1" t="s">
        <v>2223</v>
      </c>
      <c r="K159" s="1" t="s">
        <v>1562</v>
      </c>
      <c r="L159" s="1" t="s">
        <v>94</v>
      </c>
      <c r="M159" s="2" t="s">
        <v>1355</v>
      </c>
      <c r="N159" s="230">
        <v>2248</v>
      </c>
      <c r="O159" s="1">
        <v>20</v>
      </c>
      <c r="P159" s="230">
        <v>44960</v>
      </c>
      <c r="Q159" s="236">
        <f t="shared" si="4"/>
        <v>31471.999999999996</v>
      </c>
      <c r="R159" s="236">
        <f t="shared" si="5"/>
        <v>13488.000000000004</v>
      </c>
    </row>
    <row r="160" spans="1:18" x14ac:dyDescent="0.25">
      <c r="A160" s="1" t="s">
        <v>1783</v>
      </c>
      <c r="B160" s="1" t="s">
        <v>1784</v>
      </c>
      <c r="C160" s="1" t="s">
        <v>1785</v>
      </c>
      <c r="D160" s="1" t="s">
        <v>2522</v>
      </c>
      <c r="E160" s="1" t="str">
        <f>IF(D160="","",IFERROR(INDEX(NameGender!$B$2:$B$90,MATCH(LOWER(TRIM(D160)),NameGender!$A$2:$A$90,0)),"Unknown"))</f>
        <v>Male</v>
      </c>
      <c r="F160" s="1">
        <v>45</v>
      </c>
      <c r="G160" s="1" t="s">
        <v>1239</v>
      </c>
      <c r="H160" s="1" t="s">
        <v>2258</v>
      </c>
      <c r="I160" s="1" t="s">
        <v>136</v>
      </c>
      <c r="J160" s="1" t="s">
        <v>2224</v>
      </c>
      <c r="K160" s="1" t="s">
        <v>1850</v>
      </c>
      <c r="L160" s="1" t="s">
        <v>1254</v>
      </c>
      <c r="M160" s="2" t="s">
        <v>1375</v>
      </c>
      <c r="N160" s="230">
        <v>47250</v>
      </c>
      <c r="O160" s="1">
        <v>12</v>
      </c>
      <c r="P160" s="230">
        <v>567000</v>
      </c>
      <c r="Q160" s="236">
        <f t="shared" si="4"/>
        <v>396900</v>
      </c>
      <c r="R160" s="236">
        <f t="shared" si="5"/>
        <v>170100</v>
      </c>
    </row>
    <row r="161" spans="1:18" x14ac:dyDescent="0.25">
      <c r="A161" s="1" t="s">
        <v>1786</v>
      </c>
      <c r="B161" s="1" t="s">
        <v>1787</v>
      </c>
      <c r="C161" s="1" t="s">
        <v>1788</v>
      </c>
      <c r="D161" s="1" t="s">
        <v>1125</v>
      </c>
      <c r="E161" s="1" t="str">
        <f>IF(D161="","",IFERROR(INDEX(NameGender!$B$2:$B$90,MATCH(LOWER(TRIM(D161)),NameGender!$A$2:$A$90,0)),"Unknown"))</f>
        <v>Female</v>
      </c>
      <c r="F161" s="1">
        <v>52</v>
      </c>
      <c r="G161" s="1" t="s">
        <v>481</v>
      </c>
      <c r="H161" s="1" t="s">
        <v>1215</v>
      </c>
      <c r="I161" s="1" t="s">
        <v>250</v>
      </c>
      <c r="J161" s="1" t="s">
        <v>2225</v>
      </c>
      <c r="K161" s="1" t="s">
        <v>1851</v>
      </c>
      <c r="L161" s="1" t="s">
        <v>144</v>
      </c>
      <c r="M161" s="2" t="s">
        <v>1377</v>
      </c>
      <c r="N161" s="230">
        <v>64800</v>
      </c>
      <c r="O161" s="1">
        <v>14</v>
      </c>
      <c r="P161" s="230">
        <v>907200</v>
      </c>
      <c r="Q161" s="236">
        <f t="shared" si="4"/>
        <v>635040</v>
      </c>
      <c r="R161" s="236">
        <f t="shared" si="5"/>
        <v>272160</v>
      </c>
    </row>
    <row r="162" spans="1:18" x14ac:dyDescent="0.25">
      <c r="A162" s="1" t="s">
        <v>1789</v>
      </c>
      <c r="B162" s="1" t="s">
        <v>1790</v>
      </c>
      <c r="C162" s="1" t="s">
        <v>1791</v>
      </c>
      <c r="D162" s="1" t="s">
        <v>1120</v>
      </c>
      <c r="E162" s="1" t="str">
        <f>IF(D162="","",IFERROR(INDEX(NameGender!$B$2:$B$90,MATCH(LOWER(TRIM(D162)),NameGender!$A$2:$A$90,0)),"Unknown"))</f>
        <v>Male</v>
      </c>
      <c r="F162" s="1">
        <v>59</v>
      </c>
      <c r="G162" s="1" t="s">
        <v>1239</v>
      </c>
      <c r="H162" s="1" t="s">
        <v>2258</v>
      </c>
      <c r="I162" s="1" t="s">
        <v>118</v>
      </c>
      <c r="J162" s="1" t="s">
        <v>2226</v>
      </c>
      <c r="K162" s="1" t="s">
        <v>1852</v>
      </c>
      <c r="L162" s="1" t="s">
        <v>79</v>
      </c>
      <c r="M162" s="2" t="s">
        <v>1567</v>
      </c>
      <c r="N162" s="230">
        <v>900</v>
      </c>
      <c r="O162" s="1">
        <v>33</v>
      </c>
      <c r="P162" s="230">
        <v>29700</v>
      </c>
      <c r="Q162" s="236">
        <f t="shared" si="4"/>
        <v>20790</v>
      </c>
      <c r="R162" s="236">
        <f t="shared" si="5"/>
        <v>8910</v>
      </c>
    </row>
    <row r="163" spans="1:18" x14ac:dyDescent="0.25">
      <c r="A163" s="1" t="s">
        <v>1792</v>
      </c>
      <c r="B163" s="1" t="s">
        <v>1793</v>
      </c>
      <c r="C163" s="1" t="s">
        <v>1794</v>
      </c>
      <c r="D163" s="1" t="s">
        <v>2525</v>
      </c>
      <c r="E163" s="1" t="str">
        <f>IF(D163="","",IFERROR(INDEX(NameGender!$B$2:$B$90,MATCH(LOWER(TRIM(D163)),NameGender!$A$2:$A$90,0)),"Unknown"))</f>
        <v>Female</v>
      </c>
      <c r="F163" s="1">
        <v>25</v>
      </c>
      <c r="G163" s="1" t="s">
        <v>1210</v>
      </c>
      <c r="H163" s="1" t="s">
        <v>2259</v>
      </c>
      <c r="I163" s="1" t="s">
        <v>74</v>
      </c>
      <c r="J163" s="1" t="s">
        <v>2227</v>
      </c>
      <c r="K163" s="1" t="s">
        <v>1</v>
      </c>
      <c r="L163" s="1" t="s">
        <v>62</v>
      </c>
      <c r="M163" s="2" t="s">
        <v>1568</v>
      </c>
      <c r="N163" s="230">
        <v>650</v>
      </c>
      <c r="O163" s="1">
        <v>17</v>
      </c>
      <c r="P163" s="230">
        <v>11050</v>
      </c>
      <c r="Q163" s="236">
        <f t="shared" si="4"/>
        <v>7734.9999999999991</v>
      </c>
      <c r="R163" s="236">
        <f t="shared" si="5"/>
        <v>3315.0000000000009</v>
      </c>
    </row>
    <row r="164" spans="1:18" x14ac:dyDescent="0.25">
      <c r="A164" s="1" t="s">
        <v>1795</v>
      </c>
      <c r="B164" s="1" t="s">
        <v>1796</v>
      </c>
      <c r="C164" s="1" t="s">
        <v>1797</v>
      </c>
      <c r="D164" s="1" t="s">
        <v>1123</v>
      </c>
      <c r="E164" s="1" t="str">
        <f>IF(D164="","",IFERROR(INDEX(NameGender!$B$2:$B$90,MATCH(LOWER(TRIM(D164)),NameGender!$A$2:$A$90,0)),"Unknown"))</f>
        <v>Female</v>
      </c>
      <c r="F164" s="1">
        <v>32</v>
      </c>
      <c r="G164" s="1" t="s">
        <v>1271</v>
      </c>
      <c r="H164" s="1" t="s">
        <v>1272</v>
      </c>
      <c r="I164" s="1" t="s">
        <v>160</v>
      </c>
      <c r="J164" s="1" t="s">
        <v>2228</v>
      </c>
      <c r="K164" s="1" t="s">
        <v>1549</v>
      </c>
      <c r="L164" s="1" t="s">
        <v>1207</v>
      </c>
      <c r="M164" s="2" t="s">
        <v>1362</v>
      </c>
      <c r="N164" s="230">
        <v>1860</v>
      </c>
      <c r="O164" s="1">
        <v>18</v>
      </c>
      <c r="P164" s="230">
        <v>33480</v>
      </c>
      <c r="Q164" s="236">
        <f t="shared" si="4"/>
        <v>23436</v>
      </c>
      <c r="R164" s="236">
        <f t="shared" si="5"/>
        <v>10044</v>
      </c>
    </row>
    <row r="165" spans="1:18" x14ac:dyDescent="0.25">
      <c r="A165" s="1" t="s">
        <v>1798</v>
      </c>
      <c r="B165" s="1" t="s">
        <v>1799</v>
      </c>
      <c r="C165" s="1" t="s">
        <v>1800</v>
      </c>
      <c r="D165" s="1" t="s">
        <v>1120</v>
      </c>
      <c r="E165" s="1" t="str">
        <f>IF(D165="","",IFERROR(INDEX(NameGender!$B$2:$B$90,MATCH(LOWER(TRIM(D165)),NameGender!$A$2:$A$90,0)),"Unknown"))</f>
        <v>Male</v>
      </c>
      <c r="F165" s="1">
        <v>39</v>
      </c>
      <c r="G165" s="1" t="s">
        <v>1234</v>
      </c>
      <c r="H165" s="1" t="s">
        <v>1235</v>
      </c>
      <c r="I165" s="1" t="s">
        <v>60</v>
      </c>
      <c r="J165" s="1" t="s">
        <v>2229</v>
      </c>
      <c r="K165" s="1" t="s">
        <v>80</v>
      </c>
      <c r="L165" s="1" t="s">
        <v>75</v>
      </c>
      <c r="M165" s="2" t="s">
        <v>1242</v>
      </c>
      <c r="N165" s="230">
        <v>84990</v>
      </c>
      <c r="O165" s="1">
        <v>5</v>
      </c>
      <c r="P165" s="230">
        <v>424950</v>
      </c>
      <c r="Q165" s="236">
        <f t="shared" si="4"/>
        <v>297465</v>
      </c>
      <c r="R165" s="236">
        <f t="shared" si="5"/>
        <v>127485</v>
      </c>
    </row>
    <row r="166" spans="1:18" x14ac:dyDescent="0.25">
      <c r="A166" s="1" t="s">
        <v>1801</v>
      </c>
      <c r="B166" s="1" t="s">
        <v>1802</v>
      </c>
      <c r="C166" s="1" t="s">
        <v>1803</v>
      </c>
      <c r="D166" s="1" t="s">
        <v>346</v>
      </c>
      <c r="E166" s="1" t="str">
        <f>IF(D166="","",IFERROR(INDEX(NameGender!$B$2:$B$90,MATCH(LOWER(TRIM(D166)),NameGender!$A$2:$A$90,0)),"Unknown"))</f>
        <v>Male</v>
      </c>
      <c r="F166" s="1">
        <v>46</v>
      </c>
      <c r="G166" s="1" t="s">
        <v>58</v>
      </c>
      <c r="H166" s="1" t="s">
        <v>59</v>
      </c>
      <c r="I166" s="1" t="s">
        <v>263</v>
      </c>
      <c r="J166" s="1" t="s">
        <v>2230</v>
      </c>
      <c r="K166" s="1" t="s">
        <v>1376</v>
      </c>
      <c r="L166" s="1" t="s">
        <v>1212</v>
      </c>
      <c r="M166" s="2" t="s">
        <v>1246</v>
      </c>
      <c r="N166" s="230">
        <v>5890</v>
      </c>
      <c r="O166" s="1">
        <v>31</v>
      </c>
      <c r="P166" s="230">
        <v>182590</v>
      </c>
      <c r="Q166" s="236">
        <f t="shared" si="4"/>
        <v>127812.99999999999</v>
      </c>
      <c r="R166" s="236">
        <f t="shared" si="5"/>
        <v>54777.000000000015</v>
      </c>
    </row>
    <row r="167" spans="1:18" x14ac:dyDescent="0.25">
      <c r="A167" s="1" t="s">
        <v>1804</v>
      </c>
      <c r="B167" s="1" t="s">
        <v>1805</v>
      </c>
      <c r="C167" s="1" t="s">
        <v>1806</v>
      </c>
      <c r="D167" s="1" t="s">
        <v>1131</v>
      </c>
      <c r="E167" s="1" t="str">
        <f>IF(D167="","",IFERROR(INDEX(NameGender!$B$2:$B$90,MATCH(LOWER(TRIM(D167)),NameGender!$A$2:$A$90,0)),"Unknown"))</f>
        <v>Female</v>
      </c>
      <c r="F167" s="1">
        <v>53</v>
      </c>
      <c r="G167" s="1" t="s">
        <v>1219</v>
      </c>
      <c r="H167" s="1" t="s">
        <v>1220</v>
      </c>
      <c r="I167" s="1" t="s">
        <v>67</v>
      </c>
      <c r="J167" s="1" t="s">
        <v>2231</v>
      </c>
      <c r="K167" s="1" t="s">
        <v>68</v>
      </c>
      <c r="L167" s="1" t="s">
        <v>88</v>
      </c>
      <c r="M167" s="2" t="s">
        <v>1853</v>
      </c>
      <c r="N167" s="230">
        <v>4990</v>
      </c>
      <c r="O167" s="1">
        <v>21</v>
      </c>
      <c r="P167" s="230">
        <v>104790</v>
      </c>
      <c r="Q167" s="236">
        <f t="shared" si="4"/>
        <v>73353</v>
      </c>
      <c r="R167" s="236">
        <f t="shared" si="5"/>
        <v>31437</v>
      </c>
    </row>
    <row r="168" spans="1:18" x14ac:dyDescent="0.25">
      <c r="A168" s="1" t="s">
        <v>1807</v>
      </c>
      <c r="B168" s="1" t="s">
        <v>1808</v>
      </c>
      <c r="C168" s="1" t="s">
        <v>1809</v>
      </c>
      <c r="D168" s="1" t="s">
        <v>225</v>
      </c>
      <c r="E168" s="1" t="str">
        <f>IF(D168="","",IFERROR(INDEX(NameGender!$B$2:$B$90,MATCH(LOWER(TRIM(D168)),NameGender!$A$2:$A$90,0)),"Unknown"))</f>
        <v>Male</v>
      </c>
      <c r="F168" s="1">
        <v>60</v>
      </c>
      <c r="G168" s="1" t="s">
        <v>1224</v>
      </c>
      <c r="H168" s="1" t="s">
        <v>1225</v>
      </c>
      <c r="I168" s="1" t="s">
        <v>191</v>
      </c>
      <c r="J168" s="1" t="s">
        <v>2232</v>
      </c>
      <c r="K168" s="1" t="s">
        <v>1846</v>
      </c>
      <c r="L168" s="1" t="s">
        <v>1282</v>
      </c>
      <c r="M168" s="2" t="s">
        <v>1854</v>
      </c>
      <c r="N168" s="230">
        <v>1440</v>
      </c>
      <c r="O168" s="1">
        <v>25</v>
      </c>
      <c r="P168" s="230">
        <v>36000</v>
      </c>
      <c r="Q168" s="236">
        <f t="shared" si="4"/>
        <v>25200</v>
      </c>
      <c r="R168" s="236">
        <f t="shared" si="5"/>
        <v>10800</v>
      </c>
    </row>
    <row r="169" spans="1:18" x14ac:dyDescent="0.25">
      <c r="A169" s="1" t="s">
        <v>1810</v>
      </c>
      <c r="B169" s="1" t="s">
        <v>1811</v>
      </c>
      <c r="C169" s="1" t="s">
        <v>1812</v>
      </c>
      <c r="D169" s="1" t="s">
        <v>346</v>
      </c>
      <c r="E169" s="1" t="str">
        <f>IF(D169="","",IFERROR(INDEX(NameGender!$B$2:$B$90,MATCH(LOWER(TRIM(D169)),NameGender!$A$2:$A$90,0)),"Unknown"))</f>
        <v>Male</v>
      </c>
      <c r="F169" s="1">
        <v>26</v>
      </c>
      <c r="G169" s="1" t="s">
        <v>1257</v>
      </c>
      <c r="H169" s="1" t="s">
        <v>1258</v>
      </c>
      <c r="I169" s="1" t="s">
        <v>86</v>
      </c>
      <c r="J169" s="1" t="s">
        <v>2233</v>
      </c>
      <c r="K169" s="1" t="s">
        <v>1561</v>
      </c>
      <c r="L169" s="1" t="s">
        <v>120</v>
      </c>
      <c r="M169" s="2" t="s">
        <v>1855</v>
      </c>
      <c r="N169" s="230">
        <v>1260</v>
      </c>
      <c r="O169" s="1">
        <v>51</v>
      </c>
      <c r="P169" s="230">
        <v>64260</v>
      </c>
      <c r="Q169" s="236">
        <f t="shared" si="4"/>
        <v>44982</v>
      </c>
      <c r="R169" s="236">
        <f t="shared" si="5"/>
        <v>19278</v>
      </c>
    </row>
    <row r="170" spans="1:18" x14ac:dyDescent="0.25">
      <c r="A170" s="1" t="s">
        <v>1813</v>
      </c>
      <c r="B170" s="1" t="s">
        <v>1814</v>
      </c>
      <c r="C170" s="1" t="s">
        <v>1815</v>
      </c>
      <c r="D170" s="1" t="s">
        <v>1125</v>
      </c>
      <c r="E170" s="1" t="str">
        <f>IF(D170="","",IFERROR(INDEX(NameGender!$B$2:$B$90,MATCH(LOWER(TRIM(D170)),NameGender!$A$2:$A$90,0)),"Unknown"))</f>
        <v>Female</v>
      </c>
      <c r="F170" s="1">
        <v>33</v>
      </c>
      <c r="G170" s="1" t="s">
        <v>1205</v>
      </c>
      <c r="H170" s="1" t="s">
        <v>1206</v>
      </c>
      <c r="I170" s="1" t="s">
        <v>282</v>
      </c>
      <c r="J170" s="1" t="s">
        <v>2234</v>
      </c>
      <c r="K170" s="1" t="s">
        <v>1849</v>
      </c>
      <c r="L170" s="1" t="s">
        <v>296</v>
      </c>
      <c r="M170" s="2" t="s">
        <v>1563</v>
      </c>
      <c r="N170" s="230">
        <v>810</v>
      </c>
      <c r="O170" s="1">
        <v>19</v>
      </c>
      <c r="P170" s="230">
        <v>15390</v>
      </c>
      <c r="Q170" s="236">
        <f t="shared" si="4"/>
        <v>10773</v>
      </c>
      <c r="R170" s="236">
        <f t="shared" si="5"/>
        <v>4617</v>
      </c>
    </row>
    <row r="171" spans="1:18" x14ac:dyDescent="0.25">
      <c r="A171" s="1" t="s">
        <v>1816</v>
      </c>
      <c r="B171" s="1" t="s">
        <v>1817</v>
      </c>
      <c r="C171" s="1" t="s">
        <v>1818</v>
      </c>
      <c r="D171" s="1" t="s">
        <v>178</v>
      </c>
      <c r="E171" s="1" t="str">
        <f>IF(D171="","",IFERROR(INDEX(NameGender!$B$2:$B$90,MATCH(LOWER(TRIM(D171)),NameGender!$A$2:$A$90,0)),"Unknown"))</f>
        <v>Male</v>
      </c>
      <c r="F171" s="1">
        <v>40</v>
      </c>
      <c r="G171" s="1" t="s">
        <v>1239</v>
      </c>
      <c r="H171" s="1" t="s">
        <v>2258</v>
      </c>
      <c r="I171" s="1" t="s">
        <v>112</v>
      </c>
      <c r="J171" s="1" t="s">
        <v>2235</v>
      </c>
      <c r="K171" s="1" t="s">
        <v>1562</v>
      </c>
      <c r="L171" s="1" t="s">
        <v>258</v>
      </c>
      <c r="M171" s="2" t="s">
        <v>1217</v>
      </c>
      <c r="N171" s="230">
        <v>2248</v>
      </c>
      <c r="O171" s="1">
        <v>21</v>
      </c>
      <c r="P171" s="230">
        <v>47208</v>
      </c>
      <c r="Q171" s="236">
        <f t="shared" si="4"/>
        <v>33045.599999999999</v>
      </c>
      <c r="R171" s="236">
        <f t="shared" si="5"/>
        <v>14162.400000000001</v>
      </c>
    </row>
    <row r="172" spans="1:18" x14ac:dyDescent="0.25">
      <c r="A172" s="1" t="s">
        <v>1819</v>
      </c>
      <c r="B172" s="1" t="s">
        <v>1820</v>
      </c>
      <c r="C172" s="1" t="s">
        <v>1821</v>
      </c>
      <c r="D172" s="1" t="s">
        <v>117</v>
      </c>
      <c r="E172" s="1" t="str">
        <f>IF(D172="","",IFERROR(INDEX(NameGender!$B$2:$B$90,MATCH(LOWER(TRIM(D172)),NameGender!$A$2:$A$90,0)),"Unknown"))</f>
        <v>Male</v>
      </c>
      <c r="F172" s="1">
        <v>47</v>
      </c>
      <c r="G172" s="1" t="s">
        <v>1229</v>
      </c>
      <c r="H172" s="1" t="s">
        <v>1230</v>
      </c>
      <c r="I172" s="1" t="s">
        <v>136</v>
      </c>
      <c r="J172" s="1" t="s">
        <v>2236</v>
      </c>
      <c r="K172" s="1" t="s">
        <v>1850</v>
      </c>
      <c r="L172" s="1" t="s">
        <v>354</v>
      </c>
      <c r="M172" s="2" t="s">
        <v>1564</v>
      </c>
      <c r="N172" s="230">
        <v>47250</v>
      </c>
      <c r="O172" s="1">
        <v>13</v>
      </c>
      <c r="P172" s="230">
        <v>614250</v>
      </c>
      <c r="Q172" s="236">
        <f t="shared" si="4"/>
        <v>429975</v>
      </c>
      <c r="R172" s="236">
        <f t="shared" si="5"/>
        <v>184275</v>
      </c>
    </row>
    <row r="173" spans="1:18" x14ac:dyDescent="0.25">
      <c r="A173" s="1" t="s">
        <v>1822</v>
      </c>
      <c r="B173" s="1" t="s">
        <v>1823</v>
      </c>
      <c r="C173" s="1" t="s">
        <v>1824</v>
      </c>
      <c r="D173" s="1" t="s">
        <v>1131</v>
      </c>
      <c r="E173" s="1" t="str">
        <f>IF(D173="","",IFERROR(INDEX(NameGender!$B$2:$B$90,MATCH(LOWER(TRIM(D173)),NameGender!$A$2:$A$90,0)),"Unknown"))</f>
        <v>Female</v>
      </c>
      <c r="F173" s="1">
        <v>54</v>
      </c>
      <c r="G173" s="1" t="s">
        <v>1205</v>
      </c>
      <c r="H173" s="1" t="s">
        <v>1309</v>
      </c>
      <c r="I173" s="1" t="s">
        <v>250</v>
      </c>
      <c r="J173" s="1" t="s">
        <v>2237</v>
      </c>
      <c r="K173" s="1" t="s">
        <v>1851</v>
      </c>
      <c r="L173" s="1" t="s">
        <v>107</v>
      </c>
      <c r="M173" s="2" t="s">
        <v>1856</v>
      </c>
      <c r="N173" s="230">
        <v>64800</v>
      </c>
      <c r="O173" s="1">
        <v>15</v>
      </c>
      <c r="P173" s="230">
        <v>972000</v>
      </c>
      <c r="Q173" s="236">
        <f t="shared" si="4"/>
        <v>680400</v>
      </c>
      <c r="R173" s="236">
        <f t="shared" si="5"/>
        <v>291600</v>
      </c>
    </row>
    <row r="174" spans="1:18" x14ac:dyDescent="0.25">
      <c r="A174" s="1" t="s">
        <v>1825</v>
      </c>
      <c r="B174" s="1" t="s">
        <v>1826</v>
      </c>
      <c r="C174" s="1" t="s">
        <v>1827</v>
      </c>
      <c r="D174" s="1" t="s">
        <v>202</v>
      </c>
      <c r="E174" s="1" t="str">
        <f>IF(D174="","",IFERROR(INDEX(NameGender!$B$2:$B$90,MATCH(LOWER(TRIM(D174)),NameGender!$A$2:$A$90,0)),"Unknown"))</f>
        <v>Male</v>
      </c>
      <c r="F174" s="1">
        <v>20</v>
      </c>
      <c r="G174" s="1" t="s">
        <v>1266</v>
      </c>
      <c r="H174" s="1" t="s">
        <v>1267</v>
      </c>
      <c r="I174" s="1" t="s">
        <v>118</v>
      </c>
      <c r="J174" s="1" t="s">
        <v>2238</v>
      </c>
      <c r="K174" s="1" t="s">
        <v>1852</v>
      </c>
      <c r="L174" s="1" t="s">
        <v>94</v>
      </c>
      <c r="M174" s="2" t="s">
        <v>1351</v>
      </c>
      <c r="N174" s="230">
        <v>900</v>
      </c>
      <c r="O174" s="1">
        <v>34</v>
      </c>
      <c r="P174" s="230">
        <v>30600</v>
      </c>
      <c r="Q174" s="236">
        <f t="shared" si="4"/>
        <v>21420</v>
      </c>
      <c r="R174" s="236">
        <f t="shared" si="5"/>
        <v>9180</v>
      </c>
    </row>
    <row r="175" spans="1:18" x14ac:dyDescent="0.25">
      <c r="A175" s="1" t="s">
        <v>1828</v>
      </c>
      <c r="B175" s="1" t="s">
        <v>1829</v>
      </c>
      <c r="C175" s="1" t="s">
        <v>1830</v>
      </c>
      <c r="D175" s="1" t="s">
        <v>317</v>
      </c>
      <c r="E175" s="1" t="str">
        <f>IF(D175="","",IFERROR(INDEX(NameGender!$B$2:$B$90,MATCH(LOWER(TRIM(D175)),NameGender!$A$2:$A$90,0)),"Unknown"))</f>
        <v>Male</v>
      </c>
      <c r="F175" s="1">
        <v>27</v>
      </c>
      <c r="G175" s="1" t="s">
        <v>1285</v>
      </c>
      <c r="H175" s="1" t="s">
        <v>1286</v>
      </c>
      <c r="I175" s="1" t="s">
        <v>74</v>
      </c>
      <c r="J175" s="1" t="s">
        <v>2239</v>
      </c>
      <c r="K175" s="1" t="s">
        <v>1</v>
      </c>
      <c r="L175" s="1" t="s">
        <v>1254</v>
      </c>
      <c r="M175" s="2" t="s">
        <v>1353</v>
      </c>
      <c r="N175" s="230">
        <v>650</v>
      </c>
      <c r="O175" s="1">
        <v>36</v>
      </c>
      <c r="P175" s="230">
        <v>23400</v>
      </c>
      <c r="Q175" s="236">
        <f t="shared" si="4"/>
        <v>16379.999999999998</v>
      </c>
      <c r="R175" s="236">
        <f t="shared" si="5"/>
        <v>7020.0000000000018</v>
      </c>
    </row>
    <row r="176" spans="1:18" x14ac:dyDescent="0.25">
      <c r="A176" s="1" t="s">
        <v>1831</v>
      </c>
      <c r="B176" s="1" t="s">
        <v>1832</v>
      </c>
      <c r="C176" s="1" t="s">
        <v>1833</v>
      </c>
      <c r="D176" s="1" t="s">
        <v>202</v>
      </c>
      <c r="E176" s="1" t="str">
        <f>IF(D176="","",IFERROR(INDEX(NameGender!$B$2:$B$90,MATCH(LOWER(TRIM(D176)),NameGender!$A$2:$A$90,0)),"Unknown"))</f>
        <v>Male</v>
      </c>
      <c r="F176" s="1">
        <v>34</v>
      </c>
      <c r="G176" s="1" t="s">
        <v>1210</v>
      </c>
      <c r="H176" s="1" t="s">
        <v>2259</v>
      </c>
      <c r="I176" s="1" t="s">
        <v>160</v>
      </c>
      <c r="J176" s="1" t="s">
        <v>2240</v>
      </c>
      <c r="K176" s="1" t="s">
        <v>1549</v>
      </c>
      <c r="L176" s="1" t="s">
        <v>144</v>
      </c>
      <c r="M176" s="2" t="s">
        <v>1857</v>
      </c>
      <c r="N176" s="230">
        <v>1860</v>
      </c>
      <c r="O176" s="1">
        <v>29</v>
      </c>
      <c r="P176" s="230">
        <v>53940</v>
      </c>
      <c r="Q176" s="236">
        <f t="shared" si="4"/>
        <v>37758</v>
      </c>
      <c r="R176" s="236">
        <f t="shared" si="5"/>
        <v>16182</v>
      </c>
    </row>
    <row r="177" spans="1:18" x14ac:dyDescent="0.25">
      <c r="A177" s="1" t="s">
        <v>1834</v>
      </c>
      <c r="B177" s="1" t="s">
        <v>1835</v>
      </c>
      <c r="C177" s="1" t="s">
        <v>1836</v>
      </c>
      <c r="D177" s="1" t="s">
        <v>334</v>
      </c>
      <c r="E177" s="1" t="str">
        <f>IF(D177="","",IFERROR(INDEX(NameGender!$B$2:$B$90,MATCH(LOWER(TRIM(D177)),NameGender!$A$2:$A$90,0)),"Unknown"))</f>
        <v>Male</v>
      </c>
      <c r="F177" s="1">
        <v>41</v>
      </c>
      <c r="G177" s="1" t="s">
        <v>1205</v>
      </c>
      <c r="H177" s="1" t="s">
        <v>1309</v>
      </c>
      <c r="I177" s="1" t="s">
        <v>60</v>
      </c>
      <c r="J177" s="1" t="s">
        <v>2241</v>
      </c>
      <c r="K177" s="1" t="s">
        <v>80</v>
      </c>
      <c r="L177" s="1" t="s">
        <v>79</v>
      </c>
      <c r="M177" s="2" t="s">
        <v>1274</v>
      </c>
      <c r="N177" s="230">
        <v>84990</v>
      </c>
      <c r="O177" s="1">
        <v>6</v>
      </c>
      <c r="P177" s="230">
        <v>509940</v>
      </c>
      <c r="Q177" s="236">
        <f t="shared" si="4"/>
        <v>356958</v>
      </c>
      <c r="R177" s="236">
        <f t="shared" si="5"/>
        <v>152982</v>
      </c>
    </row>
    <row r="178" spans="1:18" x14ac:dyDescent="0.25">
      <c r="A178" s="1" t="s">
        <v>1837</v>
      </c>
      <c r="B178" s="1" t="s">
        <v>1838</v>
      </c>
      <c r="C178" s="1" t="s">
        <v>1839</v>
      </c>
      <c r="D178" s="1" t="s">
        <v>243</v>
      </c>
      <c r="E178" s="1" t="str">
        <f>IF(D178="","",IFERROR(INDEX(NameGender!$B$2:$B$90,MATCH(LOWER(TRIM(D178)),NameGender!$A$2:$A$90,0)),"Unknown"))</f>
        <v>Male</v>
      </c>
      <c r="F178" s="1">
        <v>48</v>
      </c>
      <c r="G178" s="1" t="s">
        <v>1205</v>
      </c>
      <c r="H178" s="1" t="s">
        <v>1309</v>
      </c>
      <c r="I178" s="1" t="s">
        <v>263</v>
      </c>
      <c r="J178" s="1" t="s">
        <v>2242</v>
      </c>
      <c r="K178" s="1" t="s">
        <v>1376</v>
      </c>
      <c r="L178" s="1" t="s">
        <v>62</v>
      </c>
      <c r="M178" s="2" t="s">
        <v>1373</v>
      </c>
      <c r="N178" s="230">
        <v>5890</v>
      </c>
      <c r="O178" s="1">
        <v>32</v>
      </c>
      <c r="P178" s="230">
        <v>188480</v>
      </c>
      <c r="Q178" s="236">
        <f t="shared" si="4"/>
        <v>131936</v>
      </c>
      <c r="R178" s="236">
        <f t="shared" si="5"/>
        <v>56544</v>
      </c>
    </row>
    <row r="179" spans="1:18" x14ac:dyDescent="0.25">
      <c r="A179" s="1" t="s">
        <v>1840</v>
      </c>
      <c r="B179" s="1" t="s">
        <v>1841</v>
      </c>
      <c r="C179" s="1" t="s">
        <v>1842</v>
      </c>
      <c r="D179" s="1" t="s">
        <v>190</v>
      </c>
      <c r="E179" s="1" t="str">
        <f>IF(D179="","",IFERROR(INDEX(NameGender!$B$2:$B$90,MATCH(LOWER(TRIM(D179)),NameGender!$A$2:$A$90,0)),"Unknown"))</f>
        <v>Male</v>
      </c>
      <c r="F179" s="1">
        <v>55</v>
      </c>
      <c r="G179" s="1" t="s">
        <v>1239</v>
      </c>
      <c r="H179" s="1" t="s">
        <v>2258</v>
      </c>
      <c r="I179" s="1" t="s">
        <v>67</v>
      </c>
      <c r="J179" s="1" t="s">
        <v>2243</v>
      </c>
      <c r="K179" s="1" t="s">
        <v>68</v>
      </c>
      <c r="L179" s="1" t="s">
        <v>1207</v>
      </c>
      <c r="M179" s="2" t="s">
        <v>1350</v>
      </c>
      <c r="N179" s="230">
        <v>4990</v>
      </c>
      <c r="O179" s="1">
        <v>28</v>
      </c>
      <c r="P179" s="230">
        <v>139720</v>
      </c>
      <c r="Q179" s="236">
        <f t="shared" si="4"/>
        <v>97804</v>
      </c>
      <c r="R179" s="236">
        <f t="shared" si="5"/>
        <v>41916</v>
      </c>
    </row>
    <row r="180" spans="1:18" x14ac:dyDescent="0.25">
      <c r="A180" s="1" t="s">
        <v>1843</v>
      </c>
      <c r="B180" s="1" t="s">
        <v>1844</v>
      </c>
      <c r="C180" s="1" t="s">
        <v>1845</v>
      </c>
      <c r="D180" s="1" t="s">
        <v>2527</v>
      </c>
      <c r="E180" s="1" t="str">
        <f>IF(D180="","",IFERROR(INDEX(NameGender!$B$2:$B$90,MATCH(LOWER(TRIM(D180)),NameGender!$A$2:$A$90,0)),"Unknown"))</f>
        <v>Female</v>
      </c>
      <c r="F180" s="1">
        <v>21</v>
      </c>
      <c r="G180" s="1" t="s">
        <v>1261</v>
      </c>
      <c r="H180" s="1" t="s">
        <v>2253</v>
      </c>
      <c r="I180" s="1" t="s">
        <v>191</v>
      </c>
      <c r="J180" s="1" t="s">
        <v>2244</v>
      </c>
      <c r="K180" s="1" t="s">
        <v>1846</v>
      </c>
      <c r="L180" s="1" t="s">
        <v>75</v>
      </c>
      <c r="M180" s="2" t="s">
        <v>1858</v>
      </c>
      <c r="N180" s="230">
        <v>1440</v>
      </c>
      <c r="O180" s="1">
        <v>26</v>
      </c>
      <c r="P180" s="230">
        <v>37440</v>
      </c>
      <c r="Q180" s="236">
        <f t="shared" si="4"/>
        <v>26208</v>
      </c>
      <c r="R180" s="236">
        <f t="shared" si="5"/>
        <v>11232</v>
      </c>
    </row>
  </sheetData>
  <hyperlinks>
    <hyperlink ref="M2" r:id="rId1" xr:uid="{903AFE96-E947-4B8C-9D63-8161A7F2A118}"/>
    <hyperlink ref="M3" r:id="rId2" display="sahil01@gmail.com" xr:uid="{2A6EB22C-4A4E-4148-BB9C-9C50D15B7935}"/>
    <hyperlink ref="M4" r:id="rId3" xr:uid="{E7E9EC9F-EE31-44ED-BC1D-619CC53134FD}"/>
    <hyperlink ref="M5" r:id="rId4" display="chirag01@gmail.com " xr:uid="{8936D783-5315-43D8-8B7D-7E4563B7C7E5}"/>
    <hyperlink ref="M6" r:id="rId5" xr:uid="{E92EAD73-D111-49C6-8F5F-1B758487A9FA}"/>
    <hyperlink ref="M7" r:id="rId6" xr:uid="{1DC4F93D-FFC3-49C1-9197-AD6C95515118}"/>
    <hyperlink ref="M8" r:id="rId7" display="aditya01@gmail.com " xr:uid="{DEB46EC2-15E3-414C-9D9A-8FD503C52886}"/>
    <hyperlink ref="M12" r:id="rId8" display="hemantmahawar67@gmail.com" xr:uid="{3FE8FBAE-474E-4D67-8E47-2529923FD991}"/>
    <hyperlink ref="M13" r:id="rId9" xr:uid="{55D24F77-2853-46EB-A121-7F232F171012}"/>
    <hyperlink ref="M9" r:id="rId10" xr:uid="{AAF6EE99-D559-432C-B26C-50DAA2DFDFD1}"/>
    <hyperlink ref="M10" r:id="rId11" display="krishna01@gmail.com " xr:uid="{4BE81351-E23E-445E-8231-FA28B59920D2}"/>
    <hyperlink ref="M11" r:id="rId12" xr:uid="{E25F5D12-9CE8-44B3-858E-A5F7040611F3}"/>
    <hyperlink ref="M14" r:id="rId13" xr:uid="{2C9818FF-F9DF-4D46-9278-9D426BC2DFBB}"/>
    <hyperlink ref="M15" r:id="rId14" display="varun01@gmail.com " xr:uid="{1957DE42-57B4-44FE-95DB-A7C58BDED211}"/>
    <hyperlink ref="M16" r:id="rId15" xr:uid="{141D2101-7758-491F-9E55-CE6A41204902}"/>
    <hyperlink ref="M17" r:id="rId16" xr:uid="{BE3F5A13-98AE-4A5B-A093-B42E60B36BE7}"/>
    <hyperlink ref="M18" r:id="rId17" display="akash01@gmail.com " xr:uid="{3504F6D9-E88D-4ED3-987C-5F3DD57363D5}"/>
    <hyperlink ref="M19" r:id="rId18" xr:uid="{0591653F-9472-42A8-89E4-777009EBC8CB}"/>
    <hyperlink ref="M20" r:id="rId19" xr:uid="{6D121514-AF65-46EC-A8D8-9D43CA63730F}"/>
    <hyperlink ref="M21" r:id="rId20" display="suresh01@gmail.com " xr:uid="{DEF21C67-03DC-4B4B-B6D6-30D1130FCBF3}"/>
    <hyperlink ref="M22" r:id="rId21" xr:uid="{BDFB503E-9351-45A1-840C-23002B2758A4}"/>
    <hyperlink ref="M23" r:id="rId22" xr:uid="{3C53150A-EE12-4276-B7D5-A99EDEA35840}"/>
    <hyperlink ref="M24" r:id="rId23" display="mukesh01@gmail.com " xr:uid="{F1B347C3-5798-4797-A630-3274B550991B}"/>
    <hyperlink ref="M25" r:id="rId24" xr:uid="{2A751F4D-B6B1-430A-BA68-1DF33BBD2FE5}"/>
    <hyperlink ref="M26" r:id="rId25" xr:uid="{AA950D44-EEB5-403A-8091-8632802573A7}"/>
    <hyperlink ref="M27" r:id="rId26" display="ravi01@gmail.com " xr:uid="{ACB1B289-20F2-45AD-9378-2EF9D9A069F9}"/>
    <hyperlink ref="M28" r:id="rId27" xr:uid="{C10B1A74-70F0-4656-A3B3-8A6632D36745}"/>
    <hyperlink ref="M29" r:id="rId28" xr:uid="{A1F8B295-58C6-4EB6-A63D-726448EFAFBB}"/>
    <hyperlink ref="M30" r:id="rId29" display="sanjay01@gmail.com " xr:uid="{1DAFB006-213E-4CCE-BFFE-EFD1750A8634}"/>
    <hyperlink ref="M31" r:id="rId30" xr:uid="{BFF3E2F6-261F-4D1D-A1E2-BDE6EE9AA47F}"/>
    <hyperlink ref="M32" r:id="rId31" xr:uid="{2B63576A-666F-409F-9557-488449B95713}"/>
    <hyperlink ref="M33" r:id="rId32" display="pradeep01@gmail.com " xr:uid="{2BE3BAD3-CB55-43DB-B758-110527A23FE8}"/>
    <hyperlink ref="M34" r:id="rId33" xr:uid="{B54D1046-33E5-4AF6-A7D3-9E8AC40AD698}"/>
    <hyperlink ref="M35" r:id="rId34" xr:uid="{D58AD0B6-A1D5-48C2-A062-CBFD17702933}"/>
    <hyperlink ref="M36" r:id="rId35" display="anil01@gmail.com " xr:uid="{65C55299-C5B9-41B7-923F-20A069F7F346}"/>
    <hyperlink ref="M37" r:id="rId36" xr:uid="{EB40B9F2-6BA6-41A1-AEB3-BBF5163706D1}"/>
    <hyperlink ref="M38" r:id="rId37" xr:uid="{6F8EB0D3-D035-4005-928B-B5FDC9FB616A}"/>
    <hyperlink ref="M39" r:id="rId38" display="abhishek01@gmail.com " xr:uid="{ACE54AB1-8264-4389-9B38-DD9874AA00A4}"/>
    <hyperlink ref="M40" r:id="rId39" xr:uid="{70B917F3-21E8-4565-BCA4-D55B7B02C7B3}"/>
    <hyperlink ref="M41" r:id="rId40" display="naveen01@gmail.com " xr:uid="{E0E30F97-7181-4E03-8619-1C41D861D4E0}"/>
    <hyperlink ref="M42" r:id="rId41" xr:uid="{15319DDB-3B3C-419B-BAF0-ACE825168CBF}"/>
    <hyperlink ref="M43" r:id="rId42" display="tarun01@gmail.com " xr:uid="{30FBDDC8-FB00-4A82-9220-8FC8AC4D9F11}"/>
    <hyperlink ref="M44" r:id="rId43" xr:uid="{B7441D0E-637E-49BF-ACEB-6AC6EB399C2E}"/>
    <hyperlink ref="M45" r:id="rId44" display="shubham01@gmail.com " xr:uid="{E233D1EA-B9C9-43D9-8CC2-5DA5F78F1296}"/>
    <hyperlink ref="M46" r:id="rId45" xr:uid="{8DA6CF43-FDAA-44A2-B60D-DCCA392B9E3C}"/>
    <hyperlink ref="M47" r:id="rId46" display="nikhil01@gmail.com " xr:uid="{532D631F-7FDC-47BB-8BCA-8191A23CE017}"/>
    <hyperlink ref="M48" r:id="rId47" xr:uid="{71AC3236-47F6-40A4-B4B4-B0F0EF9ABD8E}"/>
    <hyperlink ref="M49" r:id="rId48" display="mohit01@gmail.com " xr:uid="{0ED6EDBB-F05D-4DB1-9D37-4BF4C398F5EB}"/>
    <hyperlink ref="M50" r:id="rId49" xr:uid="{9C92C242-7257-474F-9268-89B65A6CEDDF}"/>
    <hyperlink ref="M51" r:id="rId50" display="dinesh01@gmail.com " xr:uid="{401449E9-C3C3-4FCF-92F1-BFFC64B336C3}"/>
    <hyperlink ref="M52" r:id="rId51" display="dinesh01@gmail.com " xr:uid="{036A4F90-812F-46C7-81A0-B5A8B4740D83}"/>
    <hyperlink ref="M53" r:id="rId52" display="dinesh01@gmail.com " xr:uid="{05A0C749-B663-439F-BC54-89249446E19E}"/>
    <hyperlink ref="M54" r:id="rId53" display="dinesh01@gmail.com " xr:uid="{50F92694-CF67-4C39-9DB9-5353EC2DCC96}"/>
    <hyperlink ref="M55" r:id="rId54" display="dinesh01@gmail.com " xr:uid="{0FE89434-EB92-45B4-9BA0-8C9FD01EE92D}"/>
    <hyperlink ref="M56" r:id="rId55" display="dinesh01@gmail.com " xr:uid="{0618AC6C-5412-420D-86BA-EAC0E3F8D506}"/>
    <hyperlink ref="M57" r:id="rId56" display="dinesh01@gmail.com " xr:uid="{E71AED41-DFDA-40FB-9EF1-54B6EAB2342D}"/>
    <hyperlink ref="M58" r:id="rId57" display="dinesh01@gmail.com " xr:uid="{B8481D83-1462-4CD9-96D5-5B590A0E0FD5}"/>
    <hyperlink ref="M59" r:id="rId58" display="dinesh01@gmail.com " xr:uid="{93DF623C-DE08-4956-AE72-E66675509299}"/>
    <hyperlink ref="M60" r:id="rId59" display="dinesh01@gmail.com " xr:uid="{07472558-8F28-4662-BE89-7A4E37CCF6F0}"/>
    <hyperlink ref="M61" r:id="rId60" display="dinesh01@gmail.com " xr:uid="{D6446186-29E0-4907-82BE-0D9F1541FCEA}"/>
    <hyperlink ref="M62" r:id="rId61" display="dinesh01@gmail.com " xr:uid="{C7EE93AB-6751-4FDA-931B-B04CA43BA8B0}"/>
    <hyperlink ref="M63" r:id="rId62" display="dinesh01@gmail.com " xr:uid="{B924C5A8-DADD-4A05-90D8-84FA46B35CAA}"/>
    <hyperlink ref="M64" r:id="rId63" display="dinesh01@gmail.com " xr:uid="{CA8CAEB9-17BB-46BD-8945-8D9213F952EC}"/>
    <hyperlink ref="M65" r:id="rId64" display="dinesh01@gmail.com " xr:uid="{1E50B09C-60FA-4BC8-A1C0-AD757C911FDF}"/>
    <hyperlink ref="M66" r:id="rId65" display="dinesh01@gmail.com " xr:uid="{2427591A-C8D0-4D3C-B25F-42D1F27C45A3}"/>
    <hyperlink ref="M67" r:id="rId66" display="dinesh01@gmail.com " xr:uid="{B3837597-0C11-44F3-ACB2-902ADFBF22D0}"/>
    <hyperlink ref="M68" r:id="rId67" display="dinesh01@gmail.com " xr:uid="{DBBB883F-D598-4CA7-8492-CFFB8936727E}"/>
    <hyperlink ref="M69" r:id="rId68" display="dinesh01@gmail.com " xr:uid="{DFD807CE-DA24-4D36-AFBD-B7663A099C72}"/>
    <hyperlink ref="M70" r:id="rId69" display="dinesh01@gmail.com " xr:uid="{58FEBF54-B2F4-4687-994C-1981E3B3540E}"/>
    <hyperlink ref="M71" r:id="rId70" display="dinesh01@gmail.com " xr:uid="{0E5E61E1-BA01-4DDE-BDBE-3BF69A763F63}"/>
    <hyperlink ref="M72" r:id="rId71" display="dinesh01@gmail.com " xr:uid="{EA42C8D4-90F2-4488-91BD-3BC9122B3A8A}"/>
    <hyperlink ref="M73" r:id="rId72" display="dinesh01@gmail.com " xr:uid="{1739BB27-BCF1-4E87-BFCD-9755F2207941}"/>
    <hyperlink ref="M74" r:id="rId73" display="dinesh01@gmail.com " xr:uid="{F1BAB201-4D33-45F5-B126-4ED9E2185214}"/>
    <hyperlink ref="M75" r:id="rId74" display="dinesh01@gmail.com " xr:uid="{368B13A5-BF8F-46E8-83C2-0CD3B2326D7E}"/>
    <hyperlink ref="M76" r:id="rId75" display="dinesh01@gmail.com " xr:uid="{08DC4A12-54B2-4F7A-B658-36B73E8F3335}"/>
    <hyperlink ref="M77" r:id="rId76" display="dinesh01@gmail.com " xr:uid="{FFF6335D-FAF1-4C1B-A158-91F3313CF466}"/>
    <hyperlink ref="M78" r:id="rId77" display="dinesh01@gmail.com " xr:uid="{5F7DBE3C-4809-4415-966F-AF88D1A3D4D7}"/>
    <hyperlink ref="M79" r:id="rId78" display="dinesh01@gmail.com " xr:uid="{EA2DFD93-2C45-4CF6-83CE-AC649F4DA285}"/>
    <hyperlink ref="M80" r:id="rId79" display="dinesh01@gmail.com " xr:uid="{1031C355-CA68-4EAE-B00A-1261D16D09BA}"/>
    <hyperlink ref="M81" r:id="rId80" display="dinesh01@gmail.com " xr:uid="{94C86EE0-E714-4426-85EA-48BA44D175F0}"/>
    <hyperlink ref="M82" r:id="rId81" display="dinesh01@gmail.com " xr:uid="{DF31EB5C-2375-4A4C-976E-2E623BC3316B}"/>
    <hyperlink ref="M83" r:id="rId82" display="dinesh01@gmail.com " xr:uid="{770B10CE-1DBF-4B01-8DCC-CB6C78582598}"/>
    <hyperlink ref="M84" r:id="rId83" display="dinesh01@gmail.com " xr:uid="{071A2E8D-4024-4DA9-8AEE-9AD3D3F974BB}"/>
    <hyperlink ref="M85" r:id="rId84" display="dinesh01@gmail.com " xr:uid="{41B683AA-7FE8-4879-B750-A5AFBEBDA6E5}"/>
    <hyperlink ref="M86" r:id="rId85" display="dinesh01@gmail.com " xr:uid="{CA652B94-AA70-4F9C-B40E-A89D487CF429}"/>
    <hyperlink ref="M87" r:id="rId86" display="dinesh01@gmail.com " xr:uid="{3C2634C3-5199-453B-9F97-38F00B68B32D}"/>
    <hyperlink ref="M88" r:id="rId87" display="dinesh01@gmail.com " xr:uid="{106143D9-0CFC-43E9-92B5-72F6AE5FAB6E}"/>
    <hyperlink ref="M89" r:id="rId88" display="dinesh01@gmail.com " xr:uid="{5E9936FC-6767-4356-AB3A-67841AE219D1}"/>
    <hyperlink ref="M90" r:id="rId89" display="dinesh01@gmail.com " xr:uid="{1319B2C5-5D35-4EED-9914-8D391B1FE78E}"/>
    <hyperlink ref="M91" r:id="rId90" display="dinesh01@gmail.com " xr:uid="{6D32A77E-50C3-4B5E-A58A-34E688C75A41}"/>
    <hyperlink ref="M92" r:id="rId91" display="dinesh01@gmail.com " xr:uid="{D92FFFB6-A1F8-41F8-A749-E929C7DFF15D}"/>
    <hyperlink ref="M93" r:id="rId92" display="dinesh01@gmail.com " xr:uid="{5B4F4D3C-AC84-4C1C-A263-3F5EC518ED48}"/>
    <hyperlink ref="M94" r:id="rId93" display="dinesh01@gmail.com " xr:uid="{C2D5403C-5CD1-4DB4-99D4-01DECA18C258}"/>
    <hyperlink ref="M95" r:id="rId94" display="dinesh01@gmail.com " xr:uid="{8387023D-897B-4B34-B747-758F1F1F2653}"/>
    <hyperlink ref="M96" r:id="rId95" display="dinesh01@gmail.com " xr:uid="{9F98960C-8A50-4B46-AA87-F5EDA6182A0C}"/>
    <hyperlink ref="M97" r:id="rId96" display="dinesh01@gmail.com " xr:uid="{3A8889E8-EAFD-4C74-960F-D30600A4DA5A}"/>
    <hyperlink ref="M98" r:id="rId97" display="dinesh01@gmail.com " xr:uid="{AB0666A9-9ACD-4EF6-8DD9-34CBDD31C07E}"/>
    <hyperlink ref="M99" r:id="rId98" display="dinesh01@gmail.com " xr:uid="{00BDF89C-1073-425D-8795-B64376E8DFBA}"/>
    <hyperlink ref="M100" r:id="rId99" display="dinesh01@gmail.com " xr:uid="{0E1F837C-490E-44DA-8E8E-043E1416AFC2}"/>
    <hyperlink ref="M101" r:id="rId100" display="dinesh01@gmail.com " xr:uid="{0B90DE53-3DDF-42A0-91C8-EC5B5A57FFAE}"/>
    <hyperlink ref="M102" r:id="rId101" display="dinesh01@gmail.com " xr:uid="{A600D551-E691-4796-B0C1-C65F2A0FADC3}"/>
    <hyperlink ref="M103" r:id="rId102" display="dinesh01@gmail.com " xr:uid="{4D7D1586-F804-4C95-8A4A-95A3ADCB2B32}"/>
    <hyperlink ref="M104" r:id="rId103" display="dinesh01@gmail.com " xr:uid="{AD974AB3-1769-4383-BFAE-462ABC52BD74}"/>
    <hyperlink ref="M105" r:id="rId104" display="dinesh01@gmail.com " xr:uid="{2DAD95D2-9ECC-4206-B0CB-874DD6DABCAB}"/>
    <hyperlink ref="M106" r:id="rId105" display="dinesh01@gmail.com " xr:uid="{C14BB744-7AC1-4C63-836A-A900B1A63BAD}"/>
    <hyperlink ref="M107" r:id="rId106" display="dinesh01@gmail.com " xr:uid="{034FB45C-B43B-4A67-A11F-02C85128E314}"/>
    <hyperlink ref="M108" r:id="rId107" display="dinesh01@gmail.com " xr:uid="{4995EC1D-8312-4E01-8D3E-F57C71CB2467}"/>
    <hyperlink ref="M109" r:id="rId108" display="dinesh01@gmail.com " xr:uid="{6C5D1B82-A1B4-4DC8-AAE5-87AD932B507E}"/>
    <hyperlink ref="M110" r:id="rId109" display="dinesh01@gmail.com " xr:uid="{98D06DB3-5DC4-4CFE-AA9D-53E0339B9A53}"/>
    <hyperlink ref="M111" r:id="rId110" display="dinesh01@gmail.com " xr:uid="{92ADFBF2-C2E4-4555-91AD-1B941E138B33}"/>
    <hyperlink ref="M112" r:id="rId111" display="dinesh01@gmail.com " xr:uid="{F1841336-077D-47D7-9D87-AF445AB65EC7}"/>
    <hyperlink ref="M113" r:id="rId112" display="dinesh01@gmail.com " xr:uid="{AF18E3B1-8E14-4B00-948E-9D5888F13452}"/>
    <hyperlink ref="M114" r:id="rId113" display="dinesh01@gmail.com " xr:uid="{32444426-91B1-4E0D-A452-4A1CBC5768BF}"/>
    <hyperlink ref="M115" r:id="rId114" display="dinesh01@gmail.com " xr:uid="{530C6D0A-DF03-4A2F-9C4A-4BC0ACDF7514}"/>
    <hyperlink ref="M116" r:id="rId115" display="dinesh01@gmail.com " xr:uid="{2EEA98EE-ED7C-4A92-8822-174BB88DC160}"/>
    <hyperlink ref="M117" r:id="rId116" display="dinesh01@gmail.com " xr:uid="{4FB8679C-E48B-4FCD-AFE0-0B6F0BE3A421}"/>
    <hyperlink ref="M118" r:id="rId117" display="dinesh01@gmail.com " xr:uid="{284D8A40-0128-467C-852B-9A18629A250E}"/>
    <hyperlink ref="M119" r:id="rId118" display="dinesh01@gmail.com " xr:uid="{0BA5F886-BFC6-42C1-BDF6-FD970A636903}"/>
    <hyperlink ref="M120" r:id="rId119" display="dinesh01@gmail.com " xr:uid="{598D1560-14AF-493C-9A92-9D8F7454C05C}"/>
    <hyperlink ref="M121" r:id="rId120" display="dinesh01@gmail.com " xr:uid="{0667AD39-425A-4B43-8A2F-8B7A38F52964}"/>
    <hyperlink ref="M122" r:id="rId121" display="dinesh01@gmail.com " xr:uid="{900ED748-3F21-4DC7-9BAA-A4837F9C46F1}"/>
    <hyperlink ref="M123" r:id="rId122" display="dinesh01@gmail.com " xr:uid="{8DC6D346-4F0E-4D22-8403-2675CE72CB55}"/>
    <hyperlink ref="M124" r:id="rId123" display="dinesh01@gmail.com " xr:uid="{34B4E725-F78F-4FAD-8E4D-F7C092900F93}"/>
    <hyperlink ref="M125" r:id="rId124" display="dinesh01@gmail.com " xr:uid="{01C36D17-66C5-4C23-B180-8DA1A3D1D6B9}"/>
    <hyperlink ref="M126" r:id="rId125" display="dinesh01@gmail.com " xr:uid="{681B4FF9-B08E-4F9A-A8E2-D84F055F3C3F}"/>
    <hyperlink ref="M127" r:id="rId126" display="dinesh01@gmail.com " xr:uid="{D4CF2765-DE76-41B2-A96E-064FB20AE2AE}"/>
    <hyperlink ref="M128" r:id="rId127" display="dinesh01@gmail.com " xr:uid="{54A11EE5-5DC6-4D80-83A8-4DDFE8B77029}"/>
    <hyperlink ref="M129" r:id="rId128" display="dinesh01@gmail.com " xr:uid="{00B6E312-E7CB-4BAD-96D6-18B826AA8AA6}"/>
    <hyperlink ref="M130" r:id="rId129" display="dinesh01@gmail.com " xr:uid="{68996BD8-6032-44E1-8F62-FC4C5F6C6440}"/>
    <hyperlink ref="M131" r:id="rId130" display="dinesh01@gmail.com " xr:uid="{59EC00ED-6B4E-4B1A-AE9D-3DE529F73946}"/>
    <hyperlink ref="M132" r:id="rId131" display="dinesh01@gmail.com " xr:uid="{E80E6779-3F67-44B3-853B-422F335A64C3}"/>
    <hyperlink ref="M133" r:id="rId132" display="dinesh01@gmail.com " xr:uid="{82016130-6E71-4AE8-962C-B5A8E75DC59E}"/>
    <hyperlink ref="M134" r:id="rId133" display="dinesh01@gmail.com " xr:uid="{1E6B7E55-7DCC-40B8-A401-5B7B0D27FE50}"/>
    <hyperlink ref="M135" r:id="rId134" display="dinesh01@gmail.com " xr:uid="{B135CFBB-3509-4C68-AB47-38042E1E1FD8}"/>
    <hyperlink ref="M136" r:id="rId135" display="dinesh01@gmail.com " xr:uid="{7972454B-6295-450A-B75A-14DFC0688083}"/>
    <hyperlink ref="M137" r:id="rId136" display="dinesh01@gmail.com " xr:uid="{D46CF129-C97F-4B45-A943-38EBD5B4DC3C}"/>
    <hyperlink ref="M138" r:id="rId137" display="dinesh01@gmail.com " xr:uid="{D69210A8-017D-4364-BC03-382C22DEAD4D}"/>
    <hyperlink ref="M139" r:id="rId138" display="dinesh01@gmail.com " xr:uid="{0209C8B3-16BF-4F9F-8E35-EA75B113C546}"/>
    <hyperlink ref="M140" r:id="rId139" display="dinesh01@gmail.com " xr:uid="{76FBFCB8-5E53-4993-AED7-7CFB107C8714}"/>
    <hyperlink ref="M141" r:id="rId140" display="dinesh01@gmail.com " xr:uid="{36925D0E-FB71-4A84-8B75-5CA637C3D737}"/>
    <hyperlink ref="M142" r:id="rId141" display="dinesh01@gmail.com " xr:uid="{D11E527F-14F8-4B4C-BD3E-253AEBAA3CB5}"/>
    <hyperlink ref="M143" r:id="rId142" display="dinesh01@gmail.com " xr:uid="{DBACCA63-AFD7-4AAD-9C49-38A6E840D15C}"/>
    <hyperlink ref="M144" r:id="rId143" display="dinesh01@gmail.com " xr:uid="{B719F99B-965F-412D-A75B-3A2D5474E06D}"/>
    <hyperlink ref="M145" r:id="rId144" display="dinesh01@gmail.com " xr:uid="{D4B49B05-DBFE-4D30-AC8A-21F101AE8A6C}"/>
    <hyperlink ref="M146" r:id="rId145" display="dinesh01@gmail.com " xr:uid="{000BEABB-1BB8-454F-A5F4-47F23ED2863B}"/>
    <hyperlink ref="M147" r:id="rId146" display="dinesh01@gmail.com " xr:uid="{C15FD4AC-A168-4E4B-A8FC-C9021D9976E5}"/>
    <hyperlink ref="M148" r:id="rId147" display="dinesh01@gmail.com " xr:uid="{C79A9AF4-98AC-4ABA-81D6-FCA3F9092B37}"/>
    <hyperlink ref="M149" r:id="rId148" display="dinesh01@gmail.com " xr:uid="{1173724C-EC23-4F00-90C0-E09063D58903}"/>
    <hyperlink ref="M150" r:id="rId149" display="dinesh01@gmail.com " xr:uid="{E45E0788-B582-4BFC-A19D-7D219BCA9CC1}"/>
    <hyperlink ref="M151" r:id="rId150" display="dinesh01@gmail.com " xr:uid="{B69C5479-B44E-4B15-843A-8E8B0554F5EA}"/>
    <hyperlink ref="M152" r:id="rId151" display="dinesh01@gmail.com " xr:uid="{08120EE6-3FB2-421D-8CB5-E0553EACD24B}"/>
    <hyperlink ref="M153" r:id="rId152" display="dinesh01@gmail.com " xr:uid="{1D7DC776-2647-44D5-A66A-BA37BE0EB427}"/>
    <hyperlink ref="M154" r:id="rId153" display="dinesh01@gmail.com " xr:uid="{A00F6454-300F-4A2A-A4DC-85D2D3E4B668}"/>
    <hyperlink ref="M155" r:id="rId154" display="dinesh01@gmail.com " xr:uid="{9CF0D9F6-D37C-4EF8-9EF5-34FE82F192F3}"/>
    <hyperlink ref="M156" r:id="rId155" display="dinesh01@gmail.com " xr:uid="{485B86A8-FC40-4FBF-80A5-764199CB272D}"/>
    <hyperlink ref="M157" r:id="rId156" display="dinesh01@gmail.com " xr:uid="{4972F042-C34A-4E59-9A6F-2C58408507DD}"/>
    <hyperlink ref="M158" r:id="rId157" display="dinesh01@gmail.com " xr:uid="{F84554DF-1C53-4151-9D9C-640B54AA37E9}"/>
    <hyperlink ref="M159" r:id="rId158" display="dinesh01@gmail.com " xr:uid="{DAB92A4B-EF42-403A-90D1-CCA46FA77D4E}"/>
    <hyperlink ref="M160" r:id="rId159" display="dinesh01@gmail.com " xr:uid="{2A3D92AA-FADE-4282-AEEA-DF63071A2747}"/>
    <hyperlink ref="M161" r:id="rId160" display="dinesh01@gmail.com " xr:uid="{0F85A637-FD38-4CBB-AD5E-9FCE12AAE77E}"/>
    <hyperlink ref="M162" r:id="rId161" display="dinesh01@gmail.com " xr:uid="{E37B5711-E887-4D4E-930E-6882B5F7CBBB}"/>
    <hyperlink ref="M163" r:id="rId162" display="dinesh01@gmail.com " xr:uid="{F9B5BE65-2CD6-4D82-BE8B-3D5F2CF07223}"/>
    <hyperlink ref="M164" r:id="rId163" display="dinesh01@gmail.com " xr:uid="{B4FFE77F-78DE-4E3A-9EBC-9DB31D26535D}"/>
    <hyperlink ref="M165" r:id="rId164" display="dinesh01@gmail.com " xr:uid="{BE6DAC7D-C210-45BA-8803-24CEF596DFE1}"/>
    <hyperlink ref="M166" r:id="rId165" display="dinesh01@gmail.com " xr:uid="{585CA8C4-3F89-4A64-A657-CC5C635965C6}"/>
    <hyperlink ref="M167" r:id="rId166" display="dinesh01@gmail.com " xr:uid="{EFD462A5-76C6-4B7E-B4D6-5673F8FB4B55}"/>
    <hyperlink ref="M168" r:id="rId167" display="dinesh01@gmail.com " xr:uid="{32959B07-5593-499F-959A-88358FEBE9AD}"/>
    <hyperlink ref="M169" r:id="rId168" display="dinesh01@gmail.com " xr:uid="{DF856A89-BEE2-4F99-8801-62912E76DEAD}"/>
    <hyperlink ref="M170" r:id="rId169" display="dinesh01@gmail.com " xr:uid="{6492D011-D523-4AD8-8B13-381061990BB1}"/>
    <hyperlink ref="M171" r:id="rId170" display="dinesh01@gmail.com " xr:uid="{2129544A-955E-4B0C-9D46-0127D48877B4}"/>
    <hyperlink ref="M172" r:id="rId171" display="dinesh01@gmail.com " xr:uid="{C636A50E-CB58-4566-BB26-3B1E5F207099}"/>
    <hyperlink ref="M173" r:id="rId172" display="dinesh01@gmail.com " xr:uid="{E9F85CD5-41B4-49ED-8F36-F77DDF328478}"/>
    <hyperlink ref="M174" r:id="rId173" display="dinesh01@gmail.com " xr:uid="{FF42DAB1-CA2A-4375-AE9C-7D72EC339AFD}"/>
    <hyperlink ref="M175" r:id="rId174" display="dinesh01@gmail.com " xr:uid="{9C0F2102-AE44-4772-95A8-6F1681D14286}"/>
    <hyperlink ref="M176" r:id="rId175" display="dinesh01@gmail.com " xr:uid="{AB965857-3329-4B50-AE1D-54BCB66B3715}"/>
    <hyperlink ref="M177" r:id="rId176" display="dinesh01@gmail.com " xr:uid="{BC823DB4-9EBB-4CFE-89FC-64CC8668BDF2}"/>
    <hyperlink ref="M178" r:id="rId177" display="dinesh01@gmail.com " xr:uid="{0313A590-0388-4A16-8B58-D67FFAD5196F}"/>
    <hyperlink ref="M179" r:id="rId178" display="dinesh01@gmail.com " xr:uid="{C378483A-BDE7-4873-B4CF-6D61D01B6E08}"/>
    <hyperlink ref="M180" r:id="rId179" display="dinesh01@gmail.com " xr:uid="{6F9B05D9-7904-4C68-A09C-FFACCB1014E3}"/>
  </hyperlinks>
  <pageMargins left="0.7" right="0.7" top="0.75" bottom="0.75" header="0.3" footer="0.3"/>
  <legacyDrawing r:id="rId18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44533-2E17-4444-AB34-CFE98962131B}">
  <sheetPr codeName="Sheet24">
    <tabColor rgb="FF1F4E78"/>
  </sheetPr>
  <dimension ref="A1:Z180"/>
  <sheetViews>
    <sheetView showGridLines="0" topLeftCell="A2" workbookViewId="0">
      <selection activeCell="M15" sqref="M15"/>
    </sheetView>
  </sheetViews>
  <sheetFormatPr defaultRowHeight="15" x14ac:dyDescent="0.25"/>
  <cols>
    <col min="1" max="1" width="18.140625" customWidth="1"/>
    <col min="2" max="2" width="13.28515625" customWidth="1"/>
    <col min="3" max="3" width="18.140625" customWidth="1"/>
    <col min="4" max="4" width="13.28515625" customWidth="1"/>
    <col min="5" max="5" width="18.140625" customWidth="1"/>
    <col min="6" max="6" width="13.28515625" customWidth="1"/>
    <col min="7" max="7" width="18.140625" customWidth="1"/>
    <col min="8" max="8" width="13.28515625" customWidth="1"/>
    <col min="9" max="9" width="18.140625" customWidth="1"/>
    <col min="10" max="10" width="13.28515625" customWidth="1"/>
    <col min="11" max="11" width="18.140625" customWidth="1"/>
    <col min="12" max="12" width="3.42578125" customWidth="1"/>
    <col min="14" max="14" width="8.42578125" bestFit="1" customWidth="1"/>
    <col min="15" max="15" width="8.85546875" bestFit="1" customWidth="1"/>
    <col min="16" max="16" width="8.28515625" bestFit="1" customWidth="1"/>
    <col min="17" max="17" width="14.42578125" bestFit="1" customWidth="1"/>
    <col min="18" max="18" width="15.42578125" bestFit="1" customWidth="1"/>
    <col min="19" max="19" width="10.7109375" bestFit="1" customWidth="1"/>
    <col min="20" max="20" width="8.140625" bestFit="1" customWidth="1"/>
    <col min="21" max="21" width="15.85546875" bestFit="1" customWidth="1"/>
    <col min="22" max="22" width="8.7109375" bestFit="1" customWidth="1"/>
    <col min="23" max="23" width="11.7109375" bestFit="1" customWidth="1"/>
    <col min="24" max="24" width="14.140625" bestFit="1" customWidth="1"/>
    <col min="25" max="25" width="12" bestFit="1" customWidth="1"/>
    <col min="26" max="26" width="10.7109375" bestFit="1" customWidth="1"/>
  </cols>
  <sheetData>
    <row r="1" spans="1:26" ht="27.95" customHeight="1" thickBot="1" x14ac:dyDescent="0.4">
      <c r="A1" s="528" t="s">
        <v>1450</v>
      </c>
      <c r="B1" s="528"/>
      <c r="C1" s="528"/>
      <c r="D1" s="528"/>
      <c r="E1" s="528"/>
      <c r="F1" s="528"/>
      <c r="G1" s="528"/>
      <c r="H1" s="528"/>
      <c r="I1" s="528"/>
      <c r="J1" s="528"/>
      <c r="K1" s="528"/>
      <c r="L1" s="528"/>
      <c r="N1" t="s">
        <v>1465</v>
      </c>
      <c r="O1" t="s">
        <v>1008</v>
      </c>
      <c r="P1" t="s">
        <v>1466</v>
      </c>
      <c r="Q1" t="s">
        <v>1095</v>
      </c>
      <c r="R1" t="s">
        <v>1456</v>
      </c>
      <c r="S1" t="s">
        <v>1457</v>
      </c>
      <c r="T1" t="s">
        <v>620</v>
      </c>
      <c r="W1" t="s">
        <v>1483</v>
      </c>
      <c r="X1" t="s">
        <v>1484</v>
      </c>
      <c r="Y1" t="s">
        <v>1485</v>
      </c>
      <c r="Z1" t="s">
        <v>1486</v>
      </c>
    </row>
    <row r="2" spans="1:26" ht="20.100000000000001" customHeight="1" thickTop="1" x14ac:dyDescent="0.25">
      <c r="A2" s="243" t="s">
        <v>1451</v>
      </c>
      <c r="B2" s="243"/>
      <c r="C2" s="243"/>
      <c r="D2" s="243"/>
      <c r="E2" s="243"/>
      <c r="F2" s="243"/>
      <c r="G2" s="243"/>
      <c r="H2" s="243"/>
      <c r="I2" s="243"/>
      <c r="J2" s="243"/>
      <c r="K2" s="244"/>
      <c r="L2" s="244"/>
      <c r="N2" t="str">
        <f>'product list'!A2</f>
        <v>ord0001</v>
      </c>
      <c r="O2" t="str">
        <f t="shared" ref="O2:O33" si="0">CHOOSE(P2,"January","February","March","April","May","June","July","August","September","October","November","December")</f>
        <v>January</v>
      </c>
      <c r="P2">
        <f>MATCH(LEFT(TRIM(MID('product list'!B2,FIND(",",'product list'!B2)+1,20)),3),{"jan","feb","mar","apr","may","jun","jul","aug","sep","oct","nov","dec"},0)</f>
        <v>1</v>
      </c>
      <c r="Q2" t="str">
        <f>'product list'!H2</f>
        <v>mumbai</v>
      </c>
      <c r="R2" t="str">
        <f>'product list'!I2</f>
        <v>electronic</v>
      </c>
      <c r="S2" t="str">
        <f>'product list'!L2</f>
        <v>dev</v>
      </c>
      <c r="T2">
        <f>'product list'!P2</f>
        <v>362890</v>
      </c>
      <c r="W2" t="s">
        <v>1454</v>
      </c>
      <c r="X2" t="s">
        <v>1454</v>
      </c>
      <c r="Y2" t="s">
        <v>1454</v>
      </c>
      <c r="Z2" t="s">
        <v>1454</v>
      </c>
    </row>
    <row r="3" spans="1:26" ht="20.100000000000001" customHeight="1" x14ac:dyDescent="0.25">
      <c r="A3" s="545" t="s">
        <v>1452</v>
      </c>
      <c r="B3" s="546"/>
      <c r="C3" s="546"/>
      <c r="D3" s="546"/>
      <c r="E3" s="546"/>
      <c r="F3" s="546"/>
      <c r="G3" s="546"/>
      <c r="H3" s="546"/>
      <c r="I3" s="546"/>
      <c r="J3" s="547"/>
      <c r="K3" s="237"/>
      <c r="L3" s="237"/>
      <c r="N3" t="str">
        <f>'product list'!A3</f>
        <v>ord0002</v>
      </c>
      <c r="O3" t="str">
        <f t="shared" si="0"/>
        <v>January</v>
      </c>
      <c r="P3">
        <f>MATCH(LEFT(TRIM(MID('product list'!B3,FIND(",",'product list'!B3)+1,20)),3),{"jan","feb","mar","apr","may","jun","jul","aug","sep","oct","nov","dec"},0)</f>
        <v>1</v>
      </c>
      <c r="Q3" t="str">
        <f>'product list'!H3</f>
        <v>raipur</v>
      </c>
      <c r="R3" t="str">
        <f>'product list'!I3</f>
        <v>kitchen</v>
      </c>
      <c r="S3" t="str">
        <f>'product list'!L3</f>
        <v>anjali</v>
      </c>
      <c r="T3">
        <f>'product list'!P3</f>
        <v>64870</v>
      </c>
      <c r="W3" s="231" t="s">
        <v>1230</v>
      </c>
      <c r="X3" s="231" t="s">
        <v>250</v>
      </c>
      <c r="Y3" t="s">
        <v>1469</v>
      </c>
      <c r="Z3" s="231" t="s">
        <v>354</v>
      </c>
    </row>
    <row r="4" spans="1:26" ht="20.100000000000001" customHeight="1" x14ac:dyDescent="0.25">
      <c r="A4" s="245" t="s">
        <v>1453</v>
      </c>
      <c r="B4" s="246" t="s">
        <v>1469</v>
      </c>
      <c r="C4" s="247" t="s">
        <v>1455</v>
      </c>
      <c r="D4" s="246" t="s">
        <v>1470</v>
      </c>
      <c r="E4" s="247" t="s">
        <v>1095</v>
      </c>
      <c r="F4" s="246" t="s">
        <v>1454</v>
      </c>
      <c r="G4" s="247" t="s">
        <v>1456</v>
      </c>
      <c r="H4" s="246" t="s">
        <v>1454</v>
      </c>
      <c r="I4" s="247" t="s">
        <v>1457</v>
      </c>
      <c r="J4" s="248" t="s">
        <v>1454</v>
      </c>
      <c r="K4" s="231"/>
      <c r="L4" s="231"/>
      <c r="N4" t="str">
        <f>'product list'!A4</f>
        <v>ord0003</v>
      </c>
      <c r="O4" t="str">
        <f t="shared" si="0"/>
        <v>January</v>
      </c>
      <c r="P4">
        <f>MATCH(LEFT(TRIM(MID('product list'!B4,FIND(",",'product list'!B4)+1,20)),3),{"jan","feb","mar","apr","may","jun","jul","aug","sep","oct","nov","dec"},0)</f>
        <v>1</v>
      </c>
      <c r="Q4" t="str">
        <f>'product list'!H4</f>
        <v>coimbatore</v>
      </c>
      <c r="R4" t="str">
        <f>'product list'!I4</f>
        <v>books</v>
      </c>
      <c r="S4" t="str">
        <f>'product list'!L4</f>
        <v>daksh</v>
      </c>
      <c r="T4">
        <f>'product list'!P4</f>
        <v>16900</v>
      </c>
      <c r="W4" s="231" t="s">
        <v>1211</v>
      </c>
      <c r="X4" s="231" t="s">
        <v>118</v>
      </c>
      <c r="Y4" t="s">
        <v>1470</v>
      </c>
      <c r="Z4" s="231" t="s">
        <v>1282</v>
      </c>
    </row>
    <row r="5" spans="1:26" x14ac:dyDescent="0.25">
      <c r="A5" s="231"/>
      <c r="B5" s="231"/>
      <c r="C5" s="231"/>
      <c r="D5" s="231"/>
      <c r="E5" s="231"/>
      <c r="F5" s="231"/>
      <c r="G5" s="231"/>
      <c r="H5" s="231"/>
      <c r="I5" s="231"/>
      <c r="J5" s="231"/>
      <c r="K5" s="231"/>
      <c r="L5" s="231"/>
      <c r="N5" t="str">
        <f>'product list'!A5</f>
        <v>ord0004</v>
      </c>
      <c r="O5" t="str">
        <f t="shared" si="0"/>
        <v>January</v>
      </c>
      <c r="P5">
        <f>MATCH(LEFT(TRIM(MID('product list'!B5,FIND(",",'product list'!B5)+1,20)),3),{"jan","feb","mar","apr","may","jun","jul","aug","sep","oct","nov","dec"},0)</f>
        <v>1</v>
      </c>
      <c r="Q5" t="str">
        <f>'product list'!H5</f>
        <v>leh</v>
      </c>
      <c r="R5" t="str">
        <f>'product list'!I5</f>
        <v>electronic</v>
      </c>
      <c r="S5" t="str">
        <f>'product list'!L5</f>
        <v>sonal</v>
      </c>
      <c r="T5">
        <f>'product list'!P5</f>
        <v>1019880</v>
      </c>
      <c r="W5" s="231" t="s">
        <v>1267</v>
      </c>
      <c r="X5" s="231" t="s">
        <v>74</v>
      </c>
      <c r="Y5" t="s">
        <v>1471</v>
      </c>
      <c r="Z5" s="231" t="s">
        <v>120</v>
      </c>
    </row>
    <row r="6" spans="1:26" ht="15.75" thickBot="1" x14ac:dyDescent="0.3">
      <c r="A6" s="231"/>
      <c r="B6" s="231"/>
      <c r="C6" s="231"/>
      <c r="D6" s="231"/>
      <c r="E6" s="231"/>
      <c r="F6" s="231"/>
      <c r="G6" s="231"/>
      <c r="H6" s="231"/>
      <c r="I6" s="231"/>
      <c r="J6" s="231"/>
      <c r="K6" s="231"/>
      <c r="L6" s="231"/>
      <c r="N6" t="str">
        <f>'product list'!A6</f>
        <v>ord0005</v>
      </c>
      <c r="O6" t="str">
        <f t="shared" si="0"/>
        <v>January</v>
      </c>
      <c r="P6">
        <f>MATCH(LEFT(TRIM(MID('product list'!B6,FIND(",",'product list'!B6)+1,20)),3),{"jan","feb","mar","apr","may","jun","jul","aug","sep","oct","nov","dec"},0)</f>
        <v>1</v>
      </c>
      <c r="Q6" t="str">
        <f>'product list'!H6</f>
        <v>bengaluru</v>
      </c>
      <c r="R6" t="str">
        <f>'product list'!I6</f>
        <v>stationary</v>
      </c>
      <c r="S6" t="str">
        <f>'product list'!L6</f>
        <v>kunal</v>
      </c>
      <c r="T6">
        <f>'product list'!P6</f>
        <v>8640</v>
      </c>
      <c r="W6" s="231" t="s">
        <v>1244</v>
      </c>
      <c r="X6" s="231" t="s">
        <v>160</v>
      </c>
      <c r="Y6" t="s">
        <v>1472</v>
      </c>
      <c r="Z6" s="231" t="s">
        <v>1207</v>
      </c>
    </row>
    <row r="7" spans="1:26" ht="20.100000000000001" customHeight="1" thickBot="1" x14ac:dyDescent="0.3">
      <c r="A7" s="529" t="s">
        <v>1458</v>
      </c>
      <c r="B7" s="530"/>
      <c r="C7" s="231"/>
      <c r="D7" s="533" t="s">
        <v>1459</v>
      </c>
      <c r="E7" s="534"/>
      <c r="F7" s="231"/>
      <c r="G7" s="537" t="s">
        <v>1460</v>
      </c>
      <c r="H7" s="538"/>
      <c r="I7" s="231"/>
      <c r="J7" s="541" t="s">
        <v>1461</v>
      </c>
      <c r="K7" s="542"/>
      <c r="L7" s="231"/>
      <c r="N7" t="str">
        <f>'product list'!A7</f>
        <v>ord0006</v>
      </c>
      <c r="O7" t="str">
        <f t="shared" si="0"/>
        <v>January</v>
      </c>
      <c r="P7">
        <f>MATCH(LEFT(TRIM(MID('product list'!B7,FIND(",",'product list'!B7)+1,20)),3),{"jan","feb","mar","apr","may","jun","jul","aug","sep","oct","nov","dec"},0)</f>
        <v>1</v>
      </c>
      <c r="Q7" t="str">
        <f>'product list'!H7</f>
        <v>mumbai</v>
      </c>
      <c r="R7" t="str">
        <f>'product list'!I7</f>
        <v>electronic</v>
      </c>
      <c r="S7" t="str">
        <f>'product list'!L7</f>
        <v>ayush</v>
      </c>
      <c r="T7">
        <f>'product list'!P7</f>
        <v>26367</v>
      </c>
      <c r="W7" s="231" t="s">
        <v>1215</v>
      </c>
      <c r="X7" s="231" t="s">
        <v>60</v>
      </c>
      <c r="Y7" t="s">
        <v>1473</v>
      </c>
      <c r="Z7" s="231" t="s">
        <v>296</v>
      </c>
    </row>
    <row r="8" spans="1:26" ht="20.100000000000001" customHeight="1" thickBot="1" x14ac:dyDescent="0.4">
      <c r="A8" s="531" cm="1">
        <f t="array" ref="A8">SUMPRODUCT($T$2:$T$180,--($P$2:$P$180&gt;=IF($B$4="All",1,MATCH($B$4,{"January","February","March","April","May","June","July","August","September","October","November","December"},0))),--($P$2:$P$180&lt;=IF($D$4="All",12,MATCH($D$4,{"January","February","March","April","May","June","July","August","September","October","November","December"},0))),--((($F$4="All")+($Q$2:$Q$180=$F$4))&gt;0),--((($H$4="All")+($R$2:$R$180=$H$4))&gt;0),--((($J$4="All")+($S$2:$S$180=$J$4))&gt;0))</f>
        <v>30337159</v>
      </c>
      <c r="B8" s="532"/>
      <c r="C8" s="231"/>
      <c r="D8" s="535" cm="1">
        <f t="array" ref="D8">SUMPRODUCT($T$2:$T$180-'product list'!$Q$2:$Q$180,--($P$2:$P$180&gt;=IF($B$4="All",1,MATCH($B$4,{"January","February","March","April","May","June","July","August","September","October","November","December"},0))),--($P$2:$P$180&lt;=IF($D$4="All",12,MATCH($D$4,{"January","February","March","April","May","June","July","August","September","October","November","December"},0))),--((($F$4="All")+($Q$2:$Q$180=$F$4))&gt;0),--((($H$4="All")+($R$2:$R$180=$H$4))&gt;0),--((($J$4="All")+($S$2:$S$180=$J$4))&gt;0))</f>
        <v>9101147.6999999993</v>
      </c>
      <c r="E8" s="536"/>
      <c r="F8" s="231"/>
      <c r="G8" s="539" cm="1">
        <f t="array" ref="G8">SUMPRODUCT(--($P$2:$P$180&gt;=IF($B$4="All",1,MATCH($B$4,{"January","February","March","April","May","June","July","August","September","October","November","December"},0))),--($P$2:$P$180&lt;=IF($D$4="All",12,MATCH($D$4,{"January","February","March","April","May","June","July","August","September","October","November","December"},0))),--((($F$4="All")+($Q$2:$Q$180=$F$4))&gt;0),--((($H$4="All")+($R$2:$R$180=$H$4))&gt;0),--((($J$4="All")+($S$2:$S$180=$J$4))&gt;0))</f>
        <v>58</v>
      </c>
      <c r="H8" s="540"/>
      <c r="I8" s="231"/>
      <c r="J8" s="543">
        <f>IF($G$8=0,0,$A$8/$G$8)</f>
        <v>523054.46551724139</v>
      </c>
      <c r="K8" s="544"/>
      <c r="L8" s="231"/>
      <c r="N8" t="str">
        <f>'product list'!A8</f>
        <v>ord0007</v>
      </c>
      <c r="O8" t="str">
        <f t="shared" si="0"/>
        <v>January</v>
      </c>
      <c r="P8">
        <f>MATCH(LEFT(TRIM(MID('product list'!B8,FIND(",",'product list'!B8)+1,20)),3),{"jan","feb","mar","apr","may","jun","jul","aug","sep","oct","nov","dec"},0)</f>
        <v>1</v>
      </c>
      <c r="Q8" t="str">
        <f>'product list'!H8</f>
        <v>amritsar</v>
      </c>
      <c r="R8" t="str">
        <f>'product list'!I8</f>
        <v>books</v>
      </c>
      <c r="S8" t="str">
        <f>'product list'!L8</f>
        <v>payal</v>
      </c>
      <c r="T8">
        <f>'product list'!P8</f>
        <v>20160</v>
      </c>
      <c r="W8" s="231" t="s">
        <v>1281</v>
      </c>
      <c r="X8" s="231" t="s">
        <v>263</v>
      </c>
      <c r="Y8" t="s">
        <v>1474</v>
      </c>
      <c r="Z8" s="231" t="s">
        <v>258</v>
      </c>
    </row>
    <row r="9" spans="1:26" ht="20.100000000000001" customHeight="1" x14ac:dyDescent="0.25">
      <c r="A9" s="238" t="s">
        <v>1462</v>
      </c>
      <c r="B9" s="238"/>
      <c r="C9" s="238"/>
      <c r="D9" s="238" t="s">
        <v>1881</v>
      </c>
      <c r="E9" s="238"/>
      <c r="F9" s="238"/>
      <c r="G9" s="238" t="s">
        <v>1463</v>
      </c>
      <c r="H9" s="238"/>
      <c r="I9" s="238"/>
      <c r="J9" s="238" t="s">
        <v>1464</v>
      </c>
      <c r="K9" s="238"/>
      <c r="L9" s="231"/>
      <c r="N9" t="str">
        <f>'product list'!A9</f>
        <v>ord0008</v>
      </c>
      <c r="O9" t="str">
        <f t="shared" si="0"/>
        <v>January</v>
      </c>
      <c r="P9">
        <f>MATCH(LEFT(TRIM(MID('product list'!B9,FIND(",",'product list'!B9)+1,20)),3),{"jan","feb","mar","apr","may","jun","jul","aug","sep","oct","nov","dec"},0)</f>
        <v>1</v>
      </c>
      <c r="Q9" t="str">
        <f>'product list'!H9</f>
        <v>varanasi</v>
      </c>
      <c r="R9" t="str">
        <f>'product list'!I9</f>
        <v>vahicels</v>
      </c>
      <c r="S9" t="str">
        <f>'product list'!L9</f>
        <v>arya</v>
      </c>
      <c r="T9">
        <f>'product list'!P9</f>
        <v>345944</v>
      </c>
      <c r="W9" s="231" t="s">
        <v>1248</v>
      </c>
      <c r="X9" s="231" t="s">
        <v>67</v>
      </c>
      <c r="Y9" t="s">
        <v>1475</v>
      </c>
      <c r="Z9" s="231" t="s">
        <v>107</v>
      </c>
    </row>
    <row r="10" spans="1:26" x14ac:dyDescent="0.25">
      <c r="A10" s="231"/>
      <c r="B10" s="231"/>
      <c r="C10" s="231"/>
      <c r="D10" s="231"/>
      <c r="E10" s="231"/>
      <c r="F10" s="231"/>
      <c r="G10" s="231"/>
      <c r="H10" s="231"/>
      <c r="I10" s="231"/>
      <c r="J10" s="231"/>
      <c r="K10" s="231"/>
      <c r="L10" s="231"/>
      <c r="N10" t="str">
        <f>'product list'!A10</f>
        <v>ord0009</v>
      </c>
      <c r="O10" t="str">
        <f t="shared" si="0"/>
        <v>January</v>
      </c>
      <c r="P10">
        <f>MATCH(LEFT(TRIM(MID('product list'!B10,FIND(",",'product list'!B10)+1,20)),3),{"jan","feb","mar","apr","may","jun","jul","aug","sep","oct","nov","dec"},0)</f>
        <v>1</v>
      </c>
      <c r="Q10" t="str">
        <f>'product list'!H10</f>
        <v>mumbai</v>
      </c>
      <c r="R10" t="str">
        <f>'product list'!I10</f>
        <v>toys</v>
      </c>
      <c r="S10" t="str">
        <f>'product list'!L10</f>
        <v>poonam</v>
      </c>
      <c r="T10">
        <f>'product list'!P10</f>
        <v>9303525</v>
      </c>
      <c r="W10" s="231" t="s">
        <v>1286</v>
      </c>
      <c r="X10" s="231" t="s">
        <v>191</v>
      </c>
      <c r="Y10" t="s">
        <v>1476</v>
      </c>
      <c r="Z10" s="231" t="s">
        <v>94</v>
      </c>
    </row>
    <row r="11" spans="1:26" x14ac:dyDescent="0.25">
      <c r="A11" s="239" t="s">
        <v>1481</v>
      </c>
      <c r="B11" s="239"/>
      <c r="C11" s="239"/>
      <c r="D11" s="239"/>
      <c r="E11" s="239"/>
      <c r="F11" s="239"/>
      <c r="G11" s="239"/>
      <c r="H11" s="239"/>
      <c r="I11" s="239"/>
      <c r="J11" s="239"/>
      <c r="K11" s="239"/>
      <c r="L11" s="239"/>
      <c r="N11" t="str">
        <f>'product list'!A11</f>
        <v>ord0010</v>
      </c>
      <c r="O11" t="str">
        <f t="shared" si="0"/>
        <v>January</v>
      </c>
      <c r="P11">
        <f>MATCH(LEFT(TRIM(MID('product list'!B11,FIND(",",'product list'!B11)+1,20)),3),{"jan","feb","mar","apr","may","jun","jul","aug","sep","oct","nov","dec"},0)</f>
        <v>1</v>
      </c>
      <c r="Q11" t="str">
        <f>'product list'!H11</f>
        <v>bhubaneswar</v>
      </c>
      <c r="R11" t="str">
        <f>'product list'!I11</f>
        <v>beauty</v>
      </c>
      <c r="S11" t="str">
        <f>'product list'!L11</f>
        <v>amit</v>
      </c>
      <c r="T11">
        <f>'product list'!P11</f>
        <v>4950</v>
      </c>
      <c r="W11" s="231" t="s">
        <v>1220</v>
      </c>
      <c r="X11" s="231" t="s">
        <v>86</v>
      </c>
      <c r="Y11" t="s">
        <v>1477</v>
      </c>
      <c r="Z11" s="231" t="s">
        <v>1254</v>
      </c>
    </row>
    <row r="12" spans="1:26" x14ac:dyDescent="0.25">
      <c r="A12" s="231"/>
      <c r="B12" s="231"/>
      <c r="C12" s="231"/>
      <c r="D12" s="231"/>
      <c r="E12" s="231"/>
      <c r="F12" s="231"/>
      <c r="G12" s="231"/>
      <c r="H12" s="231"/>
      <c r="I12" s="231"/>
      <c r="J12" s="231"/>
      <c r="K12" s="231"/>
      <c r="L12" s="231"/>
      <c r="N12" t="str">
        <f>'product list'!A12</f>
        <v>ord0011</v>
      </c>
      <c r="O12" t="str">
        <f t="shared" si="0"/>
        <v>January</v>
      </c>
      <c r="P12">
        <f>MATCH(LEFT(TRIM(MID('product list'!B12,FIND(",",'product list'!B12)+1,20)),3),{"jan","feb","mar","apr","may","jun","jul","aug","sep","oct","nov","dec"},0)</f>
        <v>1</v>
      </c>
      <c r="Q12" t="str">
        <f>'product list'!H12</f>
        <v>haridwar</v>
      </c>
      <c r="R12" t="str">
        <f>'product list'!I12</f>
        <v>electronic</v>
      </c>
      <c r="S12" t="str">
        <f>'product list'!L12</f>
        <v>mamta</v>
      </c>
      <c r="T12">
        <f>'product list'!P12</f>
        <v>2015680</v>
      </c>
      <c r="W12" s="231" t="s">
        <v>1258</v>
      </c>
      <c r="X12" s="231" t="s">
        <v>282</v>
      </c>
      <c r="Y12" t="s">
        <v>1478</v>
      </c>
      <c r="Z12" s="231" t="s">
        <v>144</v>
      </c>
    </row>
    <row r="13" spans="1:26" x14ac:dyDescent="0.25">
      <c r="A13" s="231"/>
      <c r="B13" s="231"/>
      <c r="C13" s="231"/>
      <c r="D13" s="231"/>
      <c r="E13" s="231"/>
      <c r="F13" s="231"/>
      <c r="G13" s="231"/>
      <c r="H13" s="231"/>
      <c r="I13" s="231"/>
      <c r="J13" s="231"/>
      <c r="K13" s="231"/>
      <c r="L13" s="231"/>
      <c r="N13" t="str">
        <f>'product list'!A13</f>
        <v>ord0012</v>
      </c>
      <c r="O13" t="str">
        <f t="shared" si="0"/>
        <v>January</v>
      </c>
      <c r="P13">
        <f>MATCH(LEFT(TRIM(MID('product list'!B13,FIND(",",'product list'!B13)+1,20)),3),{"jan","feb","mar","apr","may","jun","jul","aug","sep","oct","nov","dec"},0)</f>
        <v>1</v>
      </c>
      <c r="Q13" t="str">
        <f>'product list'!H13</f>
        <v>bhopal</v>
      </c>
      <c r="R13" t="str">
        <f>'product list'!I13</f>
        <v>electronic</v>
      </c>
      <c r="S13" t="str">
        <f>'product list'!L13</f>
        <v>deepak</v>
      </c>
      <c r="T13">
        <f>'product list'!P13</f>
        <v>19920</v>
      </c>
      <c r="W13" s="231" t="s">
        <v>1235</v>
      </c>
      <c r="X13" s="231" t="s">
        <v>112</v>
      </c>
      <c r="Y13" t="s">
        <v>1479</v>
      </c>
      <c r="Z13" s="231" t="s">
        <v>79</v>
      </c>
    </row>
    <row r="14" spans="1:26" x14ac:dyDescent="0.25">
      <c r="A14" s="231"/>
      <c r="B14" s="231"/>
      <c r="C14" s="231"/>
      <c r="D14" s="231"/>
      <c r="E14" s="231"/>
      <c r="F14" s="231"/>
      <c r="G14" s="231"/>
      <c r="H14" s="231"/>
      <c r="I14" s="231"/>
      <c r="J14" s="231"/>
      <c r="K14" s="231"/>
      <c r="L14" s="231"/>
      <c r="N14" t="str">
        <f>'product list'!A14</f>
        <v>ord0013</v>
      </c>
      <c r="O14" t="str">
        <f t="shared" si="0"/>
        <v>January</v>
      </c>
      <c r="P14">
        <f>MATCH(LEFT(TRIM(MID('product list'!B14,FIND(",",'product list'!B14)+1,20)),3),{"jan","feb","mar","apr","may","jun","jul","aug","sep","oct","nov","dec"},0)</f>
        <v>1</v>
      </c>
      <c r="Q14" t="str">
        <f>'product list'!H14</f>
        <v>new delhi</v>
      </c>
      <c r="R14" t="str">
        <f>'product list'!I14</f>
        <v>vahicals</v>
      </c>
      <c r="S14" t="str">
        <f>'product list'!L14</f>
        <v>rohit</v>
      </c>
      <c r="T14">
        <f>'product list'!P14</f>
        <v>7436536</v>
      </c>
      <c r="W14" s="231" t="s">
        <v>1253</v>
      </c>
      <c r="Y14" t="s">
        <v>1480</v>
      </c>
      <c r="Z14" s="231" t="s">
        <v>75</v>
      </c>
    </row>
    <row r="15" spans="1:26" x14ac:dyDescent="0.25">
      <c r="A15" s="231"/>
      <c r="B15" s="231"/>
      <c r="C15" s="231"/>
      <c r="D15" s="231"/>
      <c r="E15" s="231"/>
      <c r="F15" s="231"/>
      <c r="G15" s="231"/>
      <c r="H15" s="231"/>
      <c r="I15" s="231"/>
      <c r="J15" s="231"/>
      <c r="K15" s="231"/>
      <c r="L15" s="231"/>
      <c r="N15" t="str">
        <f>'product list'!A15</f>
        <v>ord0014</v>
      </c>
      <c r="O15" t="str">
        <f t="shared" si="0"/>
        <v>January</v>
      </c>
      <c r="P15">
        <f>MATCH(LEFT(TRIM(MID('product list'!B15,FIND(",",'product list'!B15)+1,20)),3),{"jan","feb","mar","apr","may","jun","jul","aug","sep","oct","nov","dec"},0)</f>
        <v>1</v>
      </c>
      <c r="Q15" t="str">
        <f>'product list'!H15</f>
        <v>chennai</v>
      </c>
      <c r="R15" t="str">
        <f>'product list'!I15</f>
        <v>beauty</v>
      </c>
      <c r="S15" t="str">
        <f>'product list'!L15</f>
        <v>radhika</v>
      </c>
      <c r="T15">
        <f>'product list'!P15</f>
        <v>6300</v>
      </c>
      <c r="W15" s="231" t="s">
        <v>1276</v>
      </c>
      <c r="Z15" t="s">
        <v>131</v>
      </c>
    </row>
    <row r="16" spans="1:26" x14ac:dyDescent="0.25">
      <c r="A16" s="231"/>
      <c r="B16" s="231"/>
      <c r="C16" s="231"/>
      <c r="D16" s="231"/>
      <c r="E16" s="231"/>
      <c r="F16" s="231"/>
      <c r="G16" s="231"/>
      <c r="H16" s="231"/>
      <c r="I16" s="231"/>
      <c r="J16" s="231"/>
      <c r="K16" s="231"/>
      <c r="L16" s="231"/>
      <c r="N16" t="str">
        <f>'product list'!A16</f>
        <v>ord0015</v>
      </c>
      <c r="O16" t="str">
        <f t="shared" si="0"/>
        <v>January</v>
      </c>
      <c r="P16">
        <f>MATCH(LEFT(TRIM(MID('product list'!B16,FIND(",",'product list'!B16)+1,20)),3),{"jan","feb","mar","apr","may","jun","jul","aug","sep","oct","nov","dec"},0)</f>
        <v>1</v>
      </c>
      <c r="Q16" t="str">
        <f>'product list'!H16</f>
        <v>jammu</v>
      </c>
      <c r="R16" t="str">
        <f>'product list'!I16</f>
        <v>kitchen</v>
      </c>
      <c r="S16" t="str">
        <f>'product list'!L16</f>
        <v>chirag</v>
      </c>
      <c r="T16">
        <f>'product list'!P16</f>
        <v>43350</v>
      </c>
      <c r="W16" s="231" t="s">
        <v>1296</v>
      </c>
      <c r="Z16" t="s">
        <v>62</v>
      </c>
    </row>
    <row r="17" spans="1:26" x14ac:dyDescent="0.25">
      <c r="A17" s="231"/>
      <c r="B17" s="231"/>
      <c r="C17" s="231"/>
      <c r="D17" s="231"/>
      <c r="E17" s="231"/>
      <c r="F17" s="231"/>
      <c r="G17" s="231"/>
      <c r="H17" s="231"/>
      <c r="I17" s="231"/>
      <c r="J17" s="231"/>
      <c r="K17" s="231"/>
      <c r="L17" s="231"/>
      <c r="N17" t="str">
        <f>'product list'!A17</f>
        <v>ord0016</v>
      </c>
      <c r="O17" t="str">
        <f t="shared" si="0"/>
        <v>January</v>
      </c>
      <c r="P17">
        <f>MATCH(LEFT(TRIM(MID('product list'!B17,FIND(",",'product list'!B17)+1,20)),3),{"jan","feb","mar","apr","may","jun","jul","aug","sep","oct","nov","dec"},0)</f>
        <v>1</v>
      </c>
      <c r="Q17" t="str">
        <f>'product list'!H17</f>
        <v>ludhiana</v>
      </c>
      <c r="R17" t="str">
        <f>'product list'!I17</f>
        <v>kitchen</v>
      </c>
      <c r="S17" t="str">
        <f>'product list'!L17</f>
        <v>ramesh</v>
      </c>
      <c r="T17">
        <f>'product list'!P17</f>
        <v>21360</v>
      </c>
      <c r="W17" s="231" t="s">
        <v>1291</v>
      </c>
      <c r="Z17" t="s">
        <v>245</v>
      </c>
    </row>
    <row r="18" spans="1:26" x14ac:dyDescent="0.25">
      <c r="A18" s="231"/>
      <c r="B18" s="231"/>
      <c r="C18" s="231"/>
      <c r="D18" s="231"/>
      <c r="E18" s="231"/>
      <c r="F18" s="231"/>
      <c r="G18" s="231"/>
      <c r="H18" s="231"/>
      <c r="I18" s="231"/>
      <c r="J18" s="231"/>
      <c r="K18" s="231"/>
      <c r="L18" s="231"/>
      <c r="N18" t="str">
        <f>'product list'!A18</f>
        <v>ord0017</v>
      </c>
      <c r="O18" t="str">
        <f t="shared" si="0"/>
        <v>January</v>
      </c>
      <c r="P18">
        <f>MATCH(LEFT(TRIM(MID('product list'!B18,FIND(",",'product list'!B18)+1,20)),3),{"jan","feb","mar","apr","may","jun","jul","aug","sep","oct","nov","dec"},0)</f>
        <v>1</v>
      </c>
      <c r="Q18" t="str">
        <f>'product list'!H18</f>
        <v>jammu</v>
      </c>
      <c r="R18" t="str">
        <f>'product list'!I18</f>
        <v>clothes</v>
      </c>
      <c r="S18" t="str">
        <f>'product list'!L18</f>
        <v>swati</v>
      </c>
      <c r="T18">
        <f>'product list'!P18</f>
        <v>8388</v>
      </c>
      <c r="Z18" t="s">
        <v>265</v>
      </c>
    </row>
    <row r="19" spans="1:26" x14ac:dyDescent="0.25">
      <c r="A19" s="231"/>
      <c r="B19" s="231"/>
      <c r="C19" s="231"/>
      <c r="D19" s="231"/>
      <c r="E19" s="231"/>
      <c r="F19" s="231"/>
      <c r="G19" s="231"/>
      <c r="H19" s="231"/>
      <c r="I19" s="231"/>
      <c r="J19" s="231"/>
      <c r="K19" s="231"/>
      <c r="L19" s="231"/>
      <c r="N19" t="str">
        <f>'product list'!A19</f>
        <v>ord0018</v>
      </c>
      <c r="O19" t="str">
        <f t="shared" si="0"/>
        <v>January</v>
      </c>
      <c r="P19">
        <f>MATCH(LEFT(TRIM(MID('product list'!B19,FIND(",",'product list'!B19)+1,20)),3),{"jan","feb","mar","apr","may","jun","jul","aug","sep","oct","nov","dec"},0)</f>
        <v>1</v>
      </c>
      <c r="Q19" t="str">
        <f>'product list'!H19</f>
        <v>coimbatore</v>
      </c>
      <c r="R19" t="str">
        <f>'product list'!I19</f>
        <v>clothes</v>
      </c>
      <c r="S19" t="str">
        <f>'product list'!L19</f>
        <v>rc sharma</v>
      </c>
      <c r="T19">
        <f>'product list'!P19</f>
        <v>8010</v>
      </c>
      <c r="Z19" t="s">
        <v>1263</v>
      </c>
    </row>
    <row r="20" spans="1:26" x14ac:dyDescent="0.25">
      <c r="A20" s="231"/>
      <c r="B20" s="231"/>
      <c r="C20" s="231"/>
      <c r="D20" s="231"/>
      <c r="E20" s="231"/>
      <c r="F20" s="231"/>
      <c r="G20" s="231"/>
      <c r="H20" s="231"/>
      <c r="I20" s="231"/>
      <c r="J20" s="231"/>
      <c r="K20" s="231"/>
      <c r="L20" s="231"/>
      <c r="N20" t="str">
        <f>'product list'!A20</f>
        <v>ord0019</v>
      </c>
      <c r="O20" t="str">
        <f t="shared" si="0"/>
        <v>January</v>
      </c>
      <c r="P20">
        <f>MATCH(LEFT(TRIM(MID('product list'!B20,FIND(",",'product list'!B20)+1,20)),3),{"jan","feb","mar","apr","may","jun","jul","aug","sep","oct","nov","dec"},0)</f>
        <v>1</v>
      </c>
      <c r="Q20" t="str">
        <f>'product list'!H20</f>
        <v>jammu</v>
      </c>
      <c r="R20" t="str">
        <f>'product list'!I20</f>
        <v>books</v>
      </c>
      <c r="S20" t="str">
        <f>'product list'!L20</f>
        <v>poonem</v>
      </c>
      <c r="T20">
        <f>'product list'!P20</f>
        <v>26650</v>
      </c>
      <c r="Z20" t="s">
        <v>277</v>
      </c>
    </row>
    <row r="21" spans="1:26" x14ac:dyDescent="0.25">
      <c r="A21" s="231"/>
      <c r="B21" s="231"/>
      <c r="C21" s="231"/>
      <c r="D21" s="231"/>
      <c r="E21" s="231"/>
      <c r="F21" s="231"/>
      <c r="G21" s="231"/>
      <c r="H21" s="231"/>
      <c r="I21" s="231"/>
      <c r="J21" s="231"/>
      <c r="K21" s="231"/>
      <c r="L21" s="231"/>
      <c r="N21" t="str">
        <f>'product list'!A21</f>
        <v>ord0020</v>
      </c>
      <c r="O21" t="str">
        <f t="shared" si="0"/>
        <v>January</v>
      </c>
      <c r="P21">
        <f>MATCH(LEFT(TRIM(MID('product list'!B21,FIND(",",'product list'!B21)+1,20)),3),{"jan","feb","mar","apr","may","jun","jul","aug","sep","oct","nov","dec"},0)</f>
        <v>1</v>
      </c>
      <c r="Q21" t="str">
        <f>'product list'!H21</f>
        <v>ranchi</v>
      </c>
      <c r="R21" t="str">
        <f>'product list'!I21</f>
        <v>electronic</v>
      </c>
      <c r="S21" t="str">
        <f>'product list'!L21</f>
        <v>neelam</v>
      </c>
      <c r="T21">
        <f>'product list'!P21</f>
        <v>13932</v>
      </c>
      <c r="Z21" t="s">
        <v>1273</v>
      </c>
    </row>
    <row r="22" spans="1:26" x14ac:dyDescent="0.25">
      <c r="A22" s="231"/>
      <c r="B22" s="231"/>
      <c r="C22" s="231"/>
      <c r="D22" s="231"/>
      <c r="E22" s="231"/>
      <c r="F22" s="231"/>
      <c r="G22" s="231"/>
      <c r="H22" s="231"/>
      <c r="I22" s="231"/>
      <c r="J22" s="231"/>
      <c r="K22" s="231"/>
      <c r="L22" s="231"/>
      <c r="N22" t="str">
        <f>'product list'!A22</f>
        <v>ord0021</v>
      </c>
      <c r="O22" t="str">
        <f t="shared" si="0"/>
        <v>January</v>
      </c>
      <c r="P22">
        <f>MATCH(LEFT(TRIM(MID('product list'!B22,FIND(",",'product list'!B22)+1,20)),3),{"jan","feb","mar","apr","may","jun","jul","aug","sep","oct","nov","dec"},0)</f>
        <v>1</v>
      </c>
      <c r="Q22" t="str">
        <f>'product list'!H22</f>
        <v>ranchi</v>
      </c>
      <c r="R22" t="str">
        <f>'product list'!I22</f>
        <v>beauty</v>
      </c>
      <c r="S22" t="str">
        <f>'product list'!L22</f>
        <v>mahesh</v>
      </c>
      <c r="T22">
        <f>'product list'!P22</f>
        <v>103230</v>
      </c>
      <c r="Z22" t="s">
        <v>210</v>
      </c>
    </row>
    <row r="23" spans="1:26" x14ac:dyDescent="0.25">
      <c r="A23" s="231"/>
      <c r="B23" s="231"/>
      <c r="C23" s="231"/>
      <c r="D23" s="231"/>
      <c r="E23" s="231"/>
      <c r="F23" s="231"/>
      <c r="G23" s="231"/>
      <c r="H23" s="231"/>
      <c r="I23" s="231"/>
      <c r="J23" s="231"/>
      <c r="K23" s="231"/>
      <c r="L23" s="231"/>
      <c r="N23" t="str">
        <f>'product list'!A23</f>
        <v>ord0022</v>
      </c>
      <c r="O23" t="str">
        <f t="shared" si="0"/>
        <v>January</v>
      </c>
      <c r="P23">
        <f>MATCH(LEFT(TRIM(MID('product list'!B23,FIND(",",'product list'!B23)+1,20)),3),{"jan","feb","mar","apr","may","jun","jul","aug","sep","oct","nov","dec"},0)</f>
        <v>1</v>
      </c>
      <c r="Q23" t="str">
        <f>'product list'!H23</f>
        <v>srinagar</v>
      </c>
      <c r="R23" t="str">
        <f>'product list'!I23</f>
        <v>medicine</v>
      </c>
      <c r="S23" t="str">
        <f>'product list'!L23</f>
        <v>rakesh</v>
      </c>
      <c r="T23">
        <f>'product list'!P23</f>
        <v>26280</v>
      </c>
      <c r="Z23" t="s">
        <v>88</v>
      </c>
    </row>
    <row r="24" spans="1:26" x14ac:dyDescent="0.25">
      <c r="A24" s="231"/>
      <c r="B24" s="231"/>
      <c r="C24" s="231"/>
      <c r="D24" s="231"/>
      <c r="E24" s="231"/>
      <c r="F24" s="231"/>
      <c r="G24" s="231"/>
      <c r="H24" s="231"/>
      <c r="I24" s="231"/>
      <c r="J24" s="231"/>
      <c r="K24" s="231"/>
      <c r="L24" s="231"/>
      <c r="N24" t="str">
        <f>'product list'!A24</f>
        <v>ord0023</v>
      </c>
      <c r="O24" t="str">
        <f t="shared" si="0"/>
        <v>January</v>
      </c>
      <c r="P24">
        <f>MATCH(LEFT(TRIM(MID('product list'!B24,FIND(",",'product list'!B24)+1,20)),3),{"jan","feb","mar","apr","may","jun","jul","aug","sep","oct","nov","dec"},0)</f>
        <v>1</v>
      </c>
      <c r="Q24" t="str">
        <f>'product list'!H24</f>
        <v>leh</v>
      </c>
      <c r="R24" t="str">
        <f>'product list'!I24</f>
        <v>medicine</v>
      </c>
      <c r="S24" t="str">
        <f>'product list'!L24</f>
        <v>shruti</v>
      </c>
      <c r="T24">
        <f>'product list'!P24</f>
        <v>82739</v>
      </c>
      <c r="Z24" t="s">
        <v>204</v>
      </c>
    </row>
    <row r="25" spans="1:26" x14ac:dyDescent="0.25">
      <c r="A25" s="231"/>
      <c r="B25" s="231"/>
      <c r="C25" s="231"/>
      <c r="D25" s="231"/>
      <c r="E25" s="231"/>
      <c r="F25" s="231"/>
      <c r="G25" s="231"/>
      <c r="H25" s="231"/>
      <c r="I25" s="231"/>
      <c r="J25" s="231"/>
      <c r="K25" s="231"/>
      <c r="L25" s="231"/>
      <c r="N25" t="str">
        <f>'product list'!A25</f>
        <v>ord0024</v>
      </c>
      <c r="O25" t="str">
        <f t="shared" si="0"/>
        <v>January</v>
      </c>
      <c r="P25">
        <f>MATCH(LEFT(TRIM(MID('product list'!B25,FIND(",",'product list'!B25)+1,20)),3),{"jan","feb","mar","apr","may","jun","jul","aug","sep","oct","nov","dec"},0)</f>
        <v>1</v>
      </c>
      <c r="Q25" t="str">
        <f>'product list'!H25</f>
        <v>ludhiana</v>
      </c>
      <c r="R25" t="str">
        <f>'product list'!I25</f>
        <v>vahicels</v>
      </c>
      <c r="S25" t="str">
        <f>'product list'!L25</f>
        <v>lokesh</v>
      </c>
      <c r="T25">
        <f>'product list'!P25</f>
        <v>156624</v>
      </c>
      <c r="Z25" t="s">
        <v>186</v>
      </c>
    </row>
    <row r="26" spans="1:26" x14ac:dyDescent="0.25">
      <c r="A26" s="231"/>
      <c r="B26" s="231"/>
      <c r="C26" s="231"/>
      <c r="D26" s="231"/>
      <c r="E26" s="231"/>
      <c r="F26" s="231"/>
      <c r="G26" s="231"/>
      <c r="H26" s="231"/>
      <c r="I26" s="231"/>
      <c r="J26" s="231"/>
      <c r="K26" s="231"/>
      <c r="L26" s="231"/>
      <c r="N26" t="str">
        <f>'product list'!A26</f>
        <v>ord0025</v>
      </c>
      <c r="O26" t="str">
        <f t="shared" si="0"/>
        <v>January</v>
      </c>
      <c r="P26">
        <f>MATCH(LEFT(TRIM(MID('product list'!B26,FIND(",",'product list'!B26)+1,20)),3),{"jan","feb","mar","apr","may","jun","jul","aug","sep","oct","nov","dec"},0)</f>
        <v>1</v>
      </c>
      <c r="Q26" t="str">
        <f>'product list'!H26</f>
        <v>leh</v>
      </c>
      <c r="R26" t="str">
        <f>'product list'!I26</f>
        <v>clothes</v>
      </c>
      <c r="S26" t="str">
        <f>'product list'!L26</f>
        <v>kuldeep</v>
      </c>
      <c r="T26">
        <f>'product list'!P26</f>
        <v>128712</v>
      </c>
      <c r="Z26" t="s">
        <v>1226</v>
      </c>
    </row>
    <row r="27" spans="1:26" x14ac:dyDescent="0.25">
      <c r="A27" s="231"/>
      <c r="B27" s="231"/>
      <c r="C27" s="231"/>
      <c r="D27" s="231"/>
      <c r="E27" s="231"/>
      <c r="F27" s="231"/>
      <c r="G27" s="231"/>
      <c r="H27" s="231"/>
      <c r="I27" s="231"/>
      <c r="J27" s="231"/>
      <c r="K27" s="231"/>
      <c r="L27" s="231"/>
      <c r="N27" t="str">
        <f>'product list'!A27</f>
        <v>ord0026</v>
      </c>
      <c r="O27" t="str">
        <f t="shared" si="0"/>
        <v>January</v>
      </c>
      <c r="P27">
        <f>MATCH(LEFT(TRIM(MID('product list'!B27,FIND(",",'product list'!B27)+1,20)),3),{"jan","feb","mar","apr","may","jun","jul","aug","sep","oct","nov","dec"},0)</f>
        <v>1</v>
      </c>
      <c r="Q27" t="str">
        <f>'product list'!H27</f>
        <v>amritsar</v>
      </c>
      <c r="R27" t="str">
        <f>'product list'!I27</f>
        <v>toys</v>
      </c>
      <c r="S27" t="str">
        <f>'product list'!L27</f>
        <v>tamanna</v>
      </c>
      <c r="T27">
        <f>'product list'!P27</f>
        <v>42780</v>
      </c>
      <c r="Z27" t="s">
        <v>221</v>
      </c>
    </row>
    <row r="28" spans="1:26" x14ac:dyDescent="0.25">
      <c r="A28" s="231"/>
      <c r="B28" s="231"/>
      <c r="C28" s="231"/>
      <c r="D28" s="231"/>
      <c r="E28" s="231"/>
      <c r="F28" s="231"/>
      <c r="G28" s="231"/>
      <c r="H28" s="231"/>
      <c r="I28" s="231"/>
      <c r="J28" s="231"/>
      <c r="K28" s="231"/>
      <c r="L28" s="231"/>
      <c r="N28" t="str">
        <f>'product list'!A28</f>
        <v>ord0027</v>
      </c>
      <c r="O28" t="str">
        <f t="shared" si="0"/>
        <v>January</v>
      </c>
      <c r="P28">
        <f>MATCH(LEFT(TRIM(MID('product list'!B28,FIND(",",'product list'!B28)+1,20)),3),{"jan","feb","mar","apr","may","jun","jul","aug","sep","oct","nov","dec"},0)</f>
        <v>1</v>
      </c>
      <c r="Q28" t="str">
        <f>'product list'!H28</f>
        <v>kochi</v>
      </c>
      <c r="R28" t="str">
        <f>'product list'!I28</f>
        <v>toys</v>
      </c>
      <c r="S28" t="str">
        <f>'product list'!L28</f>
        <v>manish</v>
      </c>
      <c r="T28">
        <f>'product list'!P28</f>
        <v>62856</v>
      </c>
      <c r="Z28" t="s">
        <v>1297</v>
      </c>
    </row>
    <row r="29" spans="1:26" x14ac:dyDescent="0.25">
      <c r="A29" s="231"/>
      <c r="B29" s="231"/>
      <c r="C29" s="231"/>
      <c r="D29" s="231"/>
      <c r="E29" s="231"/>
      <c r="F29" s="231"/>
      <c r="G29" s="231"/>
      <c r="H29" s="231"/>
      <c r="I29" s="231"/>
      <c r="J29" s="231"/>
      <c r="K29" s="231"/>
      <c r="L29" s="231"/>
      <c r="N29" t="str">
        <f>'product list'!A29</f>
        <v>ord0028</v>
      </c>
      <c r="O29" t="str">
        <f t="shared" si="0"/>
        <v>January</v>
      </c>
      <c r="P29">
        <f>MATCH(LEFT(TRIM(MID('product list'!B29,FIND(",",'product list'!B29)+1,20)),3),{"jan","feb","mar","apr","may","jun","jul","aug","sep","oct","nov","dec"},0)</f>
        <v>1</v>
      </c>
      <c r="Q29" t="str">
        <f>'product list'!H29</f>
        <v>hyderabad</v>
      </c>
      <c r="R29" t="str">
        <f>'product list'!I29</f>
        <v>beauty</v>
      </c>
      <c r="S29" t="str">
        <f>'product list'!L29</f>
        <v>rahul</v>
      </c>
      <c r="T29">
        <f>'product list'!P29</f>
        <v>9072</v>
      </c>
      <c r="Z29" t="s">
        <v>1287</v>
      </c>
    </row>
    <row r="30" spans="1:26" x14ac:dyDescent="0.25">
      <c r="A30" s="231"/>
      <c r="B30" s="231"/>
      <c r="C30" s="231"/>
      <c r="D30" s="231"/>
      <c r="E30" s="231"/>
      <c r="F30" s="231"/>
      <c r="G30" s="231"/>
      <c r="H30" s="231"/>
      <c r="I30" s="231"/>
      <c r="J30" s="231"/>
      <c r="K30" s="231"/>
      <c r="L30" s="231"/>
      <c r="N30" t="str">
        <f>'product list'!A30</f>
        <v>ord0029</v>
      </c>
      <c r="O30" t="str">
        <f t="shared" si="0"/>
        <v>January</v>
      </c>
      <c r="P30">
        <f>MATCH(LEFT(TRIM(MID('product list'!B30,FIND(",",'product list'!B30)+1,20)),3),{"jan","feb","mar","apr","may","jun","jul","aug","sep","oct","nov","dec"},0)</f>
        <v>1</v>
      </c>
      <c r="Q30" t="str">
        <f>'product list'!H30</f>
        <v>bhopal</v>
      </c>
      <c r="R30" t="str">
        <f>'product list'!I30</f>
        <v>electronic</v>
      </c>
      <c r="S30" t="str">
        <f>'product list'!L30</f>
        <v>bhavna</v>
      </c>
      <c r="T30">
        <f>'product list'!P30</f>
        <v>46872</v>
      </c>
      <c r="Z30" t="s">
        <v>1241</v>
      </c>
    </row>
    <row r="31" spans="1:26" x14ac:dyDescent="0.25">
      <c r="A31" s="231"/>
      <c r="B31" s="231"/>
      <c r="C31" s="231"/>
      <c r="D31" s="231"/>
      <c r="E31" s="231"/>
      <c r="F31" s="231"/>
      <c r="G31" s="231"/>
      <c r="H31" s="231"/>
      <c r="I31" s="231"/>
      <c r="J31" s="231"/>
      <c r="K31" s="231"/>
      <c r="L31" s="231"/>
      <c r="N31" t="str">
        <f>'product list'!A31</f>
        <v>ord0030</v>
      </c>
      <c r="O31" t="str">
        <f t="shared" si="0"/>
        <v>January</v>
      </c>
      <c r="P31">
        <f>MATCH(LEFT(TRIM(MID('product list'!B31,FIND(",",'product list'!B31)+1,20)),3),{"jan","feb","mar","apr","may","jun","jul","aug","sep","oct","nov","dec"},0)</f>
        <v>1</v>
      </c>
      <c r="Q31" t="str">
        <f>'product list'!H31</f>
        <v>amritsar</v>
      </c>
      <c r="R31" t="str">
        <f>'product list'!I31</f>
        <v>stationary</v>
      </c>
      <c r="S31" t="str">
        <f>'product list'!L31</f>
        <v>shubhu</v>
      </c>
      <c r="T31">
        <f>'product list'!P31</f>
        <v>149544</v>
      </c>
      <c r="Z31" t="s">
        <v>1277</v>
      </c>
    </row>
    <row r="32" spans="1:26" x14ac:dyDescent="0.25">
      <c r="A32" s="231"/>
      <c r="B32" s="231"/>
      <c r="C32" s="231"/>
      <c r="D32" s="231"/>
      <c r="E32" s="231"/>
      <c r="F32" s="231"/>
      <c r="G32" s="231"/>
      <c r="H32" s="231"/>
      <c r="I32" s="231"/>
      <c r="J32" s="231"/>
      <c r="K32" s="231"/>
      <c r="L32" s="231"/>
      <c r="N32" t="str">
        <f>'product list'!A32</f>
        <v>ord0031</v>
      </c>
      <c r="O32" t="str">
        <f t="shared" si="0"/>
        <v>February</v>
      </c>
      <c r="P32">
        <f>MATCH(LEFT(TRIM(MID('product list'!B32,FIND(",",'product list'!B32)+1,20)),3),{"jan","feb","mar","apr","may","jun","jul","aug","sep","oct","nov","dec"},0)</f>
        <v>2</v>
      </c>
      <c r="Q32" t="str">
        <f>'product list'!H32</f>
        <v>chennai</v>
      </c>
      <c r="R32" t="str">
        <f>'product list'!I32</f>
        <v>clothes</v>
      </c>
      <c r="S32" t="str">
        <f>'product list'!L32</f>
        <v>dhruv</v>
      </c>
      <c r="T32">
        <f>'product list'!P32</f>
        <v>11016</v>
      </c>
      <c r="Z32" t="s">
        <v>1259</v>
      </c>
    </row>
    <row r="33" spans="1:26" x14ac:dyDescent="0.25">
      <c r="A33" s="231"/>
      <c r="B33" s="231"/>
      <c r="C33" s="231"/>
      <c r="D33" s="231"/>
      <c r="E33" s="231"/>
      <c r="F33" s="231"/>
      <c r="G33" s="231"/>
      <c r="H33" s="231"/>
      <c r="I33" s="231"/>
      <c r="J33" s="231"/>
      <c r="K33" s="231"/>
      <c r="L33" s="231"/>
      <c r="N33" t="str">
        <f>'product list'!A33</f>
        <v>ord0032</v>
      </c>
      <c r="O33" t="str">
        <f t="shared" si="0"/>
        <v>February</v>
      </c>
      <c r="P33">
        <f>MATCH(LEFT(TRIM(MID('product list'!B33,FIND(",",'product list'!B33)+1,20)),3),{"jan","feb","mar","apr","may","jun","jul","aug","sep","oct","nov","dec"},0)</f>
        <v>2</v>
      </c>
      <c r="Q33" t="str">
        <f>'product list'!H33</f>
        <v>coimbatore</v>
      </c>
      <c r="R33" t="str">
        <f>'product list'!I33</f>
        <v>armory</v>
      </c>
      <c r="S33" t="str">
        <f>'product list'!L33</f>
        <v>pallavi</v>
      </c>
      <c r="T33">
        <f>'product list'!P33</f>
        <v>139403</v>
      </c>
      <c r="Z33" t="s">
        <v>1216</v>
      </c>
    </row>
    <row r="34" spans="1:26" x14ac:dyDescent="0.25">
      <c r="A34" s="231"/>
      <c r="B34" s="231"/>
      <c r="C34" s="231"/>
      <c r="D34" s="231"/>
      <c r="E34" s="231"/>
      <c r="F34" s="231"/>
      <c r="G34" s="231"/>
      <c r="H34" s="231"/>
      <c r="I34" s="231"/>
      <c r="J34" s="231"/>
      <c r="K34" s="231"/>
      <c r="L34" s="231"/>
      <c r="N34" t="str">
        <f>'product list'!A34</f>
        <v>ord0033</v>
      </c>
      <c r="O34" t="str">
        <f t="shared" ref="O34:O65" si="1">CHOOSE(P34,"January","February","March","April","May","June","July","August","September","October","November","December")</f>
        <v>February</v>
      </c>
      <c r="P34">
        <f>MATCH(LEFT(TRIM(MID('product list'!B34,FIND(",",'product list'!B34)+1,20)),3),{"jan","feb","mar","apr","may","jun","jul","aug","sep","oct","nov","dec"},0)</f>
        <v>2</v>
      </c>
      <c r="Q34" t="str">
        <f>'product list'!H34</f>
        <v>jaipur</v>
      </c>
      <c r="R34" t="str">
        <f>'product list'!I34</f>
        <v>medicine</v>
      </c>
      <c r="S34" t="str">
        <f>'product list'!L34</f>
        <v>arjun</v>
      </c>
      <c r="T34">
        <f>'product list'!P34</f>
        <v>109275</v>
      </c>
      <c r="Z34" t="s">
        <v>1221</v>
      </c>
    </row>
    <row r="35" spans="1:26" x14ac:dyDescent="0.25">
      <c r="A35" s="231"/>
      <c r="B35" s="231"/>
      <c r="C35" s="231"/>
      <c r="D35" s="231"/>
      <c r="E35" s="231"/>
      <c r="F35" s="231"/>
      <c r="G35" s="231"/>
      <c r="H35" s="231"/>
      <c r="I35" s="231"/>
      <c r="J35" s="231"/>
      <c r="K35" s="231"/>
      <c r="L35" s="231"/>
      <c r="N35" t="str">
        <f>'product list'!A35</f>
        <v>ord0034</v>
      </c>
      <c r="O35" t="str">
        <f t="shared" si="1"/>
        <v>February</v>
      </c>
      <c r="P35">
        <f>MATCH(LEFT(TRIM(MID('product list'!B35,FIND(",",'product list'!B35)+1,20)),3),{"jan","feb","mar","apr","may","jun","jul","aug","sep","oct","nov","dec"},0)</f>
        <v>2</v>
      </c>
      <c r="Q35" t="str">
        <f>'product list'!H35</f>
        <v>bengaluru</v>
      </c>
      <c r="R35" t="str">
        <f>'product list'!I35</f>
        <v>gym equpments</v>
      </c>
      <c r="S35" t="str">
        <f>'product list'!L35</f>
        <v>dinesh</v>
      </c>
      <c r="T35">
        <f>'product list'!P35</f>
        <v>119700</v>
      </c>
      <c r="Z35" t="s">
        <v>174</v>
      </c>
    </row>
    <row r="36" spans="1:26" x14ac:dyDescent="0.25">
      <c r="A36" s="231"/>
      <c r="B36" s="231"/>
      <c r="C36" s="231"/>
      <c r="D36" s="231"/>
      <c r="E36" s="231"/>
      <c r="F36" s="231"/>
      <c r="G36" s="231"/>
      <c r="H36" s="231"/>
      <c r="I36" s="231"/>
      <c r="J36" s="231"/>
      <c r="K36" s="231"/>
      <c r="L36" s="231"/>
      <c r="N36" t="str">
        <f>'product list'!A36</f>
        <v>ord0035</v>
      </c>
      <c r="O36" t="str">
        <f t="shared" si="1"/>
        <v>February</v>
      </c>
      <c r="P36">
        <f>MATCH(LEFT(TRIM(MID('product list'!B36,FIND(",",'product list'!B36)+1,20)),3),{"jan","feb","mar","apr","may","jun","jul","aug","sep","oct","nov","dec"},0)</f>
        <v>2</v>
      </c>
      <c r="Q36" t="str">
        <f>'product list'!H36</f>
        <v>faridabad</v>
      </c>
      <c r="R36" t="str">
        <f>'product list'!I36</f>
        <v>gym equpments</v>
      </c>
      <c r="S36" t="str">
        <f>'product list'!L36</f>
        <v>garima</v>
      </c>
      <c r="T36">
        <f>'product list'!P36</f>
        <v>28210</v>
      </c>
      <c r="Z36" t="s">
        <v>73</v>
      </c>
    </row>
    <row r="37" spans="1:26" x14ac:dyDescent="0.25">
      <c r="A37" s="231"/>
      <c r="B37" s="231"/>
      <c r="C37" s="231"/>
      <c r="D37" s="231"/>
      <c r="E37" s="231"/>
      <c r="F37" s="231"/>
      <c r="G37" s="231"/>
      <c r="H37" s="231"/>
      <c r="I37" s="231"/>
      <c r="J37" s="231"/>
      <c r="K37" s="231"/>
      <c r="L37" s="231"/>
      <c r="N37" t="str">
        <f>'product list'!A37</f>
        <v>ord0036</v>
      </c>
      <c r="O37" t="str">
        <f t="shared" si="1"/>
        <v>February</v>
      </c>
      <c r="P37">
        <f>MATCH(LEFT(TRIM(MID('product list'!B37,FIND(",",'product list'!B37)+1,20)),3),{"jan","feb","mar","apr","may","jun","jul","aug","sep","oct","nov","dec"},0)</f>
        <v>2</v>
      </c>
      <c r="Q37" t="str">
        <f>'product list'!H37</f>
        <v>bhubaneswar</v>
      </c>
      <c r="R37" t="str">
        <f>'product list'!I37</f>
        <v>armory</v>
      </c>
      <c r="S37" t="str">
        <f>'product list'!L37</f>
        <v>gorev</v>
      </c>
      <c r="T37">
        <f>'product list'!P37</f>
        <v>37908</v>
      </c>
      <c r="Z37" t="s">
        <v>1231</v>
      </c>
    </row>
    <row r="38" spans="1:26" x14ac:dyDescent="0.25">
      <c r="A38" s="231"/>
      <c r="B38" s="231"/>
      <c r="C38" s="231"/>
      <c r="D38" s="231"/>
      <c r="E38" s="231"/>
      <c r="F38" s="231"/>
      <c r="G38" s="231"/>
      <c r="H38" s="231"/>
      <c r="I38" s="231"/>
      <c r="J38" s="231"/>
      <c r="K38" s="231"/>
      <c r="L38" s="231"/>
      <c r="N38" t="str">
        <f>'product list'!A38</f>
        <v>ord0037</v>
      </c>
      <c r="O38" t="str">
        <f t="shared" si="1"/>
        <v>February</v>
      </c>
      <c r="P38">
        <f>MATCH(LEFT(TRIM(MID('product list'!B38,FIND(",",'product list'!B38)+1,20)),3),{"jan","feb","mar","apr","may","jun","jul","aug","sep","oct","nov","dec"},0)</f>
        <v>2</v>
      </c>
      <c r="Q38" t="str">
        <f>'product list'!H38</f>
        <v>dehradun</v>
      </c>
      <c r="R38" t="str">
        <f>'product list'!I38</f>
        <v>supplyments</v>
      </c>
      <c r="S38" t="str">
        <f>'product list'!L38</f>
        <v>ushank</v>
      </c>
      <c r="T38">
        <f>'product list'!P38</f>
        <v>38416</v>
      </c>
      <c r="Z38" t="s">
        <v>227</v>
      </c>
    </row>
    <row r="39" spans="1:26" x14ac:dyDescent="0.25">
      <c r="A39" s="231"/>
      <c r="B39" s="231"/>
      <c r="C39" s="231"/>
      <c r="D39" s="231"/>
      <c r="E39" s="231"/>
      <c r="F39" s="231"/>
      <c r="G39" s="231"/>
      <c r="H39" s="231"/>
      <c r="I39" s="231"/>
      <c r="J39" s="231"/>
      <c r="K39" s="231"/>
      <c r="L39" s="231"/>
      <c r="N39" t="str">
        <f>'product list'!A39</f>
        <v>ord0038</v>
      </c>
      <c r="O39" t="str">
        <f t="shared" si="1"/>
        <v>February</v>
      </c>
      <c r="P39">
        <f>MATCH(LEFT(TRIM(MID('product list'!B39,FIND(",",'product list'!B39)+1,20)),3),{"jan","feb","mar","apr","may","jun","jul","aug","sep","oct","nov","dec"},0)</f>
        <v>2</v>
      </c>
      <c r="Q39" t="str">
        <f>'product list'!H39</f>
        <v>kolkata</v>
      </c>
      <c r="R39" t="str">
        <f>'product list'!I39</f>
        <v>supplyments</v>
      </c>
      <c r="S39" t="str">
        <f>'product list'!L39</f>
        <v>vidhi</v>
      </c>
      <c r="T39">
        <f>'product list'!P39</f>
        <v>111469</v>
      </c>
      <c r="Z39" t="s">
        <v>193</v>
      </c>
    </row>
    <row r="40" spans="1:26" x14ac:dyDescent="0.25">
      <c r="A40" s="231"/>
      <c r="B40" s="231"/>
      <c r="C40" s="231"/>
      <c r="D40" s="231"/>
      <c r="E40" s="231"/>
      <c r="F40" s="231"/>
      <c r="G40" s="231"/>
      <c r="H40" s="231"/>
      <c r="I40" s="231"/>
      <c r="J40" s="231"/>
      <c r="K40" s="231"/>
      <c r="L40" s="231"/>
      <c r="N40" t="str">
        <f>'product list'!A40</f>
        <v>ord0039</v>
      </c>
      <c r="O40" t="str">
        <f t="shared" si="1"/>
        <v>February</v>
      </c>
      <c r="P40">
        <f>MATCH(LEFT(TRIM(MID('product list'!B40,FIND(",",'product list'!B40)+1,20)),3),{"jan","feb","mar","apr","may","jun","jul","aug","sep","oct","nov","dec"},0)</f>
        <v>2</v>
      </c>
      <c r="Q40" t="str">
        <f>'product list'!H40</f>
        <v>hyderabad</v>
      </c>
      <c r="R40" t="str">
        <f>'product list'!I40</f>
        <v>armory</v>
      </c>
      <c r="S40" t="str">
        <f>'product list'!L40</f>
        <v>anshu</v>
      </c>
      <c r="T40">
        <f>'product list'!P40</f>
        <v>151932</v>
      </c>
      <c r="Z40" t="s">
        <v>155</v>
      </c>
    </row>
    <row r="41" spans="1:26" x14ac:dyDescent="0.25">
      <c r="A41" s="231"/>
      <c r="B41" s="231"/>
      <c r="C41" s="231"/>
      <c r="D41" s="231"/>
      <c r="E41" s="231"/>
      <c r="F41" s="231"/>
      <c r="G41" s="231"/>
      <c r="H41" s="231"/>
      <c r="I41" s="231"/>
      <c r="J41" s="231"/>
      <c r="K41" s="231"/>
      <c r="L41" s="231"/>
      <c r="N41" t="str">
        <f>'product list'!A41</f>
        <v>ord0040</v>
      </c>
      <c r="O41" t="str">
        <f t="shared" si="1"/>
        <v>February</v>
      </c>
      <c r="P41">
        <f>MATCH(LEFT(TRIM(MID('product list'!B41,FIND(",",'product list'!B41)+1,20)),3),{"jan","feb","mar","apr","may","jun","jul","aug","sep","oct","nov","dec"},0)</f>
        <v>2</v>
      </c>
      <c r="Q41" t="str">
        <f>'product list'!H41</f>
        <v>pune</v>
      </c>
      <c r="R41" t="str">
        <f>'product list'!I41</f>
        <v>vahicals</v>
      </c>
      <c r="S41" t="str">
        <f>'product list'!L41</f>
        <v>juhi</v>
      </c>
      <c r="T41">
        <f>'product list'!P41</f>
        <v>39220</v>
      </c>
      <c r="Z41" t="s">
        <v>168</v>
      </c>
    </row>
    <row r="42" spans="1:26" x14ac:dyDescent="0.25">
      <c r="A42" s="231"/>
      <c r="B42" s="231"/>
      <c r="C42" s="231"/>
      <c r="D42" s="231"/>
      <c r="E42" s="231"/>
      <c r="F42" s="231"/>
      <c r="G42" s="231"/>
      <c r="H42" s="231"/>
      <c r="I42" s="231"/>
      <c r="J42" s="231"/>
      <c r="K42" s="231"/>
      <c r="L42" s="231"/>
      <c r="N42" t="str">
        <f>'product list'!A42</f>
        <v>ord0041</v>
      </c>
      <c r="O42" t="str">
        <f t="shared" si="1"/>
        <v>February</v>
      </c>
      <c r="P42">
        <f>MATCH(LEFT(TRIM(MID('product list'!B42,FIND(",",'product list'!B42)+1,20)),3),{"jan","feb","mar","apr","may","jun","jul","aug","sep","oct","nov","dec"},0)</f>
        <v>2</v>
      </c>
      <c r="Q42" t="str">
        <f>'product list'!H42</f>
        <v>mumbai</v>
      </c>
      <c r="R42" t="str">
        <f>'product list'!I42</f>
        <v>clothes</v>
      </c>
      <c r="S42" t="str">
        <f>'product list'!L42</f>
        <v>prakash</v>
      </c>
      <c r="T42">
        <f>'product list'!P42</f>
        <v>55132</v>
      </c>
      <c r="Z42" t="s">
        <v>138</v>
      </c>
    </row>
    <row r="43" spans="1:26" x14ac:dyDescent="0.25">
      <c r="A43" s="231"/>
      <c r="B43" s="231"/>
      <c r="C43" s="231"/>
      <c r="D43" s="231"/>
      <c r="E43" s="231"/>
      <c r="F43" s="231"/>
      <c r="G43" s="231"/>
      <c r="H43" s="231"/>
      <c r="I43" s="231"/>
      <c r="J43" s="231"/>
      <c r="K43" s="231"/>
      <c r="L43" s="231"/>
      <c r="N43" t="str">
        <f>'product list'!A43</f>
        <v>ord0042</v>
      </c>
      <c r="O43" t="str">
        <f t="shared" si="1"/>
        <v>February</v>
      </c>
      <c r="P43">
        <f>MATCH(LEFT(TRIM(MID('product list'!B43,FIND(",",'product list'!B43)+1,20)),3),{"jan","feb","mar","apr","may","jun","jul","aug","sep","oct","nov","dec"},0)</f>
        <v>2</v>
      </c>
      <c r="Q43" t="str">
        <f>'product list'!H43</f>
        <v>chennai</v>
      </c>
      <c r="R43" t="str">
        <f>'product list'!I43</f>
        <v>clothes</v>
      </c>
      <c r="S43" t="str">
        <f>'product list'!L43</f>
        <v>nikita</v>
      </c>
      <c r="T43">
        <f>'product list'!P43</f>
        <v>169272</v>
      </c>
      <c r="Z43" t="s">
        <v>1292</v>
      </c>
    </row>
    <row r="44" spans="1:26" x14ac:dyDescent="0.25">
      <c r="A44" s="231"/>
      <c r="B44" s="231"/>
      <c r="C44" s="231"/>
      <c r="D44" s="231"/>
      <c r="E44" s="231"/>
      <c r="F44" s="231"/>
      <c r="G44" s="231"/>
      <c r="H44" s="231"/>
      <c r="I44" s="231"/>
      <c r="J44" s="231"/>
      <c r="K44" s="231"/>
      <c r="L44" s="231"/>
      <c r="N44" t="str">
        <f>'product list'!A44</f>
        <v>ord0043</v>
      </c>
      <c r="O44" t="str">
        <f t="shared" si="1"/>
        <v>February</v>
      </c>
      <c r="P44">
        <f>MATCH(LEFT(TRIM(MID('product list'!B44,FIND(",",'product list'!B44)+1,20)),3),{"jan","feb","mar","apr","may","jun","jul","aug","sep","oct","nov","dec"},0)</f>
        <v>2</v>
      </c>
      <c r="Q44" t="str">
        <f>'product list'!H44</f>
        <v>ahmedabad</v>
      </c>
      <c r="R44" t="str">
        <f>'product list'!I44</f>
        <v>electronic</v>
      </c>
      <c r="S44" t="str">
        <f>'product list'!L44</f>
        <v>shivam</v>
      </c>
      <c r="T44">
        <f>'product list'!P44</f>
        <v>160810</v>
      </c>
      <c r="Z44" t="s">
        <v>319</v>
      </c>
    </row>
    <row r="45" spans="1:26" x14ac:dyDescent="0.25">
      <c r="A45" s="231"/>
      <c r="B45" s="231"/>
      <c r="C45" s="231"/>
      <c r="D45" s="231"/>
      <c r="E45" s="231"/>
      <c r="F45" s="231"/>
      <c r="G45" s="231"/>
      <c r="H45" s="231"/>
      <c r="I45" s="231"/>
      <c r="J45" s="231"/>
      <c r="K45" s="231"/>
      <c r="L45" s="231"/>
      <c r="N45" t="str">
        <f>'product list'!A45</f>
        <v>ord0044</v>
      </c>
      <c r="O45" t="str">
        <f t="shared" si="1"/>
        <v>February</v>
      </c>
      <c r="P45">
        <f>MATCH(LEFT(TRIM(MID('product list'!B45,FIND(",",'product list'!B45)+1,20)),3),{"jan","feb","mar","apr","may","jun","jul","aug","sep","oct","nov","dec"},0)</f>
        <v>2</v>
      </c>
      <c r="Q45" t="str">
        <f>'product list'!H45</f>
        <v>new delhi</v>
      </c>
      <c r="R45" t="str">
        <f>'product list'!I45</f>
        <v>beauty</v>
      </c>
      <c r="S45" t="str">
        <f>'product list'!L45</f>
        <v>alisha</v>
      </c>
      <c r="T45">
        <f>'product list'!P45</f>
        <v>16560</v>
      </c>
      <c r="Z45" t="s">
        <v>1245</v>
      </c>
    </row>
    <row r="46" spans="1:26" ht="15.75" thickBot="1" x14ac:dyDescent="0.3">
      <c r="A46" s="231"/>
      <c r="B46" s="231"/>
      <c r="C46" s="231"/>
      <c r="D46" s="231"/>
      <c r="E46" s="231"/>
      <c r="F46" s="231"/>
      <c r="G46" s="231"/>
      <c r="H46" s="231"/>
      <c r="I46" s="231"/>
      <c r="J46" s="231"/>
      <c r="K46" s="231"/>
      <c r="L46" s="231"/>
      <c r="N46" t="str">
        <f>'product list'!A46</f>
        <v>ord0045</v>
      </c>
      <c r="O46" t="str">
        <f t="shared" si="1"/>
        <v>February</v>
      </c>
      <c r="P46">
        <f>MATCH(LEFT(TRIM(MID('product list'!B46,FIND(",",'product list'!B46)+1,20)),3),{"jan","feb","mar","apr","may","jun","jul","aug","sep","oct","nov","dec"},0)</f>
        <v>2</v>
      </c>
      <c r="Q46" t="str">
        <f>'product list'!H46</f>
        <v>ahmedabad</v>
      </c>
      <c r="R46" t="str">
        <f>'product list'!I46</f>
        <v>supplyments</v>
      </c>
      <c r="S46" t="str">
        <f>'product list'!L46</f>
        <v>bhawesh</v>
      </c>
      <c r="T46">
        <f>'product list'!P46</f>
        <v>29760</v>
      </c>
      <c r="Z46" t="s">
        <v>239</v>
      </c>
    </row>
    <row r="47" spans="1:26" ht="15.75" hidden="1" thickBot="1" x14ac:dyDescent="0.3">
      <c r="A47" s="240" t="s">
        <v>1467</v>
      </c>
      <c r="B47" s="240"/>
      <c r="C47" s="240"/>
      <c r="D47" s="240"/>
      <c r="E47" s="240"/>
      <c r="F47" s="240"/>
      <c r="G47" s="240"/>
      <c r="H47" s="240"/>
      <c r="I47" s="240"/>
      <c r="J47" s="240"/>
      <c r="K47" s="240"/>
      <c r="L47" s="241"/>
      <c r="M47" s="232"/>
      <c r="N47" s="232" t="str">
        <f>'product list'!A47</f>
        <v>ord0046</v>
      </c>
      <c r="O47" s="232" t="str">
        <f t="shared" si="1"/>
        <v>February</v>
      </c>
      <c r="P47" s="232">
        <f>MATCH(LEFT(TRIM(MID('product list'!B47,FIND(",",'product list'!B47)+1,20)),3),{"jan","feb","mar","apr","may","jun","jul","aug","sep","oct","nov","dec"},0)</f>
        <v>2</v>
      </c>
      <c r="Q47" s="232" t="str">
        <f>'product list'!H47</f>
        <v>bengaluru</v>
      </c>
      <c r="R47" s="232" t="str">
        <f>'product list'!I47</f>
        <v>toys</v>
      </c>
      <c r="S47" s="232" t="str">
        <f>'product list'!L47</f>
        <v>monika</v>
      </c>
      <c r="T47" s="232">
        <f>'product list'!P47</f>
        <v>4647192</v>
      </c>
      <c r="U47" s="234" t="s">
        <v>1482</v>
      </c>
      <c r="V47" s="234"/>
      <c r="Z47" t="s">
        <v>1212</v>
      </c>
    </row>
    <row r="48" spans="1:26" x14ac:dyDescent="0.25">
      <c r="A48" s="242" t="s">
        <v>1095</v>
      </c>
      <c r="B48" s="242" t="s">
        <v>1468</v>
      </c>
      <c r="C48" s="242"/>
      <c r="D48" s="242" t="s">
        <v>1456</v>
      </c>
      <c r="E48" s="242" t="s">
        <v>1468</v>
      </c>
      <c r="F48" s="242"/>
      <c r="G48" s="242" t="s">
        <v>1457</v>
      </c>
      <c r="H48" s="242" t="s">
        <v>1468</v>
      </c>
      <c r="I48" s="242"/>
      <c r="J48" s="242" t="s">
        <v>1008</v>
      </c>
      <c r="K48" s="242" t="s">
        <v>1468</v>
      </c>
      <c r="L48" s="231"/>
      <c r="N48" t="str">
        <f>'product list'!A48</f>
        <v>ord0047</v>
      </c>
      <c r="O48" t="str">
        <f t="shared" si="1"/>
        <v>February</v>
      </c>
      <c r="P48">
        <f>MATCH(LEFT(TRIM(MID('product list'!B48,FIND(",",'product list'!B48)+1,20)),3),{"jan","feb","mar","apr","may","jun","jul","aug","sep","oct","nov","dec"},0)</f>
        <v>2</v>
      </c>
      <c r="Q48" t="str">
        <f>'product list'!H48</f>
        <v>bengaluru</v>
      </c>
      <c r="R48" t="str">
        <f>'product list'!I48</f>
        <v>medicine</v>
      </c>
      <c r="S48" t="str">
        <f>'product list'!L48</f>
        <v>vishal</v>
      </c>
      <c r="T48">
        <f>'product list'!P48</f>
        <v>9900</v>
      </c>
      <c r="U48" s="233" t="s">
        <v>1457</v>
      </c>
      <c r="V48" s="233" t="s">
        <v>1468</v>
      </c>
      <c r="Z48" t="s">
        <v>1236</v>
      </c>
    </row>
    <row r="49" spans="1:26" x14ac:dyDescent="0.25">
      <c r="A49" s="231" t="s">
        <v>1230</v>
      </c>
      <c r="B49" s="235" cm="1">
        <f t="array" ref="B49">SUMPRODUCT($T$2:$T$180,--($Q$2:$Q$180=A49),--($P$2:$P$180&gt;=IF($B$4="All",1,MATCH($B$4,{"January","February","March","April","May","June","July","August","September","October","November","December"},0))),--($P$2:$P$180&lt;=IF($D$4="All",12,MATCH($D$4,{"January","February","March","April","May","June","July","August","September","October","November","December"},0))),--((($F$4="All")+($Q$2:$Q$180=$F$4))&gt;0),--((($H$4="All")+($R$2:$R$180=$H$4))&gt;0),--((($J$4="All")+($S$2:$S$180=$J$4))&gt;0))</f>
        <v>190570</v>
      </c>
      <c r="C49" s="231"/>
      <c r="D49" s="231" t="s">
        <v>250</v>
      </c>
      <c r="E49" s="235" cm="1">
        <f t="array" ref="E49">SUMPRODUCT($T$2:$T$180,--($R$2:$R$180=D49),--($P$2:$P$180&gt;=IF($B$4="All",1,MATCH($B$4,{"January","February","March","April","May","June","July","August","September","October","November","December"},0))),--($P$2:$P$180&lt;=IF($D$4="All",12,MATCH($D$4,{"January","February","March","April","May","June","July","August","September","October","November","December"},0))),--((($F$4="All")+($Q$2:$Q$180=$F$4))&gt;0),--((($H$4="All")+($R$2:$R$180=$H$4))&gt;0),--((($J$4="All")+($S$2:$S$180=$J$4))&gt;0))</f>
        <v>329243</v>
      </c>
      <c r="F49" s="231"/>
      <c r="G49" s="231" t="s">
        <v>354</v>
      </c>
      <c r="H49" s="235" cm="1">
        <f t="array" ref="H49">SUMPRODUCT($T$2:$T$180,--($S$2:$S$180=G49),--($P$2:$P$180&gt;=IF($B$4="All",1,MATCH($B$4,{"January","February","March","April","May","June","July","August","September","October","November","December"},0))),--($P$2:$P$180&lt;=IF($D$4="All",12,MATCH($D$4,{"January","February","March","April","May","June","July","August","September","October","November","December"},0))),--((($F$4="All")+($Q$2:$Q$180=$F$4))&gt;0),--((($H$4="All")+($R$2:$R$180=$H$4))&gt;0),--((($J$4="All")+($S$2:$S$180=$J$4))&gt;0))</f>
        <v>520641</v>
      </c>
      <c r="I49" s="231"/>
      <c r="J49" s="231" t="s">
        <v>1469</v>
      </c>
      <c r="K49" s="235" cm="1">
        <f t="array" ref="K49">SUMPRODUCT($T$2:$T$180,--($P$2:$P$180=ROWS($K$49:K49)),--($P$2:$P$180&gt;=IF($B$4="All",1,MATCH($B$4,{"January","February","March","April","May","June","July","August","September","October","November","December"},0))),--($P$2:$P$180&lt;=IF($D$4="All",12,MATCH($D$4,{"January","February","March","April","May","June","July","August","September","October","November","December"},0))),--((($F$4="All")+($Q$2:$Q$180=$F$4))&gt;0),--((($H$4="All")+($R$2:$R$180=$H$4))&gt;0),--((($J$4="All")+($S$2:$S$180=$J$4))&gt;0))</f>
        <v>21582961</v>
      </c>
      <c r="L49" s="231"/>
      <c r="N49" t="str">
        <f>'product list'!A49</f>
        <v>ord0048</v>
      </c>
      <c r="O49" t="str">
        <f t="shared" si="1"/>
        <v>February</v>
      </c>
      <c r="P49">
        <f>MATCH(LEFT(TRIM(MID('product list'!B49,FIND(",",'product list'!B49)+1,20)),3),{"jan","feb","mar","apr","may","jun","jul","aug","sep","oct","nov","dec"},0)</f>
        <v>2</v>
      </c>
      <c r="Q49" t="str">
        <f>'product list'!H49</f>
        <v>gurugram</v>
      </c>
      <c r="R49" t="str">
        <f>'product list'!I49</f>
        <v>clothes</v>
      </c>
      <c r="S49" t="str">
        <f>'product list'!L49</f>
        <v>sana</v>
      </c>
      <c r="T49">
        <f>'product list'!P49</f>
        <v>38192</v>
      </c>
      <c r="U49" t="str">
        <f>INDEX($G$49:$G$98,MATCH(LARGE($H$49:$H$98,ROWS($U$49:U49)),$H$49:$H$98,0))</f>
        <v>poonam</v>
      </c>
      <c r="V49" s="235">
        <f>LARGE($H$49:$H$98,ROWS($V$49:V49))</f>
        <v>9303525</v>
      </c>
      <c r="Z49" t="s">
        <v>1249</v>
      </c>
    </row>
    <row r="50" spans="1:26" x14ac:dyDescent="0.25">
      <c r="A50" s="231" t="s">
        <v>1211</v>
      </c>
      <c r="B50" s="235" cm="1">
        <f t="array" ref="B50">SUMPRODUCT($T$2:$T$180,--($Q$2:$Q$180=A50),--($P$2:$P$180&gt;=IF($B$4="All",1,MATCH($B$4,{"January","February","March","April","May","June","July","August","September","October","November","December"},0))),--($P$2:$P$180&lt;=IF($D$4="All",12,MATCH($D$4,{"January","February","March","April","May","June","July","August","September","October","November","December"},0))),--((($F$4="All")+($Q$2:$Q$180=$F$4))&gt;0),--((($H$4="All")+($R$2:$R$180=$H$4))&gt;0),--((($J$4="All")+($S$2:$S$180=$J$4))&gt;0))</f>
        <v>4818912</v>
      </c>
      <c r="C50" s="231"/>
      <c r="D50" s="231" t="s">
        <v>118</v>
      </c>
      <c r="E50" s="235" cm="1">
        <f t="array" ref="E50">SUMPRODUCT($T$2:$T$180,--($R$2:$R$180=D50),--($P$2:$P$180&gt;=IF($B$4="All",1,MATCH($B$4,{"January","February","March","April","May","June","July","August","September","October","November","December"},0))),--($P$2:$P$180&lt;=IF($D$4="All",12,MATCH($D$4,{"January","February","March","April","May","June","July","August","September","October","November","December"},0))),--((($F$4="All")+($Q$2:$Q$180=$F$4))&gt;0),--((($H$4="All")+($R$2:$R$180=$H$4))&gt;0),--((($J$4="All")+($S$2:$S$180=$J$4))&gt;0))</f>
        <v>140112</v>
      </c>
      <c r="F50" s="231"/>
      <c r="G50" s="231" t="s">
        <v>1282</v>
      </c>
      <c r="H50" s="235" cm="1">
        <f t="array" ref="H50">SUMPRODUCT($T$2:$T$180,--($S$2:$S$180=G50),--($P$2:$P$180&gt;=IF($B$4="All",1,MATCH($B$4,{"January","February","March","April","May","June","July","August","September","October","November","December"},0))),--($P$2:$P$180&lt;=IF($D$4="All",12,MATCH($D$4,{"January","February","March","April","May","June","July","August","September","October","November","December"},0))),--((($F$4="All")+($Q$2:$Q$180=$F$4))&gt;0),--((($H$4="All")+($R$2:$R$180=$H$4))&gt;0),--((($J$4="All")+($S$2:$S$180=$J$4))&gt;0))</f>
        <v>16560</v>
      </c>
      <c r="I50" s="231"/>
      <c r="J50" s="231" t="s">
        <v>1470</v>
      </c>
      <c r="K50" s="235" cm="1">
        <f t="array" ref="K50">SUMPRODUCT($T$2:$T$180,--($P$2:$P$180=ROWS($K$49:K50)),--($P$2:$P$180&gt;=IF($B$4="All",1,MATCH($B$4,{"January","February","March","April","May","June","July","August","September","October","November","December"},0))),--($P$2:$P$180&lt;=IF($D$4="All",12,MATCH($D$4,{"January","February","March","April","May","June","July","August","September","October","November","December"},0))),--((($F$4="All")+($Q$2:$Q$180=$F$4))&gt;0),--((($H$4="All")+($R$2:$R$180=$H$4))&gt;0),--((($J$4="All")+($S$2:$S$180=$J$4))&gt;0))</f>
        <v>8754198</v>
      </c>
      <c r="L50" s="231"/>
      <c r="N50" t="str">
        <f>'product list'!A50</f>
        <v>ord0049</v>
      </c>
      <c r="O50" t="str">
        <f t="shared" si="1"/>
        <v>February</v>
      </c>
      <c r="P50">
        <f>MATCH(LEFT(TRIM(MID('product list'!B50,FIND(",",'product list'!B50)+1,20)),3),{"jan","feb","mar","apr","may","jun","jul","aug","sep","oct","nov","dec"},0)</f>
        <v>2</v>
      </c>
      <c r="Q50" t="str">
        <f>'product list'!H50</f>
        <v>hyderabad</v>
      </c>
      <c r="R50" t="str">
        <f>'product list'!I50</f>
        <v>electronic</v>
      </c>
      <c r="S50" t="str">
        <f>'product list'!L50</f>
        <v>akash</v>
      </c>
      <c r="T50">
        <f>'product list'!P50</f>
        <v>520641</v>
      </c>
      <c r="U50" t="str">
        <f>INDEX($G$49:$G$98,MATCH(LARGE($H$49:$H$98,ROWS($U$49:U50)),$H$49:$H$98,0))</f>
        <v>rohit</v>
      </c>
      <c r="V50" s="235">
        <f>LARGE($H$49:$H$98,ROWS($V$49:V50))</f>
        <v>7436536</v>
      </c>
      <c r="Z50" t="s">
        <v>284</v>
      </c>
    </row>
    <row r="51" spans="1:26" x14ac:dyDescent="0.25">
      <c r="A51" s="231" t="s">
        <v>1267</v>
      </c>
      <c r="B51" s="235" cm="1">
        <f t="array" ref="B51">SUMPRODUCT($T$2:$T$180,--($Q$2:$Q$180=A51),--($P$2:$P$180&gt;=IF($B$4="All",1,MATCH($B$4,{"January","February","March","April","May","June","July","August","September","October","November","December"},0))),--($P$2:$P$180&lt;=IF($D$4="All",12,MATCH($D$4,{"January","February","March","April","May","June","July","August","September","October","November","December"},0))),--((($F$4="All")+($Q$2:$Q$180=$F$4))&gt;0),--((($H$4="All")+($R$2:$R$180=$H$4))&gt;0),--((($J$4="All")+($S$2:$S$180=$J$4))&gt;0))</f>
        <v>42858</v>
      </c>
      <c r="C51" s="231"/>
      <c r="D51" s="231" t="s">
        <v>74</v>
      </c>
      <c r="E51" s="235" cm="1">
        <f t="array" ref="E51">SUMPRODUCT($T$2:$T$180,--($R$2:$R$180=D51),--($P$2:$P$180&gt;=IF($B$4="All",1,MATCH($B$4,{"January","February","March","April","May","June","July","August","September","October","November","December"},0))),--($P$2:$P$180&lt;=IF($D$4="All",12,MATCH($D$4,{"January","February","March","April","May","June","July","August","September","October","November","December"},0))),--((($F$4="All")+($Q$2:$Q$180=$F$4))&gt;0),--((($H$4="All")+($R$2:$R$180=$H$4))&gt;0),--((($J$4="All")+($S$2:$S$180=$J$4))&gt;0))</f>
        <v>85940</v>
      </c>
      <c r="F51" s="231"/>
      <c r="G51" s="231" t="s">
        <v>120</v>
      </c>
      <c r="H51" s="235" cm="1">
        <f t="array" ref="H51">SUMPRODUCT($T$2:$T$180,--($S$2:$S$180=G51),--($P$2:$P$180&gt;=IF($B$4="All",1,MATCH($B$4,{"January","February","March","April","May","June","July","August","September","October","November","December"},0))),--($P$2:$P$180&lt;=IF($D$4="All",12,MATCH($D$4,{"January","February","March","April","May","June","July","August","September","October","November","December"},0))),--((($F$4="All")+($Q$2:$Q$180=$F$4))&gt;0),--((($H$4="All")+($R$2:$R$180=$H$4))&gt;0),--((($J$4="All")+($S$2:$S$180=$J$4))&gt;0))</f>
        <v>4950</v>
      </c>
      <c r="I51" s="231"/>
      <c r="J51" s="231" t="s">
        <v>1471</v>
      </c>
      <c r="K51" s="235" cm="1">
        <f t="array" ref="K51">SUMPRODUCT($T$2:$T$180,--($P$2:$P$180=ROWS($K$49:K51)),--($P$2:$P$180&gt;=IF($B$4="All",1,MATCH($B$4,{"January","February","March","April","May","June","July","August","September","October","November","December"},0))),--($P$2:$P$180&lt;=IF($D$4="All",12,MATCH($D$4,{"January","February","March","April","May","June","July","August","September","October","November","December"},0))),--((($F$4="All")+($Q$2:$Q$180=$F$4))&gt;0),--((($H$4="All")+($R$2:$R$180=$H$4))&gt;0),--((($J$4="All")+($S$2:$S$180=$J$4))&gt;0))</f>
        <v>0</v>
      </c>
      <c r="L51" s="231"/>
      <c r="N51" t="str">
        <f>'product list'!A51</f>
        <v>ord0050</v>
      </c>
      <c r="O51" t="str">
        <f t="shared" si="1"/>
        <v>February</v>
      </c>
      <c r="P51">
        <f>MATCH(LEFT(TRIM(MID('product list'!B51,FIND(",",'product list'!B51)+1,20)),3),{"jan","feb","mar","apr","may","jun","jul","aug","sep","oct","nov","dec"},0)</f>
        <v>2</v>
      </c>
      <c r="Q51" t="str">
        <f>'product list'!H51</f>
        <v>gurugram</v>
      </c>
      <c r="R51" t="str">
        <f>'product list'!I51</f>
        <v>gym equpments</v>
      </c>
      <c r="S51" t="str">
        <f>'product list'!L51</f>
        <v>meenakshi</v>
      </c>
      <c r="T51">
        <f>'product list'!P51</f>
        <v>21420</v>
      </c>
      <c r="U51" t="str">
        <f>INDEX($G$49:$G$98,MATCH(LARGE($H$49:$H$98,ROWS($U$49:U51)),$H$49:$H$98,0))</f>
        <v>monika</v>
      </c>
      <c r="V51" s="235">
        <f>LARGE($H$49:$H$98,ROWS($V$49:V51))</f>
        <v>4647192</v>
      </c>
      <c r="Z51" t="s">
        <v>1268</v>
      </c>
    </row>
    <row r="52" spans="1:26" x14ac:dyDescent="0.25">
      <c r="A52" s="231" t="s">
        <v>1244</v>
      </c>
      <c r="B52" s="235" cm="1">
        <f t="array" ref="B52">SUMPRODUCT($T$2:$T$180,--($Q$2:$Q$180=A52),--($P$2:$P$180&gt;=IF($B$4="All",1,MATCH($B$4,{"January","February","March","April","May","June","July","August","September","October","November","December"},0))),--($P$2:$P$180&lt;=IF($D$4="All",12,MATCH($D$4,{"January","February","March","April","May","June","July","August","September","October","November","December"},0))),--((($F$4="All")+($Q$2:$Q$180=$F$4))&gt;0),--((($H$4="All")+($R$2:$R$180=$H$4))&gt;0),--((($J$4="All")+($S$2:$S$180=$J$4))&gt;0))</f>
        <v>0</v>
      </c>
      <c r="C52" s="231"/>
      <c r="D52" s="231" t="s">
        <v>160</v>
      </c>
      <c r="E52" s="235" cm="1">
        <f t="array" ref="E52">SUMPRODUCT($T$2:$T$180,--($R$2:$R$180=D52),--($P$2:$P$180&gt;=IF($B$4="All",1,MATCH($B$4,{"January","February","March","April","May","June","July","August","September","October","November","December"},0))),--($P$2:$P$180&lt;=IF($D$4="All",12,MATCH($D$4,{"January","February","March","April","May","June","July","August","September","October","November","December"},0))),--((($F$4="All")+($Q$2:$Q$180=$F$4))&gt;0),--((($H$4="All")+($R$2:$R$180=$H$4))&gt;0),--((($J$4="All")+($S$2:$S$180=$J$4))&gt;0))</f>
        <v>556362</v>
      </c>
      <c r="F52" s="231"/>
      <c r="G52" s="231" t="s">
        <v>1207</v>
      </c>
      <c r="H52" s="235" cm="1">
        <f t="array" ref="H52">SUMPRODUCT($T$2:$T$180,--($S$2:$S$180=G52),--($P$2:$P$180&gt;=IF($B$4="All",1,MATCH($B$4,{"January","February","March","April","May","June","July","August","September","October","November","December"},0))),--($P$2:$P$180&lt;=IF($D$4="All",12,MATCH($D$4,{"January","February","March","April","May","June","July","August","September","October","November","December"},0))),--((($F$4="All")+($Q$2:$Q$180=$F$4))&gt;0),--((($H$4="All")+($R$2:$R$180=$H$4))&gt;0),--((($J$4="All")+($S$2:$S$180=$J$4))&gt;0))</f>
        <v>160350</v>
      </c>
      <c r="I52" s="231"/>
      <c r="J52" s="231" t="s">
        <v>1472</v>
      </c>
      <c r="K52" s="235" cm="1">
        <f t="array" ref="K52">SUMPRODUCT($T$2:$T$180,--($P$2:$P$180=ROWS($K$49:K52)),--($P$2:$P$180&gt;=IF($B$4="All",1,MATCH($B$4,{"January","February","March","April","May","June","July","August","September","October","November","December"},0))),--($P$2:$P$180&lt;=IF($D$4="All",12,MATCH($D$4,{"January","February","March","April","May","June","July","August","September","October","November","December"},0))),--((($F$4="All")+($Q$2:$Q$180=$F$4))&gt;0),--((($H$4="All")+($R$2:$R$180=$H$4))&gt;0),--((($J$4="All")+($S$2:$S$180=$J$4))&gt;0))</f>
        <v>0</v>
      </c>
      <c r="L52" s="231"/>
      <c r="N52" t="str">
        <f>'product list'!A52</f>
        <v>ord0051</v>
      </c>
      <c r="O52" t="str">
        <f t="shared" si="1"/>
        <v>February</v>
      </c>
      <c r="P52">
        <f>MATCH(LEFT(TRIM(MID('product list'!B52,FIND(",",'product list'!B52)+1,20)),3),{"jan","feb","mar","apr","may","jun","jul","aug","sep","oct","nov","dec"},0)</f>
        <v>2</v>
      </c>
      <c r="Q52" t="str">
        <f>'product list'!H52</f>
        <v>mumbai</v>
      </c>
      <c r="R52" t="str">
        <f>'product list'!I52</f>
        <v>electronic</v>
      </c>
      <c r="S52" t="str">
        <f>'product list'!L52</f>
        <v>deepak</v>
      </c>
      <c r="T52">
        <f>'product list'!P52</f>
        <v>934890</v>
      </c>
      <c r="U52" t="str">
        <f>INDEX($G$49:$G$98,MATCH(LARGE($H$49:$H$98,ROWS($U$49:U52)),$H$49:$H$98,0))</f>
        <v>mamta</v>
      </c>
      <c r="V52" s="235">
        <f>LARGE($H$49:$H$98,ROWS($V$49:V52))</f>
        <v>2015680</v>
      </c>
      <c r="Z52" t="s">
        <v>342</v>
      </c>
    </row>
    <row r="53" spans="1:26" x14ac:dyDescent="0.25">
      <c r="A53" s="231" t="s">
        <v>1215</v>
      </c>
      <c r="B53" s="235" cm="1">
        <f t="array" ref="B53">SUMPRODUCT($T$2:$T$180,--($Q$2:$Q$180=A53),--($P$2:$P$180&gt;=IF($B$4="All",1,MATCH($B$4,{"January","February","March","April","May","June","July","August","September","October","November","December"},0))),--($P$2:$P$180&lt;=IF($D$4="All",12,MATCH($D$4,{"January","February","March","April","May","June","July","August","September","October","November","December"},0))),--((($F$4="All")+($Q$2:$Q$180=$F$4))&gt;0),--((($H$4="All")+($R$2:$R$180=$H$4))&gt;0),--((($J$4="All")+($S$2:$S$180=$J$4))&gt;0))</f>
        <v>186588</v>
      </c>
      <c r="C53" s="231"/>
      <c r="D53" s="231" t="s">
        <v>60</v>
      </c>
      <c r="E53" s="235" cm="1">
        <f t="array" ref="E53">SUMPRODUCT($T$2:$T$180,--($R$2:$R$180=D53),--($P$2:$P$180&gt;=IF($B$4="All",1,MATCH($B$4,{"January","February","March","April","May","June","July","August","September","October","November","December"},0))),--($P$2:$P$180&lt;=IF($D$4="All",12,MATCH($D$4,{"January","February","March","April","May","June","July","August","September","October","November","December"},0))),--((($F$4="All")+($Q$2:$Q$180=$F$4))&gt;0),--((($H$4="All")+($R$2:$R$180=$H$4))&gt;0),--((($J$4="All")+($S$2:$S$180=$J$4))&gt;0))</f>
        <v>5953482</v>
      </c>
      <c r="F53" s="231"/>
      <c r="G53" s="231" t="s">
        <v>296</v>
      </c>
      <c r="H53" s="235" cm="1">
        <f t="array" ref="H53">SUMPRODUCT($T$2:$T$180,--($S$2:$S$180=G53),--($P$2:$P$180&gt;=IF($B$4="All",1,MATCH($B$4,{"January","February","March","April","May","June","July","August","September","October","November","December"},0))),--($P$2:$P$180&lt;=IF($D$4="All",12,MATCH($D$4,{"January","February","March","April","May","June","July","August","September","October","November","December"},0))),--((($F$4="All")+($Q$2:$Q$180=$F$4))&gt;0),--((($H$4="All")+($R$2:$R$180=$H$4))&gt;0),--((($J$4="All")+($S$2:$S$180=$J$4))&gt;0))</f>
        <v>151932</v>
      </c>
      <c r="I53" s="231"/>
      <c r="J53" s="231" t="s">
        <v>1473</v>
      </c>
      <c r="K53" s="235" cm="1">
        <f t="array" ref="K53">SUMPRODUCT($T$2:$T$180,--($P$2:$P$180=ROWS($K$49:K53)),--($P$2:$P$180&gt;=IF($B$4="All",1,MATCH($B$4,{"January","February","March","April","May","June","July","August","September","October","November","December"},0))),--($P$2:$P$180&lt;=IF($D$4="All",12,MATCH($D$4,{"January","February","March","April","May","June","July","August","September","October","November","December"},0))),--((($F$4="All")+($Q$2:$Q$180=$F$4))&gt;0),--((($H$4="All")+($R$2:$R$180=$H$4))&gt;0),--((($J$4="All")+($S$2:$S$180=$J$4))&gt;0))</f>
        <v>0</v>
      </c>
      <c r="L53" s="231"/>
      <c r="N53" t="str">
        <f>'product list'!A53</f>
        <v>ord0052</v>
      </c>
      <c r="O53" t="str">
        <f t="shared" si="1"/>
        <v>February</v>
      </c>
      <c r="P53">
        <f>MATCH(LEFT(TRIM(MID('product list'!B53,FIND(",",'product list'!B53)+1,20)),3),{"jan","feb","mar","apr","may","jun","jul","aug","sep","oct","nov","dec"},0)</f>
        <v>2</v>
      </c>
      <c r="Q53" t="str">
        <f>'product list'!H53</f>
        <v>surat</v>
      </c>
      <c r="R53" t="str">
        <f>'product list'!I53</f>
        <v>kitchen</v>
      </c>
      <c r="S53" t="str">
        <f>'product list'!L53</f>
        <v>anjali</v>
      </c>
      <c r="T53">
        <f>'product list'!P53</f>
        <v>95480</v>
      </c>
      <c r="U53" t="str">
        <f>INDEX($G$49:$G$98,MATCH(LARGE($H$49:$H$98,ROWS($U$49:U53)),$H$49:$H$98,0))</f>
        <v>sonal</v>
      </c>
      <c r="V53" s="235">
        <f>LARGE($H$49:$H$98,ROWS($V$49:V53))</f>
        <v>1053360</v>
      </c>
    </row>
    <row r="54" spans="1:26" x14ac:dyDescent="0.25">
      <c r="A54" s="231" t="s">
        <v>1281</v>
      </c>
      <c r="B54" s="235" cm="1">
        <f t="array" ref="B54">SUMPRODUCT($T$2:$T$180,--($Q$2:$Q$180=A54),--($P$2:$P$180&gt;=IF($B$4="All",1,MATCH($B$4,{"January","February","March","April","May","June","July","August","September","October","November","December"},0))),--($P$2:$P$180&lt;=IF($D$4="All",12,MATCH($D$4,{"January","February","March","April","May","June","July","August","September","October","November","December"},0))),--((($F$4="All")+($Q$2:$Q$180=$F$4))&gt;0),--((($H$4="All")+($R$2:$R$180=$H$4))&gt;0),--((($J$4="All")+($S$2:$S$180=$J$4))&gt;0))</f>
        <v>38416</v>
      </c>
      <c r="C54" s="231"/>
      <c r="D54" s="231" t="s">
        <v>263</v>
      </c>
      <c r="E54" s="235" cm="1">
        <f t="array" ref="E54">SUMPRODUCT($T$2:$T$180,--($R$2:$R$180=D54),--($P$2:$P$180&gt;=IF($B$4="All",1,MATCH($B$4,{"January","February","March","April","May","June","July","August","September","October","November","December"},0))),--($P$2:$P$180&lt;=IF($D$4="All",12,MATCH($D$4,{"January","February","March","April","May","June","July","August","September","October","November","December"},0))),--((($F$4="All")+($Q$2:$Q$180=$F$4))&gt;0),--((($H$4="All")+($R$2:$R$180=$H$4))&gt;0),--((($J$4="All")+($S$2:$S$180=$J$4))&gt;0))</f>
        <v>169330</v>
      </c>
      <c r="F54" s="231"/>
      <c r="G54" s="231" t="s">
        <v>258</v>
      </c>
      <c r="H54" s="235" cm="1">
        <f t="array" ref="H54">SUMPRODUCT($T$2:$T$180,--($S$2:$S$180=G54),--($P$2:$P$180&gt;=IF($B$4="All",1,MATCH($B$4,{"January","February","March","April","May","June","July","August","September","October","November","December"},0))),--($P$2:$P$180&lt;=IF($D$4="All",12,MATCH($D$4,{"January","February","March","April","May","June","July","August","September","October","November","December"},0))),--((($F$4="All")+($Q$2:$Q$180=$F$4))&gt;0),--((($H$4="All")+($R$2:$R$180=$H$4))&gt;0),--((($J$4="All")+($S$2:$S$180=$J$4))&gt;0))</f>
        <v>109275</v>
      </c>
      <c r="I54" s="231"/>
      <c r="J54" s="231" t="s">
        <v>1474</v>
      </c>
      <c r="K54" s="235" cm="1">
        <f t="array" ref="K54">SUMPRODUCT($T$2:$T$180,--($P$2:$P$180=ROWS($K$49:K54)),--($P$2:$P$180&gt;=IF($B$4="All",1,MATCH($B$4,{"January","February","March","April","May","June","July","August","September","October","November","December"},0))),--($P$2:$P$180&lt;=IF($D$4="All",12,MATCH($D$4,{"January","February","March","April","May","June","July","August","September","October","November","December"},0))),--((($F$4="All")+($Q$2:$Q$180=$F$4))&gt;0),--((($H$4="All")+($R$2:$R$180=$H$4))&gt;0),--((($J$4="All")+($S$2:$S$180=$J$4))&gt;0))</f>
        <v>0</v>
      </c>
      <c r="L54" s="231"/>
      <c r="N54" t="str">
        <f>'product list'!A54</f>
        <v>ord0053</v>
      </c>
      <c r="O54" t="str">
        <f t="shared" si="1"/>
        <v>February</v>
      </c>
      <c r="P54">
        <f>MATCH(LEFT(TRIM(MID('product list'!B54,FIND(",",'product list'!B54)+1,20)),3),{"jan","feb","mar","apr","may","jun","jul","aug","sep","oct","nov","dec"},0)</f>
        <v>2</v>
      </c>
      <c r="Q54" t="str">
        <f>'product list'!H54</f>
        <v>muzaffarpur</v>
      </c>
      <c r="R54" t="str">
        <f>'product list'!I54</f>
        <v>books</v>
      </c>
      <c r="S54" t="str">
        <f>'product list'!L54</f>
        <v>daksh</v>
      </c>
      <c r="T54">
        <f>'product list'!P54</f>
        <v>22230</v>
      </c>
      <c r="U54" t="str">
        <f>INDEX($G$49:$G$98,MATCH(LARGE($H$49:$H$98,ROWS($U$49:U54)),$H$49:$H$98,0))</f>
        <v>deepak</v>
      </c>
      <c r="V54" s="235">
        <f>LARGE($H$49:$H$98,ROWS($V$49:V54))</f>
        <v>954810</v>
      </c>
    </row>
    <row r="55" spans="1:26" x14ac:dyDescent="0.25">
      <c r="A55" s="231" t="s">
        <v>1248</v>
      </c>
      <c r="B55" s="235" cm="1">
        <f t="array" ref="B55">SUMPRODUCT($T$2:$T$180,--($Q$2:$Q$180=A55),--($P$2:$P$180&gt;=IF($B$4="All",1,MATCH($B$4,{"January","February","March","April","May","June","July","August","September","October","November","December"},0))),--($P$2:$P$180&lt;=IF($D$4="All",12,MATCH($D$4,{"January","February","March","April","May","June","July","August","September","October","November","December"},0))),--((($F$4="All")+($Q$2:$Q$180=$F$4))&gt;0),--((($H$4="All")+($R$2:$R$180=$H$4))&gt;0),--((($J$4="All")+($S$2:$S$180=$J$4))&gt;0))</f>
        <v>59612</v>
      </c>
      <c r="C55" s="231"/>
      <c r="D55" s="231" t="s">
        <v>67</v>
      </c>
      <c r="E55" s="235" cm="1">
        <f t="array" ref="E55">SUMPRODUCT($T$2:$T$180,--($R$2:$R$180=D55),--($P$2:$P$180&gt;=IF($B$4="All",1,MATCH($B$4,{"January","February","March","April","May","June","July","August","September","October","November","December"},0))),--($P$2:$P$180&lt;=IF($D$4="All",12,MATCH($D$4,{"January","February","March","April","May","June","July","August","September","October","November","December"},0))),--((($F$4="All")+($Q$2:$Q$180=$F$4))&gt;0),--((($H$4="All")+($R$2:$R$180=$H$4))&gt;0),--((($J$4="All")+($S$2:$S$180=$J$4))&gt;0))</f>
        <v>495060</v>
      </c>
      <c r="F55" s="231"/>
      <c r="G55" s="231" t="s">
        <v>107</v>
      </c>
      <c r="H55" s="235" cm="1">
        <f t="array" ref="H55">SUMPRODUCT($T$2:$T$180,--($S$2:$S$180=G55),--($P$2:$P$180&gt;=IF($B$4="All",1,MATCH($B$4,{"January","February","March","April","May","June","July","August","September","October","November","December"},0))),--($P$2:$P$180&lt;=IF($D$4="All",12,MATCH($D$4,{"January","February","March","April","May","June","July","August","September","October","November","December"},0))),--((($F$4="All")+($Q$2:$Q$180=$F$4))&gt;0),--((($H$4="All")+($R$2:$R$180=$H$4))&gt;0),--((($J$4="All")+($S$2:$S$180=$J$4))&gt;0))</f>
        <v>450104</v>
      </c>
      <c r="I55" s="231"/>
      <c r="J55" s="231" t="s">
        <v>1475</v>
      </c>
      <c r="K55" s="235" cm="1">
        <f t="array" ref="K55">SUMPRODUCT($T$2:$T$180,--($P$2:$P$180=ROWS($K$49:K55)),--($P$2:$P$180&gt;=IF($B$4="All",1,MATCH($B$4,{"January","February","March","April","May","June","July","August","September","October","November","December"},0))),--($P$2:$P$180&lt;=IF($D$4="All",12,MATCH($D$4,{"January","February","March","April","May","June","July","August","September","October","November","December"},0))),--((($F$4="All")+($Q$2:$Q$180=$F$4))&gt;0),--((($H$4="All")+($R$2:$R$180=$H$4))&gt;0),--((($J$4="All")+($S$2:$S$180=$J$4))&gt;0))</f>
        <v>0</v>
      </c>
      <c r="L55" s="231"/>
      <c r="N55" t="str">
        <f>'product list'!A55</f>
        <v>ord0054</v>
      </c>
      <c r="O55" t="str">
        <f t="shared" si="1"/>
        <v>February</v>
      </c>
      <c r="P55">
        <f>MATCH(LEFT(TRIM(MID('product list'!B55,FIND(",",'product list'!B55)+1,20)),3),{"jan","feb","mar","apr","may","jun","jul","aug","sep","oct","nov","dec"},0)</f>
        <v>2</v>
      </c>
      <c r="Q55" t="str">
        <f>'product list'!H55</f>
        <v>bengaluru</v>
      </c>
      <c r="R55" t="str">
        <f>'product list'!I55</f>
        <v>clothes</v>
      </c>
      <c r="S55" t="str">
        <f>'product list'!L55</f>
        <v>sonal</v>
      </c>
      <c r="T55">
        <f>'product list'!P55</f>
        <v>33480</v>
      </c>
      <c r="U55" t="str">
        <f>INDEX($G$49:$G$98,MATCH(LARGE($H$49:$H$98,ROWS($U$49:U55)),$H$49:$H$98,0))</f>
        <v>ayush</v>
      </c>
      <c r="V55" s="235">
        <f>LARGE($H$49:$H$98,ROWS($V$49:V55))</f>
        <v>857967</v>
      </c>
    </row>
    <row r="56" spans="1:26" x14ac:dyDescent="0.25">
      <c r="A56" s="231" t="s">
        <v>1286</v>
      </c>
      <c r="B56" s="235" cm="1">
        <f t="array" ref="B56">SUMPRODUCT($T$2:$T$180,--($Q$2:$Q$180=A56),--($P$2:$P$180&gt;=IF($B$4="All",1,MATCH($B$4,{"January","February","March","April","May","June","July","August","September","October","November","December"},0))),--($P$2:$P$180&lt;=IF($D$4="All",12,MATCH($D$4,{"January","February","March","April","May","June","July","August","September","October","November","December"},0))),--((($F$4="All")+($Q$2:$Q$180=$F$4))&gt;0),--((($H$4="All")+($R$2:$R$180=$H$4))&gt;0),--((($J$4="All")+($S$2:$S$180=$J$4))&gt;0))</f>
        <v>0</v>
      </c>
      <c r="C56" s="231"/>
      <c r="D56" s="231" t="s">
        <v>191</v>
      </c>
      <c r="E56" s="235" cm="1">
        <f t="array" ref="E56">SUMPRODUCT($T$2:$T$180,--($R$2:$R$180=D56),--($P$2:$P$180&gt;=IF($B$4="All",1,MATCH($B$4,{"January","February","March","April","May","June","July","August","September","October","November","December"},0))),--($P$2:$P$180&lt;=IF($D$4="All",12,MATCH($D$4,{"January","February","March","April","May","June","July","August","September","October","November","December"},0))),--((($F$4="All")+($Q$2:$Q$180=$F$4))&gt;0),--((($H$4="All")+($R$2:$R$180=$H$4))&gt;0),--((($J$4="All")+($S$2:$S$180=$J$4))&gt;0))</f>
        <v>235124</v>
      </c>
      <c r="F56" s="231"/>
      <c r="G56" s="231" t="s">
        <v>94</v>
      </c>
      <c r="H56" s="235" cm="1">
        <f t="array" ref="H56">SUMPRODUCT($T$2:$T$180,--($S$2:$S$180=G56),--($P$2:$P$180&gt;=IF($B$4="All",1,MATCH($B$4,{"January","February","March","April","May","June","July","August","September","October","November","December"},0))),--($P$2:$P$180&lt;=IF($D$4="All",12,MATCH($D$4,{"January","February","March","April","May","June","July","August","September","October","November","December"},0))),--((($F$4="All")+($Q$2:$Q$180=$F$4))&gt;0),--((($H$4="All")+($R$2:$R$180=$H$4))&gt;0),--((($J$4="All")+($S$2:$S$180=$J$4))&gt;0))</f>
        <v>857967</v>
      </c>
      <c r="I56" s="231"/>
      <c r="J56" s="231" t="s">
        <v>1476</v>
      </c>
      <c r="K56" s="235" cm="1">
        <f t="array" ref="K56">SUMPRODUCT($T$2:$T$180,--($P$2:$P$180=ROWS($K$49:K56)),--($P$2:$P$180&gt;=IF($B$4="All",1,MATCH($B$4,{"January","February","March","April","May","June","July","August","September","October","November","December"},0))),--($P$2:$P$180&lt;=IF($D$4="All",12,MATCH($D$4,{"January","February","March","April","May","June","July","August","September","October","November","December"},0))),--((($F$4="All")+($Q$2:$Q$180=$F$4))&gt;0),--((($H$4="All")+($R$2:$R$180=$H$4))&gt;0),--((($J$4="All")+($S$2:$S$180=$J$4))&gt;0))</f>
        <v>0</v>
      </c>
      <c r="L56" s="231"/>
      <c r="N56" t="str">
        <f>'product list'!A56</f>
        <v>ord0055</v>
      </c>
      <c r="O56" t="str">
        <f t="shared" si="1"/>
        <v>February</v>
      </c>
      <c r="P56">
        <f>MATCH(LEFT(TRIM(MID('product list'!B56,FIND(",",'product list'!B56)+1,20)),3),{"jan","feb","mar","apr","may","jun","jul","aug","sep","oct","nov","dec"},0)</f>
        <v>2</v>
      </c>
      <c r="Q56" t="str">
        <f>'product list'!H56</f>
        <v>jaipur</v>
      </c>
      <c r="R56" t="str">
        <f>'product list'!I56</f>
        <v>medicine</v>
      </c>
      <c r="S56" t="str">
        <f>'product list'!L56</f>
        <v>kunal</v>
      </c>
      <c r="T56">
        <f>'product list'!P56</f>
        <v>6930</v>
      </c>
      <c r="U56" t="str">
        <f>INDEX($G$49:$G$98,MATCH(LARGE($H$49:$H$98,ROWS($U$49:U56)),$H$49:$H$98,0))</f>
        <v>akash</v>
      </c>
      <c r="V56" s="235">
        <f>LARGE($H$49:$H$98,ROWS($V$49:V56))</f>
        <v>520641</v>
      </c>
    </row>
    <row r="57" spans="1:26" x14ac:dyDescent="0.25">
      <c r="A57" s="231" t="s">
        <v>1220</v>
      </c>
      <c r="B57" s="235" cm="1">
        <f t="array" ref="B57">SUMPRODUCT($T$2:$T$180,--($Q$2:$Q$180=A57),--($P$2:$P$180&gt;=IF($B$4="All",1,MATCH($B$4,{"January","February","March","April","May","June","July","August","September","October","November","December"},0))),--($P$2:$P$180&lt;=IF($D$4="All",12,MATCH($D$4,{"January","February","March","April","May","June","July","August","September","October","November","December"},0))),--((($F$4="All")+($Q$2:$Q$180=$F$4))&gt;0),--((($H$4="All")+($R$2:$R$180=$H$4))&gt;0),--((($J$4="All")+($S$2:$S$180=$J$4))&gt;0))</f>
        <v>785805</v>
      </c>
      <c r="C57" s="231"/>
      <c r="D57" s="231" t="s">
        <v>86</v>
      </c>
      <c r="E57" s="235" cm="1">
        <f t="array" ref="E57">SUMPRODUCT($T$2:$T$180,--($R$2:$R$180=D57),--($P$2:$P$180&gt;=IF($B$4="All",1,MATCH($B$4,{"January","February","March","April","May","June","July","August","September","October","November","December"},0))),--($P$2:$P$180&lt;=IF($D$4="All",12,MATCH($D$4,{"January","February","March","April","May","June","July","August","September","October","November","December"},0))),--((($F$4="All")+($Q$2:$Q$180=$F$4))&gt;0),--((($H$4="All")+($R$2:$R$180=$H$4))&gt;0),--((($J$4="All")+($S$2:$S$180=$J$4))&gt;0))</f>
        <v>158184</v>
      </c>
      <c r="F57" s="231"/>
      <c r="G57" s="231" t="s">
        <v>1254</v>
      </c>
      <c r="H57" s="235" cm="1">
        <f t="array" ref="H57">SUMPRODUCT($T$2:$T$180,--($S$2:$S$180=G57),--($P$2:$P$180&gt;=IF($B$4="All",1,MATCH($B$4,{"January","February","March","April","May","June","July","August","September","October","November","December"},0))),--($P$2:$P$180&lt;=IF($D$4="All",12,MATCH($D$4,{"January","February","March","April","May","June","July","August","September","October","November","December"},0))),--((($F$4="All")+($Q$2:$Q$180=$F$4))&gt;0),--((($H$4="All")+($R$2:$R$180=$H$4))&gt;0),--((($J$4="All")+($S$2:$S$180=$J$4))&gt;0))</f>
        <v>46872</v>
      </c>
      <c r="I57" s="231"/>
      <c r="J57" s="231" t="s">
        <v>1477</v>
      </c>
      <c r="K57" s="235" cm="1">
        <f t="array" ref="K57">SUMPRODUCT($T$2:$T$180,--($P$2:$P$180=ROWS($K$49:K57)),--($P$2:$P$180&gt;=IF($B$4="All",1,MATCH($B$4,{"January","February","March","April","May","June","July","August","September","October","November","December"},0))),--($P$2:$P$180&lt;=IF($D$4="All",12,MATCH($D$4,{"January","February","March","April","May","June","July","August","September","October","November","December"},0))),--((($F$4="All")+($Q$2:$Q$180=$F$4))&gt;0),--((($H$4="All")+($R$2:$R$180=$H$4))&gt;0),--((($J$4="All")+($S$2:$S$180=$J$4))&gt;0))</f>
        <v>0</v>
      </c>
      <c r="L57" s="231"/>
      <c r="N57" t="str">
        <f>'product list'!A57</f>
        <v>ord0056</v>
      </c>
      <c r="O57" t="str">
        <f t="shared" si="1"/>
        <v>February</v>
      </c>
      <c r="P57">
        <f>MATCH(LEFT(TRIM(MID('product list'!B57,FIND(",",'product list'!B57)+1,20)),3),{"jan","feb","mar","apr","may","jun","jul","aug","sep","oct","nov","dec"},0)</f>
        <v>2</v>
      </c>
      <c r="Q57" t="str">
        <f>'product list'!H57</f>
        <v>pune</v>
      </c>
      <c r="R57" t="str">
        <f>'product list'!I57</f>
        <v>electronic</v>
      </c>
      <c r="S57" t="str">
        <f>'product list'!L57</f>
        <v>ayush</v>
      </c>
      <c r="T57">
        <f>'product list'!P57</f>
        <v>831600</v>
      </c>
      <c r="U57" t="str">
        <f>INDEX($G$49:$G$98,MATCH(LARGE($H$49:$H$98,ROWS($U$49:U57)),$H$49:$H$98,0))</f>
        <v>arya</v>
      </c>
      <c r="V57" s="235">
        <f>LARGE($H$49:$H$98,ROWS($V$49:V57))</f>
        <v>450104</v>
      </c>
    </row>
    <row r="58" spans="1:26" x14ac:dyDescent="0.25">
      <c r="A58" s="231" t="s">
        <v>1258</v>
      </c>
      <c r="B58" s="235" cm="1">
        <f t="array" ref="B58">SUMPRODUCT($T$2:$T$180,--($Q$2:$Q$180=A58),--($P$2:$P$180&gt;=IF($B$4="All",1,MATCH($B$4,{"January","February","March","April","May","June","July","August","September","October","November","December"},0))),--($P$2:$P$180&lt;=IF($D$4="All",12,MATCH($D$4,{"January","February","March","April","May","June","July","August","September","October","November","December"},0))),--((($F$4="All")+($Q$2:$Q$180=$F$4))&gt;0),--((($H$4="All")+($R$2:$R$180=$H$4))&gt;0),--((($J$4="All")+($S$2:$S$180=$J$4))&gt;0))</f>
        <v>0</v>
      </c>
      <c r="C58" s="231"/>
      <c r="D58" s="231" t="s">
        <v>282</v>
      </c>
      <c r="E58" s="235" cm="1">
        <f t="array" ref="E58">SUMPRODUCT($T$2:$T$180,--($R$2:$R$180=D58),--($P$2:$P$180&gt;=IF($B$4="All",1,MATCH($B$4,{"January","February","March","April","May","June","July","August","September","October","November","December"},0))),--($P$2:$P$180&lt;=IF($D$4="All",12,MATCH($D$4,{"January","February","March","April","May","June","July","August","September","October","November","December"},0))),--((($F$4="All")+($Q$2:$Q$180=$F$4))&gt;0),--((($H$4="All")+($R$2:$R$180=$H$4))&gt;0),--((($J$4="All")+($S$2:$S$180=$J$4))&gt;0))</f>
        <v>179645</v>
      </c>
      <c r="F58" s="231"/>
      <c r="G58" s="231" t="s">
        <v>144</v>
      </c>
      <c r="H58" s="235" cm="1">
        <f t="array" ref="H58">SUMPRODUCT($T$2:$T$180,--($S$2:$S$180=G58),--($P$2:$P$180&gt;=IF($B$4="All",1,MATCH($B$4,{"January","February","March","April","May","June","July","August","September","October","November","December"},0))),--($P$2:$P$180&lt;=IF($D$4="All",12,MATCH($D$4,{"January","February","March","April","May","June","July","August","September","October","November","December"},0))),--((($F$4="All")+($Q$2:$Q$180=$F$4))&gt;0),--((($H$4="All")+($R$2:$R$180=$H$4))&gt;0),--((($J$4="All")+($S$2:$S$180=$J$4))&gt;0))</f>
        <v>29760</v>
      </c>
      <c r="I58" s="231"/>
      <c r="J58" s="231" t="s">
        <v>1478</v>
      </c>
      <c r="K58" s="235" cm="1">
        <f t="array" ref="K58">SUMPRODUCT($T$2:$T$180,--($P$2:$P$180=ROWS($K$49:K58)),--($P$2:$P$180&gt;=IF($B$4="All",1,MATCH($B$4,{"January","February","March","April","May","June","July","August","September","October","November","December"},0))),--($P$2:$P$180&lt;=IF($D$4="All",12,MATCH($D$4,{"January","February","March","April","May","June","July","August","September","October","November","December"},0))),--((($F$4="All")+($Q$2:$Q$180=$F$4))&gt;0),--((($H$4="All")+($R$2:$R$180=$H$4))&gt;0),--((($J$4="All")+($S$2:$S$180=$J$4))&gt;0))</f>
        <v>0</v>
      </c>
      <c r="L58" s="231"/>
      <c r="N58" t="str">
        <f>'product list'!A58</f>
        <v>ord0057</v>
      </c>
      <c r="O58" t="str">
        <f t="shared" si="1"/>
        <v>February</v>
      </c>
      <c r="P58">
        <f>MATCH(LEFT(TRIM(MID('product list'!B58,FIND(",",'product list'!B58)+1,20)),3),{"jan","feb","mar","apr","may","jun","jul","aug","sep","oct","nov","dec"},0)</f>
        <v>2</v>
      </c>
      <c r="Q58" t="str">
        <f>'product list'!H58</f>
        <v>faridabad</v>
      </c>
      <c r="R58" t="str">
        <f>'product list'!I58</f>
        <v>kitchen</v>
      </c>
      <c r="S58" t="str">
        <f>'product list'!L58</f>
        <v>payal</v>
      </c>
      <c r="T58">
        <f>'product list'!P58</f>
        <v>270000</v>
      </c>
      <c r="U58" t="str">
        <f>INDEX($G$49:$G$98,MATCH(LARGE($H$49:$H$98,ROWS($U$49:U58)),$H$49:$H$98,0))</f>
        <v>dev</v>
      </c>
      <c r="V58" s="235">
        <f>LARGE($H$49:$H$98,ROWS($V$49:V58))</f>
        <v>362890</v>
      </c>
    </row>
    <row r="59" spans="1:26" x14ac:dyDescent="0.25">
      <c r="A59" s="231" t="s">
        <v>1235</v>
      </c>
      <c r="B59" s="235" cm="1">
        <f t="array" ref="B59">SUMPRODUCT($T$2:$T$180,--($Q$2:$Q$180=A59),--($P$2:$P$180&gt;=IF($B$4="All",1,MATCH($B$4,{"January","February","March","April","May","June","July","August","September","October","November","December"},0))),--($P$2:$P$180&lt;=IF($D$4="All",12,MATCH($D$4,{"January","February","March","April","May","June","July","August","September","October","November","December"},0))),--((($F$4="All")+($Q$2:$Q$180=$F$4))&gt;0),--((($H$4="All")+($R$2:$R$180=$H$4))&gt;0),--((($J$4="All")+($S$2:$S$180=$J$4))&gt;0))</f>
        <v>116205</v>
      </c>
      <c r="C59" s="231"/>
      <c r="D59" s="231" t="s">
        <v>112</v>
      </c>
      <c r="E59" s="235" cm="1">
        <f t="array" ref="E59">SUMPRODUCT($T$2:$T$180,--($R$2:$R$180=D59),--($P$2:$P$180&gt;=IF($B$4="All",1,MATCH($B$4,{"January","February","March","April","May","June","July","August","September","October","November","December"},0))),--($P$2:$P$180&lt;=IF($D$4="All",12,MATCH($D$4,{"January","February","March","April","May","June","July","August","September","October","November","December"},0))),--((($F$4="All")+($Q$2:$Q$180=$F$4))&gt;0),--((($H$4="All")+($R$2:$R$180=$H$4))&gt;0),--((($J$4="All")+($S$2:$S$180=$J$4))&gt;0))</f>
        <v>14056353</v>
      </c>
      <c r="F59" s="231"/>
      <c r="G59" s="231" t="s">
        <v>79</v>
      </c>
      <c r="H59" s="235" cm="1">
        <f t="array" ref="H59">SUMPRODUCT($T$2:$T$180,--($S$2:$S$180=G59),--($P$2:$P$180&gt;=IF($B$4="All",1,MATCH($B$4,{"January","February","March","April","May","June","July","August","September","October","November","December"},0))),--($P$2:$P$180&lt;=IF($D$4="All",12,MATCH($D$4,{"January","February","March","April","May","June","July","August","September","October","November","December"},0))),--((($F$4="All")+($Q$2:$Q$180=$F$4))&gt;0),--((($H$4="All")+($R$2:$R$180=$H$4))&gt;0),--((($J$4="All")+($S$2:$S$180=$J$4))&gt;0))</f>
        <v>43350</v>
      </c>
      <c r="I59" s="231"/>
      <c r="J59" s="231" t="s">
        <v>1479</v>
      </c>
      <c r="K59" s="235" cm="1">
        <f t="array" ref="K59">SUMPRODUCT($T$2:$T$180,--($P$2:$P$180=ROWS($K$49:K59)),--($P$2:$P$180&gt;=IF($B$4="All",1,MATCH($B$4,{"January","February","March","April","May","June","July","August","September","October","November","December"},0))),--($P$2:$P$180&lt;=IF($D$4="All",12,MATCH($D$4,{"January","February","March","April","May","June","July","August","September","October","November","December"},0))),--((($F$4="All")+($Q$2:$Q$180=$F$4))&gt;0),--((($H$4="All")+($R$2:$R$180=$H$4))&gt;0),--((($J$4="All")+($S$2:$S$180=$J$4))&gt;0))</f>
        <v>0</v>
      </c>
      <c r="L59" s="231"/>
      <c r="N59" t="str">
        <f>'product list'!A59</f>
        <v>ord0058</v>
      </c>
      <c r="O59" t="str">
        <f t="shared" si="1"/>
        <v>February</v>
      </c>
      <c r="P59">
        <f>MATCH(LEFT(TRIM(MID('product list'!B59,FIND(",",'product list'!B59)+1,20)),3),{"jan","feb","mar","apr","may","jun","jul","aug","sep","oct","nov","dec"},0)</f>
        <v>2</v>
      </c>
      <c r="Q59" t="str">
        <f>'product list'!H59</f>
        <v>hyderabad</v>
      </c>
      <c r="R59" t="str">
        <f>'product list'!I59</f>
        <v>clothes</v>
      </c>
      <c r="S59" t="str">
        <f>'product list'!L59</f>
        <v>arya</v>
      </c>
      <c r="T59">
        <f>'product list'!P59</f>
        <v>104160</v>
      </c>
    </row>
    <row r="60" spans="1:26" x14ac:dyDescent="0.25">
      <c r="A60" s="231" t="s">
        <v>1253</v>
      </c>
      <c r="B60" s="235" cm="1">
        <f t="array" ref="B60">SUMPRODUCT($T$2:$T$180,--($Q$2:$Q$180=A60),--($P$2:$P$180&gt;=IF($B$4="All",1,MATCH($B$4,{"January","February","March","April","May","June","July","August","September","October","November","December"},0))),--($P$2:$P$180&lt;=IF($D$4="All",12,MATCH($D$4,{"January","February","March","April","May","June","July","August","September","October","November","December"},0))),--((($F$4="All")+($Q$2:$Q$180=$F$4))&gt;0),--((($H$4="All")+($R$2:$R$180=$H$4))&gt;0),--((($J$4="All")+($S$2:$S$180=$J$4))&gt;0))</f>
        <v>62856</v>
      </c>
      <c r="C60" s="231"/>
      <c r="D60" s="231" t="s">
        <v>136</v>
      </c>
      <c r="E60" s="235" cm="1">
        <f t="array" ref="E60">SUMPRODUCT($T$2:$T$180,--($R$2:$R$180=D60),--($P$2:$P$180&gt;=IF($B$4="All",1,MATCH($B$4,{"January","February","March","April","May","June","July","August","September","October","November","December"},0))),--($P$2:$P$180&lt;=IF($D$4="All",12,MATCH($D$4,{"January","February","March","April","May","June","July","August","September","October","November","December"},0))),--((($F$4="All")+($Q$2:$Q$180=$F$4))&gt;0),--((($H$4="All")+($R$2:$R$180=$H$4))&gt;0),--((($J$4="All")+($S$2:$S$180=$J$4))&gt;0))</f>
        <v>7475756</v>
      </c>
      <c r="F60" s="231"/>
      <c r="G60" s="231" t="s">
        <v>75</v>
      </c>
      <c r="H60" s="235" cm="1">
        <f t="array" ref="H60">SUMPRODUCT($T$2:$T$180,--($S$2:$S$180=G60),--($P$2:$P$180&gt;=IF($B$4="All",1,MATCH($B$4,{"January","February","March","April","May","June","July","August","September","October","November","December"},0))),--($P$2:$P$180&lt;=IF($D$4="All",12,MATCH($D$4,{"January","February","March","April","May","June","July","August","September","October","November","December"},0))),--((($F$4="All")+($Q$2:$Q$180=$F$4))&gt;0),--((($H$4="All")+($R$2:$R$180=$H$4))&gt;0),--((($J$4="All")+($S$2:$S$180=$J$4))&gt;0))</f>
        <v>39130</v>
      </c>
      <c r="I60" s="231"/>
      <c r="J60" s="231" t="s">
        <v>1480</v>
      </c>
      <c r="K60" s="235" cm="1">
        <f t="array" ref="K60">SUMPRODUCT($T$2:$T$180,--($P$2:$P$180=ROWS($K$49:K60)),--($P$2:$P$180&gt;=IF($B$4="All",1,MATCH($B$4,{"January","February","March","April","May","June","July","August","September","October","November","December"},0))),--($P$2:$P$180&lt;=IF($D$4="All",12,MATCH($D$4,{"January","February","March","April","May","June","July","August","September","October","November","December"},0))),--((($F$4="All")+($Q$2:$Q$180=$F$4))&gt;0),--((($H$4="All")+($R$2:$R$180=$H$4))&gt;0),--((($J$4="All")+($S$2:$S$180=$J$4))&gt;0))</f>
        <v>0</v>
      </c>
      <c r="L60" s="231"/>
      <c r="N60" t="str">
        <f>'product list'!A60</f>
        <v>ord0059</v>
      </c>
      <c r="O60" t="str">
        <f t="shared" si="1"/>
        <v>March</v>
      </c>
      <c r="P60">
        <f>MATCH(LEFT(TRIM(MID('product list'!B60,FIND(",",'product list'!B60)+1,20)),3),{"jan","feb","mar","apr","may","jun","jul","aug","sep","oct","nov","dec"},0)</f>
        <v>3</v>
      </c>
      <c r="Q60" t="str">
        <f>'product list'!H60</f>
        <v>srinagar</v>
      </c>
      <c r="R60" t="str">
        <f>'product list'!I60</f>
        <v>books</v>
      </c>
      <c r="S60" t="str">
        <f>'product list'!L60</f>
        <v>poonam</v>
      </c>
      <c r="T60">
        <f>'product list'!P60</f>
        <v>43200</v>
      </c>
    </row>
    <row r="61" spans="1:26" x14ac:dyDescent="0.25">
      <c r="A61" t="s">
        <v>1276</v>
      </c>
      <c r="B61" s="235" cm="1">
        <f t="array" ref="B61">SUMPRODUCT($T$2:$T$180,--($Q$2:$Q$180=A61),--($P$2:$P$180&gt;=IF($B$4="All",1,MATCH($B$4,{"January","February","March","April","May","June","July","August","September","October","November","December"},0))),--($P$2:$P$180&lt;=IF($D$4="All",12,MATCH($D$4,{"January","February","March","April","May","June","July","August","September","October","November","December"},0))),--((($F$4="All")+($Q$2:$Q$180=$F$4))&gt;0),--((($H$4="All")+($R$2:$R$180=$H$4))&gt;0),--((($J$4="All")+($S$2:$S$180=$J$4))&gt;0))</f>
        <v>0</v>
      </c>
      <c r="D61" t="s">
        <v>105</v>
      </c>
      <c r="E61" cm="1">
        <f t="array" ref="E61">SUMPRODUCT($T$2:$T$71,--($R$2:$R$71=D61),--($P$2:$P$71&gt;=IF($B$4="All",1,MATCH($B$4,{"January","February","March","April","May","June","July","August","September","October","November","December"},0))),--($P$2:$P$71&lt;=IF($D$4="All",12,MATCH($D$4,{"January","February","March","April","May","June","July","August","September","October","November","December"},0))),--((($F$4="All")+($Q$2:$Q$71=$F$4))&gt;0),--((($H$4="All")+($R$2:$R$71=$H$4))&gt;0),--((($J$4="All")+($S$2:$S$71=$J$4))&gt;0))</f>
        <v>502568</v>
      </c>
      <c r="G61" t="s">
        <v>131</v>
      </c>
      <c r="H61" s="235" cm="1">
        <f t="array" ref="H61">SUMPRODUCT($T$2:$T$180,--($S$2:$S$180=G61),--($P$2:$P$180&gt;=IF($B$4="All",1,MATCH($B$4,{"January","February","March","April","May","June","July","August","September","October","November","December"},0))),--($P$2:$P$180&lt;=IF($D$4="All",12,MATCH($D$4,{"January","February","March","April","May","June","July","August","September","October","November","December"},0))),--((($F$4="All")+($Q$2:$Q$180=$F$4))&gt;0),--((($H$4="All")+($R$2:$R$180=$H$4))&gt;0),--((($J$4="All")+($S$2:$S$180=$J$4))&gt;0))</f>
        <v>954810</v>
      </c>
      <c r="N61" t="str">
        <f>'product list'!A61</f>
        <v>ord0060</v>
      </c>
      <c r="O61" t="str">
        <f t="shared" si="1"/>
        <v>March</v>
      </c>
      <c r="P61">
        <f>MATCH(LEFT(TRIM(MID('product list'!B61,FIND(",",'product list'!B61)+1,20)),3),{"jan","feb","mar","apr","may","jun","jul","aug","sep","oct","nov","dec"},0)</f>
        <v>3</v>
      </c>
      <c r="Q61" t="str">
        <f>'product list'!H61</f>
        <v>gurugram</v>
      </c>
      <c r="R61" t="str">
        <f>'product list'!I61</f>
        <v>electronic</v>
      </c>
      <c r="S61" t="str">
        <f>'product list'!L61</f>
        <v>amit</v>
      </c>
      <c r="T61">
        <f>'product list'!P61</f>
        <v>282100</v>
      </c>
    </row>
    <row r="62" spans="1:26" x14ac:dyDescent="0.25">
      <c r="A62" t="s">
        <v>1296</v>
      </c>
      <c r="B62" s="235" cm="1">
        <f t="array" ref="B62">SUMPRODUCT($T$2:$T$180,--($Q$2:$Q$180=A62),--($P$2:$P$180&gt;=IF($B$4="All",1,MATCH($B$4,{"January","February","March","April","May","June","July","August","September","October","November","December"},0))),--($P$2:$P$180&lt;=IF($D$4="All",12,MATCH($D$4,{"January","February","March","April","May","June","July","August","September","October","November","December"},0))),--((($F$4="All")+($Q$2:$Q$180=$F$4))&gt;0),--((($H$4="All")+($R$2:$R$180=$H$4))&gt;0),--((($J$4="All")+($S$2:$S$180=$J$4))&gt;0))</f>
        <v>64870</v>
      </c>
      <c r="G62" t="s">
        <v>62</v>
      </c>
      <c r="H62" s="235" cm="1">
        <f t="array" ref="H62">SUMPRODUCT($T$2:$T$180,--($S$2:$S$180=G62),--($P$2:$P$180&gt;=IF($B$4="All",1,MATCH($B$4,{"January","February","March","April","May","June","July","August","September","October","November","December"},0))),--($P$2:$P$180&lt;=IF($D$4="All",12,MATCH($D$4,{"January","February","March","April","May","June","July","August","September","October","November","December"},0))),--((($F$4="All")+($Q$2:$Q$180=$F$4))&gt;0),--((($H$4="All")+($R$2:$R$180=$H$4))&gt;0),--((($J$4="All")+($S$2:$S$180=$J$4))&gt;0))</f>
        <v>362890</v>
      </c>
      <c r="N62" t="str">
        <f>'product list'!A62</f>
        <v>ord0061</v>
      </c>
      <c r="O62" t="str">
        <f t="shared" si="1"/>
        <v>March</v>
      </c>
      <c r="P62">
        <f>MATCH(LEFT(TRIM(MID('product list'!B62,FIND(",",'product list'!B62)+1,20)),3),{"jan","feb","mar","apr","may","jun","jul","aug","sep","oct","nov","dec"},0)</f>
        <v>3</v>
      </c>
      <c r="Q62" t="str">
        <f>'product list'!H62</f>
        <v>bengaluru</v>
      </c>
      <c r="R62" t="str">
        <f>'product list'!I62</f>
        <v>medicine</v>
      </c>
      <c r="S62" t="str">
        <f>'product list'!L62</f>
        <v>mamta</v>
      </c>
      <c r="T62">
        <f>'product list'!P62</f>
        <v>29160</v>
      </c>
    </row>
    <row r="63" spans="1:26" x14ac:dyDescent="0.25">
      <c r="A63" t="s">
        <v>1291</v>
      </c>
      <c r="B63" s="235" cm="1">
        <f t="array" ref="B63">SUMPRODUCT($T$2:$T$180,--($Q$2:$Q$180=A63),--($P$2:$P$180&gt;=IF($B$4="All",1,MATCH($B$4,{"January","February","March","April","May","June","July","August","September","October","November","December"},0))),--($P$2:$P$180&lt;=IF($D$4="All",12,MATCH($D$4,{"January","February","March","April","May","June","July","August","September","October","November","December"},0))),--((($F$4="All")+($Q$2:$Q$180=$F$4))&gt;0),--((($H$4="All")+($R$2:$R$180=$H$4))&gt;0),--((($J$4="All")+($S$2:$S$180=$J$4))&gt;0))</f>
        <v>117162</v>
      </c>
      <c r="G63" t="s">
        <v>245</v>
      </c>
      <c r="H63" s="235" cm="1">
        <f t="array" ref="H63">SUMPRODUCT($T$2:$T$180,--($S$2:$S$180=G63),--($P$2:$P$180&gt;=IF($B$4="All",1,MATCH($B$4,{"January","February","March","April","May","June","July","August","September","October","November","December"},0))),--($P$2:$P$180&lt;=IF($D$4="All",12,MATCH($D$4,{"January","February","March","April","May","June","July","August","September","October","November","December"},0))),--((($F$4="All")+($Q$2:$Q$180=$F$4))&gt;0),--((($H$4="All")+($R$2:$R$180=$H$4))&gt;0),--((($J$4="All")+($S$2:$S$180=$J$4))&gt;0))</f>
        <v>11016</v>
      </c>
      <c r="N63" t="str">
        <f>'product list'!A63</f>
        <v>ord0062</v>
      </c>
      <c r="O63" t="str">
        <f t="shared" si="1"/>
        <v>March</v>
      </c>
      <c r="P63">
        <f>MATCH(LEFT(TRIM(MID('product list'!B63,FIND(",",'product list'!B63)+1,20)),3),{"jan","feb","mar","apr","may","jun","jul","aug","sep","oct","nov","dec"},0)</f>
        <v>3</v>
      </c>
      <c r="Q63" t="str">
        <f>'product list'!H63</f>
        <v>mumbai</v>
      </c>
      <c r="R63" t="str">
        <f>'product list'!I63</f>
        <v>kitchen</v>
      </c>
      <c r="S63" t="str">
        <f>'product list'!L63</f>
        <v>deepak</v>
      </c>
      <c r="T63">
        <f>'product list'!P63</f>
        <v>47430</v>
      </c>
    </row>
    <row r="64" spans="1:26" x14ac:dyDescent="0.25">
      <c r="A64" t="s">
        <v>59</v>
      </c>
      <c r="B64" cm="1">
        <f t="array" ref="B64">SUMPRODUCT($T$2:$T$71,--($Q$2:$Q$71=A64),--($P$2:$P$71&gt;=IF($B$4="All",1,MATCH($B$4,{"January","February","March","April","May","June","July","August","September","October","November","December"},0))),--($P$2:$P$71&lt;=IF($D$4="All",12,MATCH($D$4,{"January","February","March","April","May","June","July","August","September","October","November","December"},0))),--((($F$4="All")+($Q$2:$Q$71=$F$4))&gt;0),--((($H$4="All")+($R$2:$R$71=$H$4))&gt;0),--((($J$4="All")+($S$2:$S$71=$J$4))&gt;0))</f>
        <v>7453096</v>
      </c>
      <c r="G64" t="s">
        <v>265</v>
      </c>
      <c r="H64" s="235" cm="1">
        <f t="array" ref="H64">SUMPRODUCT($T$2:$T$180,--($S$2:$S$180=G64),--($P$2:$P$180&gt;=IF($B$4="All",1,MATCH($B$4,{"January","February","March","April","May","June","July","August","September","October","November","December"},0))),--($P$2:$P$180&lt;=IF($D$4="All",12,MATCH($D$4,{"January","February","March","April","May","June","July","August","September","October","November","December"},0))),--((($F$4="All")+($Q$2:$Q$180=$F$4))&gt;0),--((($H$4="All")+($R$2:$R$180=$H$4))&gt;0),--((($J$4="All")+($S$2:$S$180=$J$4))&gt;0))</f>
        <v>119700</v>
      </c>
      <c r="N64" t="str">
        <f>'product list'!A64</f>
        <v>ord0063</v>
      </c>
      <c r="O64" t="str">
        <f t="shared" si="1"/>
        <v>March</v>
      </c>
      <c r="P64">
        <f>MATCH(LEFT(TRIM(MID('product list'!B64,FIND(",",'product list'!B64)+1,20)),3),{"jan","feb","mar","apr","may","jun","jul","aug","sep","oct","nov","dec"},0)</f>
        <v>3</v>
      </c>
      <c r="Q64" t="str">
        <f>'product list'!H64</f>
        <v>lucknow</v>
      </c>
      <c r="R64" t="str">
        <f>'product list'!I64</f>
        <v>books</v>
      </c>
      <c r="S64" t="str">
        <f>'product list'!L64</f>
        <v>rohit</v>
      </c>
      <c r="T64">
        <f>'product list'!P64</f>
        <v>24050</v>
      </c>
    </row>
    <row r="65" spans="1:20" x14ac:dyDescent="0.25">
      <c r="A65" t="s">
        <v>1276</v>
      </c>
      <c r="B65" cm="1">
        <f t="array" ref="B65">SUMPRODUCT($T$2:$T$71,--($Q$2:$Q$71=A65),--($P$2:$P$71&gt;=IF($B$4="All",1,MATCH($B$4,{"January","February","March","April","May","June","July","August","September","October","November","December"},0))),--($P$2:$P$71&lt;=IF($D$4="All",12,MATCH($D$4,{"January","February","March","April","May","June","July","August","September","October","November","December"},0))),--((($F$4="All")+($Q$2:$Q$71=$F$4))&gt;0),--((($H$4="All")+($R$2:$R$71=$H$4))&gt;0),--((($J$4="All")+($S$2:$S$71=$J$4))&gt;0))</f>
        <v>0</v>
      </c>
      <c r="G65" t="s">
        <v>1263</v>
      </c>
      <c r="H65" s="235" cm="1">
        <f t="array" ref="H65">SUMPRODUCT($T$2:$T$180,--($S$2:$S$180=G65),--($P$2:$P$180&gt;=IF($B$4="All",1,MATCH($B$4,{"January","February","March","April","May","June","July","August","September","October","November","December"},0))),--($P$2:$P$180&lt;=IF($D$4="All",12,MATCH($D$4,{"January","February","March","April","May","June","July","August","September","October","November","December"},0))),--((($F$4="All")+($Q$2:$Q$180=$F$4))&gt;0),--((($H$4="All")+($R$2:$R$180=$H$4))&gt;0),--((($J$4="All")+($S$2:$S$180=$J$4))&gt;0))</f>
        <v>28210</v>
      </c>
      <c r="N65" t="str">
        <f>'product list'!A65</f>
        <v>ord0064</v>
      </c>
      <c r="O65" t="str">
        <f t="shared" si="1"/>
        <v>March</v>
      </c>
      <c r="P65">
        <f>MATCH(LEFT(TRIM(MID('product list'!B65,FIND(",",'product list'!B65)+1,20)),3),{"jan","feb","mar","apr","may","jun","jul","aug","sep","oct","nov","dec"},0)</f>
        <v>3</v>
      </c>
      <c r="Q65" t="str">
        <f>'product list'!H65</f>
        <v>nagpur</v>
      </c>
      <c r="R65" t="str">
        <f>'product list'!I65</f>
        <v>clothes</v>
      </c>
      <c r="S65" t="str">
        <f>'product list'!L65</f>
        <v>radhika</v>
      </c>
      <c r="T65">
        <f>'product list'!P65</f>
        <v>61380</v>
      </c>
    </row>
    <row r="66" spans="1:20" x14ac:dyDescent="0.25">
      <c r="A66" t="s">
        <v>1262</v>
      </c>
      <c r="B66" cm="1">
        <f t="array" ref="B66">SUMPRODUCT($T$2:$T$71,--($Q$2:$Q$71=A66),--($P$2:$P$71&gt;=IF($B$4="All",1,MATCH($B$4,{"January","February","March","April","May","June","July","August","September","October","November","December"},0))),--($P$2:$P$71&lt;=IF($D$4="All",12,MATCH($D$4,{"January","February","March","April","May","June","July","August","September","October","November","December"},0))),--((($F$4="All")+($Q$2:$Q$71=$F$4))&gt;0),--((($H$4="All")+($R$2:$R$71=$H$4))&gt;0),--((($J$4="All")+($S$2:$S$71=$J$4))&gt;0))</f>
        <v>0</v>
      </c>
      <c r="G66" t="s">
        <v>277</v>
      </c>
      <c r="H66" s="235" cm="1">
        <f t="array" ref="H66">SUMPRODUCT($T$2:$T$180,--($S$2:$S$180=G66),--($P$2:$P$180&gt;=IF($B$4="All",1,MATCH($B$4,{"January","February","March","April","May","June","July","August","September","October","November","December"},0))),--($P$2:$P$180&lt;=IF($D$4="All",12,MATCH($D$4,{"January","February","March","April","May","June","July","August","September","October","November","December"},0))),--((($F$4="All")+($Q$2:$Q$180=$F$4))&gt;0),--((($H$4="All")+($R$2:$R$180=$H$4))&gt;0),--((($J$4="All")+($S$2:$S$180=$J$4))&gt;0))</f>
        <v>37908</v>
      </c>
      <c r="N66" t="str">
        <f>'product list'!A66</f>
        <v>ord0065</v>
      </c>
      <c r="O66" t="str">
        <f t="shared" ref="O66:O71" si="2">CHOOSE(P66,"January","February","March","April","May","June","July","August","September","October","November","December")</f>
        <v>March</v>
      </c>
      <c r="P66">
        <f>MATCH(LEFT(TRIM(MID('product list'!B66,FIND(",",'product list'!B66)+1,20)),3),{"jan","feb","mar","apr","may","jun","jul","aug","sep","oct","nov","dec"},0)</f>
        <v>3</v>
      </c>
      <c r="Q66" t="str">
        <f>'product list'!H66</f>
        <v>new delhi</v>
      </c>
      <c r="R66" t="str">
        <f>'product list'!I66</f>
        <v>electronic</v>
      </c>
      <c r="S66" t="str">
        <f>'product list'!L66</f>
        <v>chirag</v>
      </c>
      <c r="T66">
        <f>'product list'!P66</f>
        <v>95325</v>
      </c>
    </row>
    <row r="67" spans="1:20" x14ac:dyDescent="0.25">
      <c r="A67" t="s">
        <v>1309</v>
      </c>
      <c r="B67" cm="1">
        <f t="array" ref="B67">SUMPRODUCT($T$2:$T$71,--($Q$2:$Q$71=A67),--($P$2:$P$71&gt;=IF($B$4="All",1,MATCH($B$4,{"January","February","March","April","May","June","July","August","September","October","November","December"},0))),--($P$2:$P$71&lt;=IF($D$4="All",12,MATCH($D$4,{"January","February","March","April","May","June","July","August","September","October","November","December"},0))),--((($F$4="All")+($Q$2:$Q$71=$F$4))&gt;0),--((($H$4="All")+($R$2:$R$71=$H$4))&gt;0),--((($J$4="All")+($S$2:$S$71=$J$4))&gt;0))</f>
        <v>870820</v>
      </c>
      <c r="G67" t="s">
        <v>1273</v>
      </c>
      <c r="H67" s="235" cm="1">
        <f t="array" ref="H67">SUMPRODUCT($T$2:$T$180,--($S$2:$S$180=G67),--($P$2:$P$180&gt;=IF($B$4="All",1,MATCH($B$4,{"January","February","March","April","May","June","July","August","September","October","November","December"},0))),--($P$2:$P$180&lt;=IF($D$4="All",12,MATCH($D$4,{"January","February","March","April","May","June","July","August","September","October","November","December"},0))),--((($F$4="All")+($Q$2:$Q$180=$F$4))&gt;0),--((($H$4="All")+($R$2:$R$180=$H$4))&gt;0),--((($J$4="All")+($S$2:$S$180=$J$4))&gt;0))</f>
        <v>39220</v>
      </c>
      <c r="N67" t="str">
        <f>'product list'!A67</f>
        <v>ord0066</v>
      </c>
      <c r="O67" t="str">
        <f t="shared" si="2"/>
        <v>March</v>
      </c>
      <c r="P67">
        <f>MATCH(LEFT(TRIM(MID('product list'!B67,FIND(",",'product list'!B67)+1,20)),3),{"jan","feb","mar","apr","may","jun","jul","aug","sep","oct","nov","dec"},0)</f>
        <v>3</v>
      </c>
      <c r="Q67" t="str">
        <f>'product list'!H67</f>
        <v>kolkata</v>
      </c>
      <c r="R67" t="str">
        <f>'product list'!I67</f>
        <v>medicine</v>
      </c>
      <c r="S67" t="str">
        <f>'product list'!L67</f>
        <v>ramesh</v>
      </c>
      <c r="T67">
        <f>'product list'!P67</f>
        <v>13860</v>
      </c>
    </row>
    <row r="68" spans="1:20" x14ac:dyDescent="0.25">
      <c r="A68" t="s">
        <v>1296</v>
      </c>
      <c r="B68" cm="1">
        <f t="array" ref="B68">SUMPRODUCT($T$2:$T$71,--($Q$2:$Q$71=A68),--($P$2:$P$71&gt;=IF($B$4="All",1,MATCH($B$4,{"January","February","March","April","May","June","July","August","September","October","November","December"},0))),--($P$2:$P$71&lt;=IF($D$4="All",12,MATCH($D$4,{"January","February","March","April","May","June","July","August","September","October","November","December"},0))),--((($F$4="All")+($Q$2:$Q$71=$F$4))&gt;0),--((($H$4="All")+($R$2:$R$71=$H$4))&gt;0),--((($J$4="All")+($S$2:$S$71=$J$4))&gt;0))</f>
        <v>64870</v>
      </c>
      <c r="G68" t="s">
        <v>210</v>
      </c>
      <c r="H68" s="235" cm="1">
        <f t="array" ref="H68">SUMPRODUCT($T$2:$T$180,--($S$2:$S$180=G68),--($P$2:$P$180&gt;=IF($B$4="All",1,MATCH($B$4,{"January","February","March","April","May","June","July","August","September","October","November","December"},0))),--($P$2:$P$180&lt;=IF($D$4="All",12,MATCH($D$4,{"January","February","March","April","May","June","July","August","September","October","November","December"},0))),--((($F$4="All")+($Q$2:$Q$180=$F$4))&gt;0),--((($H$4="All")+($R$2:$R$180=$H$4))&gt;0),--((($J$4="All")+($S$2:$S$180=$J$4))&gt;0))</f>
        <v>128712</v>
      </c>
      <c r="N68" t="str">
        <f>'product list'!A68</f>
        <v>ord0067</v>
      </c>
      <c r="O68" t="str">
        <f t="shared" si="2"/>
        <v>March</v>
      </c>
      <c r="P68">
        <f>MATCH(LEFT(TRIM(MID('product list'!B68,FIND(",",'product list'!B68)+1,20)),3),{"jan","feb","mar","apr","may","jun","jul","aug","sep","oct","nov","dec"},0)</f>
        <v>3</v>
      </c>
      <c r="Q68" t="str">
        <f>'product list'!H68</f>
        <v>gurugram</v>
      </c>
      <c r="R68" t="str">
        <f>'product list'!I68</f>
        <v>kitchen</v>
      </c>
      <c r="S68" t="str">
        <f>'product list'!L68</f>
        <v>swati</v>
      </c>
      <c r="T68">
        <f>'product list'!P68</f>
        <v>48834</v>
      </c>
    </row>
    <row r="69" spans="1:20" x14ac:dyDescent="0.25">
      <c r="A69" t="s">
        <v>1291</v>
      </c>
      <c r="B69" cm="1">
        <f t="array" ref="B69">SUMPRODUCT($T$2:$T$71,--($Q$2:$Q$71=A69),--($P$2:$P$71&gt;=IF($B$4="All",1,MATCH($B$4,{"January","February","March","April","May","June","July","August","September","October","November","December"},0))),--($P$2:$P$71&lt;=IF($D$4="All",12,MATCH($D$4,{"January","February","March","April","May","June","July","August","September","October","November","December"},0))),--((($F$4="All")+($Q$2:$Q$71=$F$4))&gt;0),--((($H$4="All")+($R$2:$R$71=$H$4))&gt;0),--((($J$4="All")+($S$2:$S$71=$J$4))&gt;0))</f>
        <v>117162</v>
      </c>
      <c r="G69" t="s">
        <v>88</v>
      </c>
      <c r="H69" s="235" cm="1">
        <f t="array" ref="H69">SUMPRODUCT($T$2:$T$180,--($S$2:$S$180=G69),--($P$2:$P$180&gt;=IF($B$4="All",1,MATCH($B$4,{"January","February","March","April","May","June","July","August","September","October","November","December"},0))),--($P$2:$P$180&lt;=IF($D$4="All",12,MATCH($D$4,{"January","February","March","April","May","June","July","August","September","October","November","December"},0))),--((($F$4="All")+($Q$2:$Q$180=$F$4))&gt;0),--((($H$4="All")+($R$2:$R$180=$H$4))&gt;0),--((($J$4="All")+($S$2:$S$180=$J$4))&gt;0))</f>
        <v>15570</v>
      </c>
      <c r="N69" t="str">
        <f>'product list'!A69</f>
        <v>ord0068</v>
      </c>
      <c r="O69" t="str">
        <f t="shared" si="2"/>
        <v>March</v>
      </c>
      <c r="P69">
        <f>MATCH(LEFT(TRIM(MID('product list'!B69,FIND(",",'product list'!B69)+1,20)),3),{"jan","feb","mar","apr","may","jun","jul","aug","sep","oct","nov","dec"},0)</f>
        <v>3</v>
      </c>
      <c r="Q69" t="str">
        <f>'product list'!H69</f>
        <v>new delhi</v>
      </c>
      <c r="R69" t="str">
        <f>'product list'!I69</f>
        <v>clothes</v>
      </c>
      <c r="S69" t="str">
        <f>'product list'!L69</f>
        <v>vishal</v>
      </c>
      <c r="T69">
        <f>'product list'!P69</f>
        <v>175770</v>
      </c>
    </row>
    <row r="70" spans="1:20" x14ac:dyDescent="0.25">
      <c r="A70" t="s">
        <v>1272</v>
      </c>
      <c r="B70" cm="1">
        <f t="array" ref="B70">SUMPRODUCT($T$2:$T$71,--($Q$2:$Q$71=A70),--($P$2:$P$71&gt;=IF($B$4="All",1,MATCH($B$4,{"January","February","March","April","May","June","July","August","September","October","November","December"},0))),--($P$2:$P$71&lt;=IF($D$4="All",12,MATCH($D$4,{"January","February","March","April","May","June","July","August","September","October","November","December"},0))),--((($F$4="All")+($Q$2:$Q$71=$F$4))&gt;0),--((($H$4="All")+($R$2:$R$71=$H$4))&gt;0),--((($J$4="All")+($S$2:$S$71=$J$4))&gt;0))</f>
        <v>0</v>
      </c>
      <c r="G70" t="s">
        <v>204</v>
      </c>
      <c r="H70" s="235" cm="1">
        <f t="array" ref="H70">SUMPRODUCT($T$2:$T$180,--($S$2:$S$180=G70),--($P$2:$P$180&gt;=IF($B$4="All",1,MATCH($B$4,{"January","February","March","April","May","June","July","August","September","October","November","December"},0))),--($P$2:$P$180&lt;=IF($D$4="All",12,MATCH($D$4,{"January","February","March","April","May","June","July","August","September","October","November","December"},0))),--((($F$4="All")+($Q$2:$Q$180=$F$4))&gt;0),--((($H$4="All")+($R$2:$R$180=$H$4))&gt;0),--((($J$4="All")+($S$2:$S$180=$J$4))&gt;0))</f>
        <v>156624</v>
      </c>
      <c r="N70" t="str">
        <f>'product list'!A70</f>
        <v>ord0069</v>
      </c>
      <c r="O70" t="str">
        <f t="shared" si="2"/>
        <v>March</v>
      </c>
      <c r="P70">
        <f>MATCH(LEFT(TRIM(MID('product list'!B70,FIND(",",'product list'!B70)+1,20)),3),{"jan","feb","mar","apr","may","jun","jul","aug","sep","oct","nov","dec"},0)</f>
        <v>3</v>
      </c>
      <c r="Q70" t="str">
        <f>'product list'!H70</f>
        <v>kolkata</v>
      </c>
      <c r="R70" t="str">
        <f>'product list'!I70</f>
        <v>books</v>
      </c>
      <c r="S70" t="str">
        <f>'product list'!L70</f>
        <v>sana</v>
      </c>
      <c r="T70">
        <f>'product list'!P70</f>
        <v>31590</v>
      </c>
    </row>
    <row r="71" spans="1:20" x14ac:dyDescent="0.25">
      <c r="G71" t="s">
        <v>186</v>
      </c>
      <c r="H71" s="235" cm="1">
        <f t="array" ref="H71">SUMPRODUCT($T$2:$T$180,--($S$2:$S$180=G71),--($P$2:$P$180&gt;=IF($B$4="All",1,MATCH($B$4,{"January","February","March","April","May","June","July","August","September","October","November","December"},0))),--($P$2:$P$180&lt;=IF($D$4="All",12,MATCH($D$4,{"January","February","March","April","May","June","July","August","September","October","November","December"},0))),--((($F$4="All")+($Q$2:$Q$180=$F$4))&gt;0),--((($H$4="All")+($R$2:$R$180=$H$4))&gt;0),--((($J$4="All")+($S$2:$S$180=$J$4))&gt;0))</f>
        <v>103230</v>
      </c>
      <c r="N71" t="str">
        <f>'product list'!A71</f>
        <v>ord0070</v>
      </c>
      <c r="O71" t="str">
        <f t="shared" si="2"/>
        <v>March</v>
      </c>
      <c r="P71">
        <f>MATCH(LEFT(TRIM(MID('product list'!B71,FIND(",",'product list'!B71)+1,20)),3),{"jan","feb","mar","apr","may","jun","jul","aug","sep","oct","nov","dec"},0)</f>
        <v>3</v>
      </c>
      <c r="Q71" t="str">
        <f>'product list'!H71</f>
        <v>bengaluru</v>
      </c>
      <c r="R71" t="str">
        <f>'product list'!I71</f>
        <v>gym equpments</v>
      </c>
      <c r="S71" t="str">
        <f>'product list'!L71</f>
        <v>meenakshi</v>
      </c>
      <c r="T71">
        <f>'product list'!P71</f>
        <v>251875</v>
      </c>
    </row>
    <row r="72" spans="1:20" x14ac:dyDescent="0.25">
      <c r="G72" t="s">
        <v>1226</v>
      </c>
      <c r="H72" s="235" cm="1">
        <f t="array" ref="H72">SUMPRODUCT($T$2:$T$180,--($S$2:$S$180=G72),--($P$2:$P$180&gt;=IF($B$4="All",1,MATCH($B$4,{"January","February","March","April","May","June","July","August","September","October","November","December"},0))),--($P$2:$P$180&lt;=IF($D$4="All",12,MATCH($D$4,{"January","February","March","April","May","June","July","August","September","October","November","December"},0))),--((($F$4="All")+($Q$2:$Q$180=$F$4))&gt;0),--((($H$4="All")+($R$2:$R$180=$H$4))&gt;0),--((($J$4="All")+($S$2:$S$180=$J$4))&gt;0))</f>
        <v>2015680</v>
      </c>
      <c r="N72" t="str">
        <f>'product list'!A72</f>
        <v>ord0071</v>
      </c>
      <c r="O72" t="str">
        <f t="shared" ref="O72:O135" si="3">CHOOSE(P72,"January","February","March","April","May","June","July","August","September","October","November","December")</f>
        <v>March</v>
      </c>
      <c r="P72">
        <f>MATCH(LEFT(TRIM(MID('product list'!B72,FIND(",",'product list'!B72)+1,20)),3),{"jan","feb","mar","apr","may","jun","jul","aug","sep","oct","nov","dec"},0)</f>
        <v>3</v>
      </c>
      <c r="Q72" t="str">
        <f>'product list'!H72</f>
        <v>manali</v>
      </c>
      <c r="R72" t="str">
        <f>'product list'!I72</f>
        <v>books</v>
      </c>
      <c r="S72" t="str">
        <f>'product list'!L72</f>
        <v>monika</v>
      </c>
      <c r="T72">
        <f>'product list'!P72</f>
        <v>52020</v>
      </c>
    </row>
    <row r="73" spans="1:20" x14ac:dyDescent="0.25">
      <c r="G73" t="s">
        <v>221</v>
      </c>
      <c r="H73" s="235" cm="1">
        <f t="array" ref="H73">SUMPRODUCT($T$2:$T$180,--($S$2:$S$180=G73),--($P$2:$P$180&gt;=IF($B$4="All",1,MATCH($B$4,{"January","February","March","April","May","June","July","August","September","October","November","December"},0))),--($P$2:$P$180&lt;=IF($D$4="All",12,MATCH($D$4,{"January","February","March","April","May","June","July","August","September","October","November","December"},0))),--((($F$4="All")+($Q$2:$Q$180=$F$4))&gt;0),--((($H$4="All")+($R$2:$R$180=$H$4))&gt;0),--((($J$4="All")+($S$2:$S$180=$J$4))&gt;0))</f>
        <v>62856</v>
      </c>
      <c r="N73" t="str">
        <f>'product list'!A73</f>
        <v>ord0072</v>
      </c>
      <c r="O73" t="str">
        <f t="shared" si="3"/>
        <v>March</v>
      </c>
      <c r="P73">
        <f>MATCH(LEFT(TRIM(MID('product list'!B73,FIND(",",'product list'!B73)+1,20)),3),{"jan","feb","mar","apr","may","jun","jul","aug","sep","oct","nov","dec"},0)</f>
        <v>3</v>
      </c>
      <c r="Q73" t="str">
        <f>'product list'!H73</f>
        <v>pune</v>
      </c>
      <c r="R73" t="str">
        <f>'product list'!I73</f>
        <v>clothes</v>
      </c>
      <c r="S73" t="str">
        <f>'product list'!L73</f>
        <v>poonam</v>
      </c>
      <c r="T73">
        <f>'product list'!P73</f>
        <v>143840</v>
      </c>
    </row>
    <row r="74" spans="1:20" x14ac:dyDescent="0.25">
      <c r="G74" t="s">
        <v>1297</v>
      </c>
      <c r="H74" s="235" cm="1">
        <f t="array" ref="H74">SUMPRODUCT($T$2:$T$180,--($S$2:$S$180=G74),--($P$2:$P$180&gt;=IF($B$4="All",1,MATCH($B$4,{"January","February","March","April","May","June","July","August","September","October","November","December"},0))),--($P$2:$P$180&lt;=IF($D$4="All",12,MATCH($D$4,{"January","February","March","April","May","June","July","August","September","October","November","December"},0))),--((($F$4="All")+($Q$2:$Q$180=$F$4))&gt;0),--((($H$4="All")+($R$2:$R$180=$H$4))&gt;0),--((($J$4="All")+($S$2:$S$180=$J$4))&gt;0))</f>
        <v>21420</v>
      </c>
      <c r="N74" t="str">
        <f>'product list'!A74</f>
        <v>ord0073</v>
      </c>
      <c r="O74" t="str">
        <f t="shared" si="3"/>
        <v>March</v>
      </c>
      <c r="P74">
        <f>MATCH(LEFT(TRIM(MID('product list'!B74,FIND(",",'product list'!B74)+1,20)),3),{"jan","feb","mar","apr","may","jun","jul","aug","sep","oct","nov","dec"},0)</f>
        <v>3</v>
      </c>
      <c r="Q74" t="str">
        <f>'product list'!H74</f>
        <v>bengaluru</v>
      </c>
      <c r="R74" t="str">
        <f>'product list'!I74</f>
        <v>electronic</v>
      </c>
      <c r="S74" t="str">
        <f>'product list'!L74</f>
        <v>rohit</v>
      </c>
      <c r="T74">
        <f>'product list'!P74</f>
        <v>911250</v>
      </c>
    </row>
    <row r="75" spans="1:20" x14ac:dyDescent="0.25">
      <c r="G75" t="s">
        <v>1287</v>
      </c>
      <c r="H75" s="235" cm="1">
        <f t="array" ref="H75">SUMPRODUCT($T$2:$T$180,--($S$2:$S$180=G75),--($P$2:$P$180&gt;=IF($B$4="All",1,MATCH($B$4,{"January","February","March","April","May","June","July","August","September","October","November","December"},0))),--($P$2:$P$180&lt;=IF($D$4="All",12,MATCH($D$4,{"January","February","March","April","May","June","July","August","September","October","November","December"},0))),--((($F$4="All")+($Q$2:$Q$180=$F$4))&gt;0),--((($H$4="All")+($R$2:$R$180=$H$4))&gt;0),--((($J$4="All")+($S$2:$S$180=$J$4))&gt;0))</f>
        <v>4647192</v>
      </c>
      <c r="N75" t="str">
        <f>'product list'!A75</f>
        <v>ord0074</v>
      </c>
      <c r="O75" t="str">
        <f t="shared" si="3"/>
        <v>March</v>
      </c>
      <c r="P75">
        <f>MATCH(LEFT(TRIM(MID('product list'!B75,FIND(",",'product list'!B75)+1,20)),3),{"jan","feb","mar","apr","may","jun","jul","aug","sep","oct","nov","dec"},0)</f>
        <v>3</v>
      </c>
      <c r="Q75" t="str">
        <f>'product list'!H75</f>
        <v>lucknow</v>
      </c>
      <c r="R75" t="str">
        <f>'product list'!I75</f>
        <v>gym equpments</v>
      </c>
      <c r="S75" t="str">
        <f>'product list'!L75</f>
        <v>sonal</v>
      </c>
      <c r="T75">
        <f>'product list'!P75</f>
        <v>83700</v>
      </c>
    </row>
    <row r="76" spans="1:20" x14ac:dyDescent="0.25">
      <c r="G76" t="s">
        <v>1241</v>
      </c>
      <c r="H76" s="235" cm="1">
        <f t="array" ref="H76">SUMPRODUCT($T$2:$T$180,--($S$2:$S$180=G76),--($P$2:$P$180&gt;=IF($B$4="All",1,MATCH($B$4,{"January","February","March","April","May","June","July","August","September","October","November","December"},0))),--($P$2:$P$180&lt;=IF($D$4="All",12,MATCH($D$4,{"January","February","March","April","May","June","July","August","September","October","November","December"},0))),--((($F$4="All")+($Q$2:$Q$180=$F$4))&gt;0),--((($H$4="All")+($R$2:$R$180=$H$4))&gt;0),--((($J$4="All")+($S$2:$S$180=$J$4))&gt;0))</f>
        <v>13932</v>
      </c>
      <c r="N76" t="str">
        <f>'product list'!A76</f>
        <v>ord0075</v>
      </c>
      <c r="O76" t="str">
        <f t="shared" si="3"/>
        <v>March</v>
      </c>
      <c r="P76">
        <f>MATCH(LEFT(TRIM(MID('product list'!B76,FIND(",",'product list'!B76)+1,20)),3),{"jan","feb","mar","apr","may","jun","jul","aug","sep","oct","nov","dec"},0)</f>
        <v>3</v>
      </c>
      <c r="Q76" t="str">
        <f>'product list'!H76</f>
        <v>hyderabad</v>
      </c>
      <c r="R76" t="str">
        <f>'product list'!I76</f>
        <v>kitchen</v>
      </c>
      <c r="S76" t="str">
        <f>'product list'!L76</f>
        <v>akash</v>
      </c>
      <c r="T76">
        <f>'product list'!P76</f>
        <v>10680</v>
      </c>
    </row>
    <row r="77" spans="1:20" x14ac:dyDescent="0.25">
      <c r="G77" t="s">
        <v>1277</v>
      </c>
      <c r="H77" s="235" cm="1">
        <f t="array" ref="H77">SUMPRODUCT($T$2:$T$180,--($S$2:$S$180=G77),--($P$2:$P$180&gt;=IF($B$4="All",1,MATCH($B$4,{"January","February","March","April","May","June","July","August","September","October","November","December"},0))),--($P$2:$P$180&lt;=IF($D$4="All",12,MATCH($D$4,{"January","February","March","April","May","June","July","August","September","October","November","December"},0))),--((($F$4="All")+($Q$2:$Q$180=$F$4))&gt;0),--((($H$4="All")+($R$2:$R$180=$H$4))&gt;0),--((($J$4="All")+($S$2:$S$180=$J$4))&gt;0))</f>
        <v>169272</v>
      </c>
      <c r="N77" t="str">
        <f>'product list'!A77</f>
        <v>ord0076</v>
      </c>
      <c r="O77" t="str">
        <f t="shared" si="3"/>
        <v>March</v>
      </c>
      <c r="P77">
        <f>MATCH(LEFT(TRIM(MID('product list'!B77,FIND(",",'product list'!B77)+1,20)),3),{"jan","feb","mar","apr","may","jun","jul","aug","sep","oct","nov","dec"},0)</f>
        <v>3</v>
      </c>
      <c r="Q77" t="str">
        <f>'product list'!H77</f>
        <v>patna</v>
      </c>
      <c r="R77" t="str">
        <f>'product list'!I77</f>
        <v>medicine</v>
      </c>
      <c r="S77" t="str">
        <f>'product list'!L77</f>
        <v>chirag</v>
      </c>
      <c r="T77">
        <f>'product list'!P77</f>
        <v>35100</v>
      </c>
    </row>
    <row r="78" spans="1:20" x14ac:dyDescent="0.25">
      <c r="G78" t="s">
        <v>1259</v>
      </c>
      <c r="H78" s="235" cm="1">
        <f t="array" ref="H78">SUMPRODUCT($T$2:$T$180,--($S$2:$S$180=G78),--($P$2:$P$180&gt;=IF($B$4="All",1,MATCH($B$4,{"January","February","March","April","May","June","July","August","September","October","November","December"},0))),--($P$2:$P$180&lt;=IF($D$4="All",12,MATCH($D$4,{"January","February","March","April","May","June","July","August","September","October","November","December"},0))),--((($F$4="All")+($Q$2:$Q$180=$F$4))&gt;0),--((($H$4="All")+($R$2:$R$180=$H$4))&gt;0),--((($J$4="All")+($S$2:$S$180=$J$4))&gt;0))</f>
        <v>139403</v>
      </c>
      <c r="N78" t="str">
        <f>'product list'!A78</f>
        <v>ord0077</v>
      </c>
      <c r="O78" t="str">
        <f t="shared" si="3"/>
        <v>March</v>
      </c>
      <c r="P78">
        <f>MATCH(LEFT(TRIM(MID('product list'!B78,FIND(",",'product list'!B78)+1,20)),3),{"jan","feb","mar","apr","may","jun","jul","aug","sep","oct","nov","dec"},0)</f>
        <v>3</v>
      </c>
      <c r="Q78" t="str">
        <f>'product list'!H78</f>
        <v>kanpur</v>
      </c>
      <c r="R78" t="str">
        <f>'product list'!I78</f>
        <v>stationary</v>
      </c>
      <c r="S78" t="str">
        <f>'product list'!L78</f>
        <v>arya</v>
      </c>
      <c r="T78">
        <f>'product list'!P78</f>
        <v>48360</v>
      </c>
    </row>
    <row r="79" spans="1:20" x14ac:dyDescent="0.25">
      <c r="G79" t="s">
        <v>1216</v>
      </c>
      <c r="H79" s="235" cm="1">
        <f t="array" ref="H79">SUMPRODUCT($T$2:$T$180,--($S$2:$S$180=G79),--($P$2:$P$180&gt;=IF($B$4="All",1,MATCH($B$4,{"January","February","March","April","May","June","July","August","September","October","November","December"},0))),--($P$2:$P$180&lt;=IF($D$4="All",12,MATCH($D$4,{"January","February","March","April","May","June","July","August","September","October","November","December"},0))),--((($F$4="All")+($Q$2:$Q$180=$F$4))&gt;0),--((($H$4="All")+($R$2:$R$180=$H$4))&gt;0),--((($J$4="All")+($S$2:$S$180=$J$4))&gt;0))</f>
        <v>290160</v>
      </c>
      <c r="N79" t="str">
        <f>'product list'!A79</f>
        <v>ord0078</v>
      </c>
      <c r="O79" t="str">
        <f t="shared" si="3"/>
        <v>March</v>
      </c>
      <c r="P79">
        <f>MATCH(LEFT(TRIM(MID('product list'!B79,FIND(",",'product list'!B79)+1,20)),3),{"jan","feb","mar","apr","may","jun","jul","aug","sep","oct","nov","dec"},0)</f>
        <v>3</v>
      </c>
      <c r="Q79" t="str">
        <f>'product list'!H79</f>
        <v>jaipur</v>
      </c>
      <c r="R79" t="str">
        <f>'product list'!I79</f>
        <v>supplyments</v>
      </c>
      <c r="S79" t="str">
        <f>'product list'!L79</f>
        <v>deepak</v>
      </c>
      <c r="T79">
        <f>'product list'!P79</f>
        <v>33480</v>
      </c>
    </row>
    <row r="80" spans="1:20" x14ac:dyDescent="0.25">
      <c r="G80" t="s">
        <v>1221</v>
      </c>
      <c r="H80" s="235" cm="1">
        <f t="array" ref="H80">SUMPRODUCT($T$2:$T$180,--($S$2:$S$180=G80),--($P$2:$P$180&gt;=IF($B$4="All",1,MATCH($B$4,{"January","February","March","April","May","June","July","August","September","October","November","December"},0))),--($P$2:$P$180&lt;=IF($D$4="All",12,MATCH($D$4,{"January","February","March","April","May","June","July","August","September","October","November","December"},0))),--((($F$4="All")+($Q$2:$Q$180=$F$4))&gt;0),--((($H$4="All")+($R$2:$R$180=$H$4))&gt;0),--((($J$4="All")+($S$2:$S$180=$J$4))&gt;0))</f>
        <v>9303525</v>
      </c>
      <c r="N80" t="str">
        <f>'product list'!A80</f>
        <v>ord0079</v>
      </c>
      <c r="O80" t="str">
        <f t="shared" si="3"/>
        <v>March</v>
      </c>
      <c r="P80">
        <f>MATCH(LEFT(TRIM(MID('product list'!B80,FIND(",",'product list'!B80)+1,20)),3),{"jan","feb","mar","apr","may","jun","jul","aug","sep","oct","nov","dec"},0)</f>
        <v>3</v>
      </c>
      <c r="Q80" t="str">
        <f>'product list'!H80</f>
        <v>varanasi</v>
      </c>
      <c r="R80" t="str">
        <f>'product list'!I80</f>
        <v>toys</v>
      </c>
      <c r="S80" t="str">
        <f>'product list'!L80</f>
        <v>mamta</v>
      </c>
      <c r="T80">
        <f>'product list'!P80</f>
        <v>10800</v>
      </c>
    </row>
    <row r="81" spans="7:20" x14ac:dyDescent="0.25">
      <c r="G81" t="s">
        <v>174</v>
      </c>
      <c r="H81" s="235" cm="1">
        <f t="array" ref="H81">SUMPRODUCT($T$2:$T$180,--($S$2:$S$180=G81),--($P$2:$P$180&gt;=IF($B$4="All",1,MATCH($B$4,{"January","February","March","April","May","June","July","August","September","October","November","December"},0))),--($P$2:$P$180&lt;=IF($D$4="All",12,MATCH($D$4,{"January","February","March","April","May","June","July","August","September","October","November","December"},0))),--((($F$4="All")+($Q$2:$Q$180=$F$4))&gt;0),--((($H$4="All")+($R$2:$R$180=$H$4))&gt;0),--((($J$4="All")+($S$2:$S$180=$J$4))&gt;0))</f>
        <v>26650</v>
      </c>
      <c r="N81" t="str">
        <f>'product list'!A81</f>
        <v>ord0080</v>
      </c>
      <c r="O81" t="str">
        <f t="shared" si="3"/>
        <v>March</v>
      </c>
      <c r="P81">
        <f>MATCH(LEFT(TRIM(MID('product list'!B81,FIND(",",'product list'!B81)+1,20)),3),{"jan","feb","mar","apr","may","jun","jul","aug","sep","oct","nov","dec"},0)</f>
        <v>3</v>
      </c>
      <c r="Q81" t="str">
        <f>'product list'!H81</f>
        <v>new delhi</v>
      </c>
      <c r="R81" t="str">
        <f>'product list'!I81</f>
        <v>vahicals</v>
      </c>
      <c r="S81" t="str">
        <f>'product list'!L81</f>
        <v>pallavi</v>
      </c>
      <c r="T81">
        <f>'product list'!P81</f>
        <v>317130</v>
      </c>
    </row>
    <row r="82" spans="7:20" x14ac:dyDescent="0.25">
      <c r="G82" t="s">
        <v>73</v>
      </c>
      <c r="H82" s="235" cm="1">
        <f t="array" ref="H82">SUMPRODUCT($T$2:$T$180,--($S$2:$S$180=G82),--($P$2:$P$180&gt;=IF($B$4="All",1,MATCH($B$4,{"January","February","March","April","May","June","July","August","September","October","November","December"},0))),--($P$2:$P$180&lt;=IF($D$4="All",12,MATCH($D$4,{"January","February","March","April","May","June","July","August","September","October","November","December"},0))),--((($F$4="All")+($Q$2:$Q$180=$F$4))&gt;0),--((($H$4="All")+($R$2:$R$180=$H$4))&gt;0),--((($J$4="All")+($S$2:$S$180=$J$4))&gt;0))</f>
        <v>55132</v>
      </c>
      <c r="N82" t="str">
        <f>'product list'!A82</f>
        <v>ord0081</v>
      </c>
      <c r="O82" t="str">
        <f t="shared" si="3"/>
        <v>March</v>
      </c>
      <c r="P82">
        <f>MATCH(LEFT(TRIM(MID('product list'!B82,FIND(",",'product list'!B82)+1,20)),3),{"jan","feb","mar","apr","may","jun","jul","aug","sep","oct","nov","dec"},0)</f>
        <v>3</v>
      </c>
      <c r="Q82" t="str">
        <f>'product list'!H82</f>
        <v>srinagar</v>
      </c>
      <c r="R82" t="str">
        <f>'product list'!I82</f>
        <v>armory</v>
      </c>
      <c r="S82" t="str">
        <f>'product list'!L82</f>
        <v>dev</v>
      </c>
      <c r="T82">
        <f>'product list'!P82</f>
        <v>26730</v>
      </c>
    </row>
    <row r="83" spans="7:20" x14ac:dyDescent="0.25">
      <c r="G83" t="s">
        <v>1231</v>
      </c>
      <c r="H83" s="235" cm="1">
        <f t="array" ref="H83">SUMPRODUCT($T$2:$T$180,--($S$2:$S$180=G83),--($P$2:$P$180&gt;=IF($B$4="All",1,MATCH($B$4,{"January","February","March","April","May","June","July","August","September","October","November","December"},0))),--($P$2:$P$180&lt;=IF($D$4="All",12,MATCH($D$4,{"January","February","March","April","May","June","July","August","September","October","November","December"},0))),--((($F$4="All")+($Q$2:$Q$180=$F$4))&gt;0),--((($H$4="All")+($R$2:$R$180=$H$4))&gt;0),--((($J$4="All")+($S$2:$S$180=$J$4))&gt;0))</f>
        <v>6300</v>
      </c>
      <c r="N83" t="str">
        <f>'product list'!A83</f>
        <v>ord0082</v>
      </c>
      <c r="O83" t="str">
        <f t="shared" si="3"/>
        <v>March</v>
      </c>
      <c r="P83">
        <f>MATCH(LEFT(TRIM(MID('product list'!B83,FIND(",",'product list'!B83)+1,20)),3),{"jan","feb","mar","apr","may","jun","jul","aug","sep","oct","nov","dec"},0)</f>
        <v>3</v>
      </c>
      <c r="Q83" t="str">
        <f>'product list'!H83</f>
        <v>patna</v>
      </c>
      <c r="R83" t="str">
        <f>'product list'!I83</f>
        <v>beauty</v>
      </c>
      <c r="S83" t="str">
        <f>'product list'!L83</f>
        <v>anjali</v>
      </c>
      <c r="T83">
        <f>'product list'!P83</f>
        <v>84630</v>
      </c>
    </row>
    <row r="84" spans="7:20" x14ac:dyDescent="0.25">
      <c r="G84" t="s">
        <v>227</v>
      </c>
      <c r="H84" s="235" cm="1">
        <f t="array" ref="H84">SUMPRODUCT($T$2:$T$180,--($S$2:$S$180=G84),--($P$2:$P$180&gt;=IF($B$4="All",1,MATCH($B$4,{"January","February","March","April","May","June","July","August","September","October","November","December"},0))),--($P$2:$P$180&lt;=IF($D$4="All",12,MATCH($D$4,{"January","February","March","April","May","June","July","August","September","October","November","December"},0))),--((($F$4="All")+($Q$2:$Q$180=$F$4))&gt;0),--((($H$4="All")+($R$2:$R$180=$H$4))&gt;0),--((($J$4="All")+($S$2:$S$180=$J$4))&gt;0))</f>
        <v>9072</v>
      </c>
      <c r="N84" t="str">
        <f>'product list'!A84</f>
        <v>ord0083</v>
      </c>
      <c r="O84" t="str">
        <f t="shared" si="3"/>
        <v>March</v>
      </c>
      <c r="P84">
        <f>MATCH(LEFT(TRIM(MID('product list'!B84,FIND(",",'product list'!B84)+1,20)),3),{"jan","feb","mar","apr","may","jun","jul","aug","sep","oct","nov","dec"},0)</f>
        <v>3</v>
      </c>
      <c r="Q84" t="str">
        <f>'product list'!H84</f>
        <v>bengaluru</v>
      </c>
      <c r="R84" t="str">
        <f>'product list'!I84</f>
        <v>books</v>
      </c>
      <c r="S84" t="str">
        <f>'product list'!L84</f>
        <v>daksh</v>
      </c>
      <c r="T84">
        <f>'product list'!P84</f>
        <v>87420</v>
      </c>
    </row>
    <row r="85" spans="7:20" x14ac:dyDescent="0.25">
      <c r="G85" t="s">
        <v>193</v>
      </c>
      <c r="H85" s="235" cm="1">
        <f t="array" ref="H85">SUMPRODUCT($T$2:$T$180,--($S$2:$S$180=G85),--($P$2:$P$180&gt;=IF($B$4="All",1,MATCH($B$4,{"January","February","March","April","May","June","July","August","September","October","November","December"},0))),--($P$2:$P$180&lt;=IF($D$4="All",12,MATCH($D$4,{"January","February","March","April","May","June","July","August","September","October","November","December"},0))),--((($F$4="All")+($Q$2:$Q$180=$F$4))&gt;0),--((($H$4="All")+($R$2:$R$180=$H$4))&gt;0),--((($J$4="All")+($S$2:$S$180=$J$4))&gt;0))</f>
        <v>26280</v>
      </c>
      <c r="N85" t="str">
        <f>'product list'!A85</f>
        <v>ord0084</v>
      </c>
      <c r="O85" t="str">
        <f t="shared" si="3"/>
        <v>March</v>
      </c>
      <c r="P85">
        <f>MATCH(LEFT(TRIM(MID('product list'!B85,FIND(",",'product list'!B85)+1,20)),3),{"jan","feb","mar","apr","may","jun","jul","aug","sep","oct","nov","dec"},0)</f>
        <v>3</v>
      </c>
      <c r="Q85" t="str">
        <f>'product list'!H85</f>
        <v>manali</v>
      </c>
      <c r="R85" t="str">
        <f>'product list'!I85</f>
        <v>clothes</v>
      </c>
      <c r="S85" t="str">
        <f>'product list'!L85</f>
        <v>ayush</v>
      </c>
      <c r="T85">
        <f>'product list'!P85</f>
        <v>99820</v>
      </c>
    </row>
    <row r="86" spans="7:20" x14ac:dyDescent="0.25">
      <c r="G86" t="s">
        <v>155</v>
      </c>
      <c r="H86" s="235" cm="1">
        <f t="array" ref="H86">SUMPRODUCT($T$2:$T$180,--($S$2:$S$180=G86),--($P$2:$P$180&gt;=IF($B$4="All",1,MATCH($B$4,{"January","February","March","April","May","June","July","August","September","October","November","December"},0))),--($P$2:$P$180&lt;=IF($D$4="All",12,MATCH($D$4,{"January","February","March","April","May","June","July","August","September","October","November","December"},0))),--((($F$4="All")+($Q$2:$Q$180=$F$4))&gt;0),--((($H$4="All")+($R$2:$R$180=$H$4))&gt;0),--((($J$4="All")+($S$2:$S$180=$J$4))&gt;0))</f>
        <v>21360</v>
      </c>
      <c r="N86" t="str">
        <f>'product list'!A86</f>
        <v>ord0085</v>
      </c>
      <c r="O86" t="str">
        <f t="shared" si="3"/>
        <v>March</v>
      </c>
      <c r="P86">
        <f>MATCH(LEFT(TRIM(MID('product list'!B86,FIND(",",'product list'!B86)+1,20)),3),{"jan","feb","mar","apr","may","jun","jul","aug","sep","oct","nov","dec"},0)</f>
        <v>3</v>
      </c>
      <c r="Q86" t="str">
        <f>'product list'!H86</f>
        <v>indore</v>
      </c>
      <c r="R86" t="str">
        <f>'product list'!I86</f>
        <v>electronic</v>
      </c>
      <c r="S86" t="str">
        <f>'product list'!L86</f>
        <v>bhavna</v>
      </c>
      <c r="T86">
        <f>'product list'!P86</f>
        <v>277760</v>
      </c>
    </row>
    <row r="87" spans="7:20" x14ac:dyDescent="0.25">
      <c r="G87" t="s">
        <v>168</v>
      </c>
      <c r="H87" s="235" cm="1">
        <f t="array" ref="H87">SUMPRODUCT($T$2:$T$180,--($S$2:$S$180=G87),--($P$2:$P$180&gt;=IF($B$4="All",1,MATCH($B$4,{"January","February","March","April","May","June","July","August","September","October","November","December"},0))),--($P$2:$P$180&lt;=IF($D$4="All",12,MATCH($D$4,{"January","February","March","April","May","June","July","August","September","October","November","December"},0))),--((($F$4="All")+($Q$2:$Q$180=$F$4))&gt;0),--((($H$4="All")+($R$2:$R$180=$H$4))&gt;0),--((($J$4="All")+($S$2:$S$180=$J$4))&gt;0))</f>
        <v>8010</v>
      </c>
      <c r="N87" t="str">
        <f>'product list'!A87</f>
        <v>ord0086</v>
      </c>
      <c r="O87" t="str">
        <f t="shared" si="3"/>
        <v>March</v>
      </c>
      <c r="P87">
        <f>MATCH(LEFT(TRIM(MID('product list'!B87,FIND(",",'product list'!B87)+1,20)),3),{"jan","feb","mar","apr","may","jun","jul","aug","sep","oct","nov","dec"},0)</f>
        <v>3</v>
      </c>
      <c r="Q87" t="str">
        <f>'product list'!H87</f>
        <v>vijayawada</v>
      </c>
      <c r="R87" t="str">
        <f>'product list'!I87</f>
        <v>gym equpments</v>
      </c>
      <c r="S87" t="str">
        <f>'product list'!L87</f>
        <v>bhawesh</v>
      </c>
      <c r="T87">
        <f>'product list'!P87</f>
        <v>29760</v>
      </c>
    </row>
    <row r="88" spans="7:20" x14ac:dyDescent="0.25">
      <c r="G88" t="s">
        <v>138</v>
      </c>
      <c r="H88" s="235" cm="1">
        <f t="array" ref="H88">SUMPRODUCT($T$2:$T$180,--($S$2:$S$180=G88),--($P$2:$P$180&gt;=IF($B$4="All",1,MATCH($B$4,{"January","February","March","April","May","June","July","August","September","October","November","December"},0))),--($P$2:$P$180&lt;=IF($D$4="All",12,MATCH($D$4,{"January","February","March","April","May","June","July","August","September","October","November","December"},0))),--((($F$4="All")+($Q$2:$Q$180=$F$4))&gt;0),--((($H$4="All")+($R$2:$R$180=$H$4))&gt;0),--((($J$4="All")+($S$2:$S$180=$J$4))&gt;0))</f>
        <v>7436536</v>
      </c>
      <c r="N88" t="str">
        <f>'product list'!A88</f>
        <v>ord0087</v>
      </c>
      <c r="O88" t="str">
        <f t="shared" si="3"/>
        <v>March</v>
      </c>
      <c r="P88">
        <f>MATCH(LEFT(TRIM(MID('product list'!B88,FIND(",",'product list'!B88)+1,20)),3),{"jan","feb","mar","apr","may","jun","jul","aug","sep","oct","nov","dec"},0)</f>
        <v>3</v>
      </c>
      <c r="Q88" t="str">
        <f>'product list'!H88</f>
        <v>haridwar</v>
      </c>
      <c r="R88" t="str">
        <f>'product list'!I88</f>
        <v>kitchen</v>
      </c>
      <c r="S88" t="str">
        <f>'product list'!L88</f>
        <v>arjun</v>
      </c>
      <c r="T88">
        <f>'product list'!P88</f>
        <v>47740</v>
      </c>
    </row>
    <row r="89" spans="7:20" x14ac:dyDescent="0.25">
      <c r="G89" t="s">
        <v>1292</v>
      </c>
      <c r="H89" s="235" cm="1">
        <f t="array" ref="H89">SUMPRODUCT($T$2:$T$180,--($S$2:$S$180=G89),--($P$2:$P$180&gt;=IF($B$4="All",1,MATCH($B$4,{"January","February","March","April","May","June","July","August","September","October","November","December"},0))),--($P$2:$P$180&lt;=IF($D$4="All",12,MATCH($D$4,{"January","February","March","April","May","June","July","August","September","October","November","December"},0))),--((($F$4="All")+($Q$2:$Q$180=$F$4))&gt;0),--((($H$4="All")+($R$2:$R$180=$H$4))&gt;0),--((($J$4="All")+($S$2:$S$180=$J$4))&gt;0))</f>
        <v>38192</v>
      </c>
      <c r="N89" t="str">
        <f>'product list'!A89</f>
        <v>ord0088</v>
      </c>
      <c r="O89" t="str">
        <f t="shared" si="3"/>
        <v>March</v>
      </c>
      <c r="P89">
        <f>MATCH(LEFT(TRIM(MID('product list'!B89,FIND(",",'product list'!B89)+1,20)),3),{"jan","feb","mar","apr","may","jun","jul","aug","sep","oct","nov","dec"},0)</f>
        <v>3</v>
      </c>
      <c r="Q89" t="str">
        <f>'product list'!H89</f>
        <v>new delhi</v>
      </c>
      <c r="R89" t="str">
        <f>'product list'!I89</f>
        <v>medicine</v>
      </c>
      <c r="S89" t="str">
        <f>'product list'!L89</f>
        <v>anshu</v>
      </c>
      <c r="T89">
        <f>'product list'!P89</f>
        <v>200260</v>
      </c>
    </row>
    <row r="90" spans="7:20" x14ac:dyDescent="0.25">
      <c r="G90" t="s">
        <v>319</v>
      </c>
      <c r="H90" s="235" cm="1">
        <f t="array" ref="H90">SUMPRODUCT($T$2:$T$180,--($S$2:$S$180=G90),--($P$2:$P$180&gt;=IF($B$4="All",1,MATCH($B$4,{"January","February","March","April","May","June","July","August","September","October","November","December"},0))),--($P$2:$P$180&lt;=IF($D$4="All",12,MATCH($D$4,{"January","February","March","April","May","June","July","August","September","October","November","December"},0))),--((($F$4="All")+($Q$2:$Q$180=$F$4))&gt;0),--((($H$4="All")+($R$2:$R$180=$H$4))&gt;0),--((($J$4="All")+($S$2:$S$180=$J$4))&gt;0))</f>
        <v>160810</v>
      </c>
      <c r="N90" t="str">
        <f>'product list'!A90</f>
        <v>ord0089</v>
      </c>
      <c r="O90" t="str">
        <f t="shared" si="3"/>
        <v>March</v>
      </c>
      <c r="P90">
        <f>MATCH(LEFT(TRIM(MID('product list'!B90,FIND(",",'product list'!B90)+1,20)),3),{"jan","feb","mar","apr","may","jun","jul","aug","sep","oct","nov","dec"},0)</f>
        <v>3</v>
      </c>
      <c r="Q90" t="str">
        <f>'product list'!H90</f>
        <v>pune</v>
      </c>
      <c r="R90" t="str">
        <f>'product list'!I90</f>
        <v>stationary</v>
      </c>
      <c r="S90" t="str">
        <f>'product list'!L90</f>
        <v>alisha</v>
      </c>
      <c r="T90">
        <f>'product list'!P90</f>
        <v>42840</v>
      </c>
    </row>
    <row r="91" spans="7:20" x14ac:dyDescent="0.25">
      <c r="G91" t="s">
        <v>1245</v>
      </c>
      <c r="H91" s="235" cm="1">
        <f t="array" ref="H91">SUMPRODUCT($T$2:$T$180,--($S$2:$S$180=G91),--($P$2:$P$180&gt;=IF($B$4="All",1,MATCH($B$4,{"January","February","March","April","May","June","July","August","September","October","November","December"},0))),--($P$2:$P$180&lt;=IF($D$4="All",12,MATCH($D$4,{"January","February","March","April","May","June","July","August","September","October","November","December"},0))),--((($F$4="All")+($Q$2:$Q$180=$F$4))&gt;0),--((($H$4="All")+($R$2:$R$180=$H$4))&gt;0),--((($J$4="All")+($S$2:$S$180=$J$4))&gt;0))</f>
        <v>82739</v>
      </c>
      <c r="N91" t="str">
        <f>'product list'!A91</f>
        <v>ord0090</v>
      </c>
      <c r="O91" t="str">
        <f t="shared" si="3"/>
        <v>April</v>
      </c>
      <c r="P91">
        <f>MATCH(LEFT(TRIM(MID('product list'!B91,FIND(",",'product list'!B91)+1,20)),3),{"jan","feb","mar","apr","may","jun","jul","aug","sep","oct","nov","dec"},0)</f>
        <v>4</v>
      </c>
      <c r="Q91" t="str">
        <f>'product list'!H91</f>
        <v>manali</v>
      </c>
      <c r="R91" t="str">
        <f>'product list'!I91</f>
        <v>toys</v>
      </c>
      <c r="S91" t="str">
        <f>'product list'!L91</f>
        <v>amit</v>
      </c>
      <c r="T91">
        <f>'product list'!P91</f>
        <v>60696</v>
      </c>
    </row>
    <row r="92" spans="7:20" x14ac:dyDescent="0.25">
      <c r="G92" t="s">
        <v>239</v>
      </c>
      <c r="H92" s="235" cm="1">
        <f t="array" ref="H92">SUMPRODUCT($T$2:$T$180,--($S$2:$S$180=G92),--($P$2:$P$180&gt;=IF($B$4="All",1,MATCH($B$4,{"January","February","March","April","May","June","July","August","September","October","November","December"},0))),--($P$2:$P$180&lt;=IF($D$4="All",12,MATCH($D$4,{"January","February","March","April","May","June","July","August","September","October","November","December"},0))),--((($F$4="All")+($Q$2:$Q$180=$F$4))&gt;0),--((($H$4="All")+($R$2:$R$180=$H$4))&gt;0),--((($J$4="All")+($S$2:$S$180=$J$4))&gt;0))</f>
        <v>149544</v>
      </c>
      <c r="N92" t="str">
        <f>'product list'!A92</f>
        <v>ord0091</v>
      </c>
      <c r="O92" t="str">
        <f t="shared" si="3"/>
        <v>April</v>
      </c>
      <c r="P92">
        <f>MATCH(LEFT(TRIM(MID('product list'!B92,FIND(",",'product list'!B92)+1,20)),3),{"jan","feb","mar","apr","may","jun","jul","aug","sep","oct","nov","dec"},0)</f>
        <v>4</v>
      </c>
      <c r="Q92" t="str">
        <f>'product list'!H92</f>
        <v>kolkata</v>
      </c>
      <c r="R92" t="str">
        <f>'product list'!I92</f>
        <v>clothes</v>
      </c>
      <c r="S92" t="str">
        <f>'product list'!L92</f>
        <v>kunal</v>
      </c>
      <c r="T92">
        <f>'product list'!P92</f>
        <v>50220</v>
      </c>
    </row>
    <row r="93" spans="7:20" x14ac:dyDescent="0.25">
      <c r="G93" t="s">
        <v>1212</v>
      </c>
      <c r="H93" s="235" cm="1">
        <f t="array" ref="H93">SUMPRODUCT($T$2:$T$180,--($S$2:$S$180=G93),--($P$2:$P$180&gt;=IF($B$4="All",1,MATCH($B$4,{"January","February","March","April","May","June","July","August","September","October","November","December"},0))),--($P$2:$P$180&lt;=IF($D$4="All",12,MATCH($D$4,{"January","February","March","April","May","June","July","August","September","October","November","December"},0))),--((($F$4="All")+($Q$2:$Q$180=$F$4))&gt;0),--((($H$4="All")+($R$2:$R$180=$H$4))&gt;0),--((($J$4="All")+($S$2:$S$180=$J$4))&gt;0))</f>
        <v>1053360</v>
      </c>
      <c r="N93" t="str">
        <f>'product list'!A93</f>
        <v>ord0092</v>
      </c>
      <c r="O93" t="str">
        <f t="shared" si="3"/>
        <v>April</v>
      </c>
      <c r="P93">
        <f>MATCH(LEFT(TRIM(MID('product list'!B93,FIND(",",'product list'!B93)+1,20)),3),{"jan","feb","mar","apr","may","jun","jul","aug","sep","oct","nov","dec"},0)</f>
        <v>4</v>
      </c>
      <c r="Q93" t="str">
        <f>'product list'!H93</f>
        <v>new delhi</v>
      </c>
      <c r="R93" t="str">
        <f>'product list'!I93</f>
        <v>electronic</v>
      </c>
      <c r="S93" t="str">
        <f>'product list'!L93</f>
        <v>alisha</v>
      </c>
      <c r="T93">
        <f>'product list'!P93</f>
        <v>764910</v>
      </c>
    </row>
    <row r="94" spans="7:20" x14ac:dyDescent="0.25">
      <c r="G94" t="s">
        <v>1236</v>
      </c>
      <c r="H94" s="235" cm="1">
        <f t="array" ref="H94">SUMPRODUCT($T$2:$T$180,--($S$2:$S$180=G94),--($P$2:$P$180&gt;=IF($B$4="All",1,MATCH($B$4,{"January","February","March","April","May","June","July","August","September","October","November","December"},0))),--($P$2:$P$180&lt;=IF($D$4="All",12,MATCH($D$4,{"January","February","March","April","May","June","July","August","September","October","November","December"},0))),--((($F$4="All")+($Q$2:$Q$180=$F$4))&gt;0),--((($H$4="All")+($R$2:$R$180=$H$4))&gt;0),--((($J$4="All")+($S$2:$S$180=$J$4))&gt;0))</f>
        <v>8388</v>
      </c>
      <c r="N94" t="str">
        <f>'product list'!A94</f>
        <v>ord0093</v>
      </c>
      <c r="O94" t="str">
        <f t="shared" si="3"/>
        <v>April</v>
      </c>
      <c r="P94">
        <f>MATCH(LEFT(TRIM(MID('product list'!B94,FIND(",",'product list'!B94)+1,20)),3),{"jan","feb","mar","apr","may","jun","jul","aug","sep","oct","nov","dec"},0)</f>
        <v>4</v>
      </c>
      <c r="Q94" t="str">
        <f>'product list'!H94</f>
        <v>kanpur</v>
      </c>
      <c r="R94" t="str">
        <f>'product list'!I94</f>
        <v>gym equpments</v>
      </c>
      <c r="S94" t="str">
        <f>'product list'!L94</f>
        <v>amit</v>
      </c>
      <c r="T94">
        <f>'product list'!P94</f>
        <v>206150</v>
      </c>
    </row>
    <row r="95" spans="7:20" x14ac:dyDescent="0.25">
      <c r="G95" t="s">
        <v>1249</v>
      </c>
      <c r="H95" s="235" cm="1">
        <f t="array" ref="H95">SUMPRODUCT($T$2:$T$180,--($S$2:$S$180=G95),--($P$2:$P$180&gt;=IF($B$4="All",1,MATCH($B$4,{"January","February","March","April","May","June","July","August","September","October","November","December"},0))),--($P$2:$P$180&lt;=IF($D$4="All",12,MATCH($D$4,{"January","February","March","April","May","June","July","August","September","October","November","December"},0))),--((($F$4="All")+($Q$2:$Q$180=$F$4))&gt;0),--((($H$4="All")+($R$2:$R$180=$H$4))&gt;0),--((($J$4="All")+($S$2:$S$180=$J$4))&gt;0))</f>
        <v>42780</v>
      </c>
      <c r="N95" t="str">
        <f>'product list'!A95</f>
        <v>ord0094</v>
      </c>
      <c r="O95" t="str">
        <f t="shared" si="3"/>
        <v>April</v>
      </c>
      <c r="P95">
        <f>MATCH(LEFT(TRIM(MID('product list'!B95,FIND(",",'product list'!B95)+1,20)),3),{"jan","feb","mar","apr","may","jun","jul","aug","sep","oct","nov","dec"},0)</f>
        <v>4</v>
      </c>
      <c r="Q95" t="str">
        <f>'product list'!H95</f>
        <v>amritsar</v>
      </c>
      <c r="R95" t="str">
        <f>'product list'!I95</f>
        <v>kitchen</v>
      </c>
      <c r="S95" t="str">
        <f>'product list'!L95</f>
        <v>anshu</v>
      </c>
      <c r="T95">
        <f>'product list'!P95</f>
        <v>139720</v>
      </c>
    </row>
    <row r="96" spans="7:20" x14ac:dyDescent="0.25">
      <c r="G96" t="s">
        <v>284</v>
      </c>
      <c r="H96" s="235" cm="1">
        <f t="array" ref="H96">SUMPRODUCT($T$2:$T$180,--($S$2:$S$180=G96),--($P$2:$P$180&gt;=IF($B$4="All",1,MATCH($B$4,{"January","February","March","April","May","June","July","August","September","October","November","December"},0))),--($P$2:$P$180&lt;=IF($D$4="All",12,MATCH($D$4,{"January","February","March","April","May","June","July","August","September","October","November","December"},0))),--((($F$4="All")+($Q$2:$Q$180=$F$4))&gt;0),--((($H$4="All")+($R$2:$R$180=$H$4))&gt;0),--((($J$4="All")+($S$2:$S$180=$J$4))&gt;0))</f>
        <v>38416</v>
      </c>
      <c r="N96" t="str">
        <f>'product list'!A96</f>
        <v>ord0095</v>
      </c>
      <c r="O96" t="str">
        <f t="shared" si="3"/>
        <v>April</v>
      </c>
      <c r="P96">
        <f>MATCH(LEFT(TRIM(MID('product list'!B96,FIND(",",'product list'!B96)+1,20)),3),{"jan","feb","mar","apr","may","jun","jul","aug","sep","oct","nov","dec"},0)</f>
        <v>4</v>
      </c>
      <c r="Q96" t="str">
        <f>'product list'!H96</f>
        <v>chennai</v>
      </c>
      <c r="R96" t="str">
        <f>'product list'!I96</f>
        <v>medicine</v>
      </c>
      <c r="S96" t="str">
        <f>'product list'!L96</f>
        <v>arjun</v>
      </c>
      <c r="T96">
        <f>'product list'!P96</f>
        <v>41760</v>
      </c>
    </row>
    <row r="97" spans="7:20" x14ac:dyDescent="0.25">
      <c r="G97" t="s">
        <v>1268</v>
      </c>
      <c r="H97" s="235" cm="1">
        <f t="array" ref="H97">SUMPRODUCT($T$2:$T$180,--($S$2:$S$180=G97),--($P$2:$P$180&gt;=IF($B$4="All",1,MATCH($B$4,{"January","February","March","April","May","June","July","August","September","October","November","December"},0))),--($P$2:$P$180&lt;=IF($D$4="All",12,MATCH($D$4,{"January","February","March","April","May","June","July","August","September","October","November","December"},0))),--((($F$4="All")+($Q$2:$Q$180=$F$4))&gt;0),--((($H$4="All")+($R$2:$R$180=$H$4))&gt;0),--((($J$4="All")+($S$2:$S$180=$J$4))&gt;0))</f>
        <v>111469</v>
      </c>
      <c r="N97" t="str">
        <f>'product list'!A97</f>
        <v>ord0096</v>
      </c>
      <c r="O97" t="str">
        <f t="shared" si="3"/>
        <v>April</v>
      </c>
      <c r="P97">
        <f>MATCH(LEFT(TRIM(MID('product list'!B97,FIND(",",'product list'!B97)+1,20)),3),{"jan","feb","mar","apr","may","jun","jul","aug","sep","oct","nov","dec"},0)</f>
        <v>4</v>
      </c>
      <c r="Q97" t="str">
        <f>'product list'!H97</f>
        <v>bhubaneswar</v>
      </c>
      <c r="R97" t="str">
        <f>'product list'!I97</f>
        <v>stationary</v>
      </c>
      <c r="S97" t="str">
        <f>'product list'!L97</f>
        <v>akash</v>
      </c>
      <c r="T97">
        <f>'product list'!P97</f>
        <v>81900</v>
      </c>
    </row>
    <row r="98" spans="7:20" x14ac:dyDescent="0.25">
      <c r="G98" t="s">
        <v>342</v>
      </c>
      <c r="H98" s="235" cm="1">
        <f t="array" ref="H98">SUMPRODUCT($T$2:$T$180,--($S$2:$S$180=G98),--($P$2:$P$180&gt;=IF($B$4="All",1,MATCH($B$4,{"January","February","March","April","May","June","July","August","September","October","November","December"},0))),--($P$2:$P$180&lt;=IF($D$4="All",12,MATCH($D$4,{"January","February","March","April","May","June","July","August","September","October","November","December"},0))),--((($F$4="All")+($Q$2:$Q$180=$F$4))&gt;0),--((($H$4="All")+($R$2:$R$180=$H$4))&gt;0),--((($J$4="All")+($S$2:$S$180=$J$4))&gt;0))</f>
        <v>9900</v>
      </c>
      <c r="N98" t="str">
        <f>'product list'!A98</f>
        <v>ord0097</v>
      </c>
      <c r="O98" t="str">
        <f t="shared" si="3"/>
        <v>April</v>
      </c>
      <c r="P98">
        <f>MATCH(LEFT(TRIM(MID('product list'!B98,FIND(",",'product list'!B98)+1,20)),3),{"jan","feb","mar","apr","may","jun","jul","aug","sep","oct","nov","dec"},0)</f>
        <v>4</v>
      </c>
      <c r="Q98" t="str">
        <f>'product list'!H98</f>
        <v>ranchi</v>
      </c>
      <c r="R98" t="str">
        <f>'product list'!I98</f>
        <v>supplyments</v>
      </c>
      <c r="S98" t="str">
        <f>'product list'!L98</f>
        <v>arya</v>
      </c>
      <c r="T98">
        <f>'product list'!P98</f>
        <v>18630</v>
      </c>
    </row>
    <row r="99" spans="7:20" x14ac:dyDescent="0.25">
      <c r="N99" t="str">
        <f>'product list'!A99</f>
        <v>ord0098</v>
      </c>
      <c r="O99" t="str">
        <f t="shared" si="3"/>
        <v>April</v>
      </c>
      <c r="P99">
        <f>MATCH(LEFT(TRIM(MID('product list'!B99,FIND(",",'product list'!B99)+1,20)),3),{"jan","feb","mar","apr","may","jun","jul","aug","sep","oct","nov","dec"},0)</f>
        <v>4</v>
      </c>
      <c r="Q99" t="str">
        <f>'product list'!H99</f>
        <v>new delhi</v>
      </c>
      <c r="R99" t="str">
        <f>'product list'!I99</f>
        <v>toys</v>
      </c>
      <c r="S99" t="str">
        <f>'product list'!L99</f>
        <v>ayush</v>
      </c>
      <c r="T99">
        <f>'product list'!P99</f>
        <v>33720</v>
      </c>
    </row>
    <row r="100" spans="7:20" x14ac:dyDescent="0.25">
      <c r="N100" t="str">
        <f>'product list'!A100</f>
        <v>ord0099</v>
      </c>
      <c r="O100" t="str">
        <f t="shared" si="3"/>
        <v>April</v>
      </c>
      <c r="P100">
        <f>MATCH(LEFT(TRIM(MID('product list'!B100,FIND(",",'product list'!B100)+1,20)),3),{"jan","feb","mar","apr","may","jun","jul","aug","sep","oct","nov","dec"},0)</f>
        <v>4</v>
      </c>
      <c r="Q100" t="str">
        <f>'product list'!H100</f>
        <v>jaipur</v>
      </c>
      <c r="R100" t="str">
        <f>'product list'!I100</f>
        <v>vahicals</v>
      </c>
      <c r="S100" t="str">
        <f>'product list'!L100</f>
        <v>bhavna</v>
      </c>
      <c r="T100">
        <f>'product list'!P100</f>
        <v>803250</v>
      </c>
    </row>
    <row r="101" spans="7:20" x14ac:dyDescent="0.25">
      <c r="N101" t="str">
        <f>'product list'!A101</f>
        <v>ord0100</v>
      </c>
      <c r="O101" t="str">
        <f t="shared" si="3"/>
        <v>May</v>
      </c>
      <c r="P101">
        <f>MATCH(LEFT(TRIM(MID('product list'!B101,FIND(",",'product list'!B101)+1,20)),3),{"jan","feb","mar","apr","may","jun","jul","aug","sep","oct","nov","dec"},0)</f>
        <v>5</v>
      </c>
      <c r="Q101" t="str">
        <f>'product list'!H101</f>
        <v>shimla</v>
      </c>
      <c r="R101" t="str">
        <f>'product list'!I101</f>
        <v>armory</v>
      </c>
      <c r="S101" t="str">
        <f>'product list'!L101</f>
        <v>bhawesh</v>
      </c>
      <c r="T101">
        <f>'product list'!P101</f>
        <v>1231200</v>
      </c>
    </row>
    <row r="102" spans="7:20" x14ac:dyDescent="0.25">
      <c r="N102" t="str">
        <f>'product list'!A102</f>
        <v>ord0101</v>
      </c>
      <c r="O102" t="str">
        <f t="shared" si="3"/>
        <v>May</v>
      </c>
      <c r="P102">
        <f>MATCH(LEFT(TRIM(MID('product list'!B102,FIND(",",'product list'!B102)+1,20)),3),{"jan","feb","mar","apr","may","jun","jul","aug","sep","oct","nov","dec"},0)</f>
        <v>5</v>
      </c>
      <c r="Q102" t="str">
        <f>'product list'!H102</f>
        <v>amritsar</v>
      </c>
      <c r="R102" t="str">
        <f>'product list'!I102</f>
        <v>beauty</v>
      </c>
      <c r="S102" t="str">
        <f>'product list'!L102</f>
        <v>chirag</v>
      </c>
      <c r="T102">
        <f>'product list'!P102</f>
        <v>9900</v>
      </c>
    </row>
    <row r="103" spans="7:20" x14ac:dyDescent="0.25">
      <c r="N103" t="str">
        <f>'product list'!A103</f>
        <v>ord0102</v>
      </c>
      <c r="O103" t="str">
        <f t="shared" si="3"/>
        <v>May</v>
      </c>
      <c r="P103">
        <f>MATCH(LEFT(TRIM(MID('product list'!B103,FIND(",",'product list'!B103)+1,20)),3),{"jan","feb","mar","apr","may","jun","jul","aug","sep","oct","nov","dec"},0)</f>
        <v>5</v>
      </c>
      <c r="Q103" t="str">
        <f>'product list'!H103</f>
        <v>mumbai</v>
      </c>
      <c r="R103" t="str">
        <f>'product list'!I103</f>
        <v>books</v>
      </c>
      <c r="S103" t="str">
        <f>'product list'!L103</f>
        <v>dev</v>
      </c>
      <c r="T103">
        <f>'product list'!P103</f>
        <v>29900</v>
      </c>
    </row>
    <row r="104" spans="7:20" x14ac:dyDescent="0.25">
      <c r="N104" t="str">
        <f>'product list'!A104</f>
        <v>ord0103</v>
      </c>
      <c r="O104" t="str">
        <f t="shared" si="3"/>
        <v>May</v>
      </c>
      <c r="P104">
        <f>MATCH(LEFT(TRIM(MID('product list'!B104,FIND(",",'product list'!B104)+1,20)),3),{"jan","feb","mar","apr","may","jun","jul","aug","sep","oct","nov","dec"},0)</f>
        <v>5</v>
      </c>
      <c r="Q104" t="str">
        <f>'product list'!H104</f>
        <v>varanasi</v>
      </c>
      <c r="R104" t="str">
        <f>'product list'!I104</f>
        <v>clothes</v>
      </c>
      <c r="S104" t="str">
        <f>'product list'!L104</f>
        <v>anjali</v>
      </c>
      <c r="T104">
        <f>'product list'!P104</f>
        <v>26040</v>
      </c>
    </row>
    <row r="105" spans="7:20" x14ac:dyDescent="0.25">
      <c r="N105" t="str">
        <f>'product list'!A105</f>
        <v>ord0104</v>
      </c>
      <c r="O105" t="str">
        <f t="shared" si="3"/>
        <v>May</v>
      </c>
      <c r="P105">
        <f>MATCH(LEFT(TRIM(MID('product list'!B105,FIND(",",'product list'!B105)+1,20)),3),{"jan","feb","mar","apr","may","jun","jul","aug","sep","oct","nov","dec"},0)</f>
        <v>5</v>
      </c>
      <c r="Q105" t="str">
        <f>'product list'!H105</f>
        <v>hyderabad</v>
      </c>
      <c r="R105" t="str">
        <f>'product list'!I105</f>
        <v>electronic</v>
      </c>
      <c r="S105" t="str">
        <f>'product list'!L105</f>
        <v>daksh</v>
      </c>
      <c r="T105">
        <f>'product list'!P105</f>
        <v>849900</v>
      </c>
    </row>
    <row r="106" spans="7:20" x14ac:dyDescent="0.25">
      <c r="N106" t="str">
        <f>'product list'!A106</f>
        <v>ord0105</v>
      </c>
      <c r="O106" t="str">
        <f t="shared" si="3"/>
        <v>May</v>
      </c>
      <c r="P106">
        <f>MATCH(LEFT(TRIM(MID('product list'!B106,FIND(",",'product list'!B106)+1,20)),3),{"jan","feb","mar","apr","may","jun","jul","aug","sep","oct","nov","dec"},0)</f>
        <v>5</v>
      </c>
      <c r="Q106" t="str">
        <f>'product list'!H106</f>
        <v>jammu</v>
      </c>
      <c r="R106" t="str">
        <f>'product list'!I106</f>
        <v>gym equpments</v>
      </c>
      <c r="S106" t="str">
        <f>'product list'!L106</f>
        <v>sonal</v>
      </c>
      <c r="T106">
        <f>'product list'!P106</f>
        <v>153140</v>
      </c>
    </row>
    <row r="107" spans="7:20" x14ac:dyDescent="0.25">
      <c r="N107" t="str">
        <f>'product list'!A107</f>
        <v>ord0106</v>
      </c>
      <c r="O107" t="str">
        <f t="shared" si="3"/>
        <v>May</v>
      </c>
      <c r="P107">
        <f>MATCH(LEFT(TRIM(MID('product list'!B107,FIND(",",'product list'!B107)+1,20)),3),{"jan","feb","mar","apr","may","jun","jul","aug","sep","oct","nov","dec"},0)</f>
        <v>5</v>
      </c>
      <c r="Q107" t="str">
        <f>'product list'!H107</f>
        <v>new delhi</v>
      </c>
      <c r="R107" t="str">
        <f>'product list'!I107</f>
        <v>kitchen</v>
      </c>
      <c r="S107" t="str">
        <f>'product list'!L107</f>
        <v>kunal</v>
      </c>
      <c r="T107">
        <f>'product list'!P107</f>
        <v>69860</v>
      </c>
    </row>
    <row r="108" spans="7:20" x14ac:dyDescent="0.25">
      <c r="N108" t="str">
        <f>'product list'!A108</f>
        <v>ord0107</v>
      </c>
      <c r="O108" t="str">
        <f t="shared" si="3"/>
        <v>May</v>
      </c>
      <c r="P108">
        <f>MATCH(LEFT(TRIM(MID('product list'!B108,FIND(",",'product list'!B108)+1,20)),3),{"jan","feb","mar","apr","may","jun","jul","aug","sep","oct","nov","dec"},0)</f>
        <v>5</v>
      </c>
      <c r="Q108" t="str">
        <f>'product list'!H108</f>
        <v>manali</v>
      </c>
      <c r="R108" t="str">
        <f>'product list'!I108</f>
        <v>medicine</v>
      </c>
      <c r="S108" t="str">
        <f>'product list'!L108</f>
        <v>alisha</v>
      </c>
      <c r="T108">
        <f>'product list'!P108</f>
        <v>43200</v>
      </c>
    </row>
    <row r="109" spans="7:20" x14ac:dyDescent="0.25">
      <c r="N109" t="str">
        <f>'product list'!A109</f>
        <v>ord0108</v>
      </c>
      <c r="O109" t="str">
        <f t="shared" si="3"/>
        <v>May</v>
      </c>
      <c r="P109">
        <f>MATCH(LEFT(TRIM(MID('product list'!B109,FIND(",",'product list'!B109)+1,20)),3),{"jan","feb","mar","apr","may","jun","jul","aug","sep","oct","nov","dec"},0)</f>
        <v>5</v>
      </c>
      <c r="Q109" t="str">
        <f>'product list'!H109</f>
        <v>panaji</v>
      </c>
      <c r="R109" t="str">
        <f>'product list'!I109</f>
        <v>stationary</v>
      </c>
      <c r="S109" t="str">
        <f>'product list'!L109</f>
        <v>amit</v>
      </c>
      <c r="T109">
        <f>'product list'!P109</f>
        <v>46620</v>
      </c>
    </row>
    <row r="110" spans="7:20" x14ac:dyDescent="0.25">
      <c r="N110" t="str">
        <f>'product list'!A110</f>
        <v>ord0109</v>
      </c>
      <c r="O110" t="str">
        <f t="shared" si="3"/>
        <v>May</v>
      </c>
      <c r="P110">
        <f>MATCH(LEFT(TRIM(MID('product list'!B110,FIND(",",'product list'!B110)+1,20)),3),{"jan","feb","mar","apr","may","jun","jul","aug","sep","oct","nov","dec"},0)</f>
        <v>5</v>
      </c>
      <c r="Q110" t="str">
        <f>'product list'!H110</f>
        <v>srinagar</v>
      </c>
      <c r="R110" t="str">
        <f>'product list'!I110</f>
        <v>supplyments</v>
      </c>
      <c r="S110" t="str">
        <f>'product list'!L110</f>
        <v>anshu</v>
      </c>
      <c r="T110">
        <f>'product list'!P110</f>
        <v>19440</v>
      </c>
    </row>
    <row r="111" spans="7:20" x14ac:dyDescent="0.25">
      <c r="N111" t="str">
        <f>'product list'!A111</f>
        <v>ord0110</v>
      </c>
      <c r="O111" t="str">
        <f t="shared" si="3"/>
        <v>June</v>
      </c>
      <c r="P111">
        <f>MATCH(LEFT(TRIM(MID('product list'!B111,FIND(",",'product list'!B111)+1,20)),3),{"jan","feb","mar","apr","may","jun","jul","aug","sep","oct","nov","dec"},0)</f>
        <v>6</v>
      </c>
      <c r="Q111" t="str">
        <f>'product list'!H111</f>
        <v>new delhi</v>
      </c>
      <c r="R111" t="str">
        <f>'product list'!I111</f>
        <v>toys</v>
      </c>
      <c r="S111" t="str">
        <f>'product list'!L111</f>
        <v>arjun</v>
      </c>
      <c r="T111">
        <f>'product list'!P111</f>
        <v>35968</v>
      </c>
    </row>
    <row r="112" spans="7:20" x14ac:dyDescent="0.25">
      <c r="N112" t="str">
        <f>'product list'!A112</f>
        <v>ord0111</v>
      </c>
      <c r="O112" t="str">
        <f t="shared" si="3"/>
        <v>June</v>
      </c>
      <c r="P112">
        <f>MATCH(LEFT(TRIM(MID('product list'!B112,FIND(",",'product list'!B112)+1,20)),3),{"jan","feb","mar","apr","may","jun","jul","aug","sep","oct","nov","dec"},0)</f>
        <v>6</v>
      </c>
      <c r="Q112" t="str">
        <f>'product list'!H112</f>
        <v>noida</v>
      </c>
      <c r="R112" t="str">
        <f>'product list'!I112</f>
        <v>vahicals</v>
      </c>
      <c r="S112" t="str">
        <f>'product list'!L112</f>
        <v>akash</v>
      </c>
      <c r="T112">
        <f>'product list'!P112</f>
        <v>850500</v>
      </c>
    </row>
    <row r="113" spans="14:20" x14ac:dyDescent="0.25">
      <c r="N113" t="str">
        <f>'product list'!A113</f>
        <v>ord0112</v>
      </c>
      <c r="O113" t="str">
        <f t="shared" si="3"/>
        <v>June</v>
      </c>
      <c r="P113">
        <f>MATCH(LEFT(TRIM(MID('product list'!B113,FIND(",",'product list'!B113)+1,20)),3),{"jan","feb","mar","apr","may","jun","jul","aug","sep","oct","nov","dec"},0)</f>
        <v>6</v>
      </c>
      <c r="Q113" t="str">
        <f>'product list'!H113</f>
        <v>chennai</v>
      </c>
      <c r="R113" t="str">
        <f>'product list'!I113</f>
        <v>armory</v>
      </c>
      <c r="S113" t="str">
        <f>'product list'!L113</f>
        <v>arya</v>
      </c>
      <c r="T113">
        <f>'product list'!P113</f>
        <v>648000</v>
      </c>
    </row>
    <row r="114" spans="14:20" x14ac:dyDescent="0.25">
      <c r="N114" t="str">
        <f>'product list'!A114</f>
        <v>ord0113</v>
      </c>
      <c r="O114" t="str">
        <f t="shared" si="3"/>
        <v>June</v>
      </c>
      <c r="P114">
        <f>MATCH(LEFT(TRIM(MID('product list'!B114,FIND(",",'product list'!B114)+1,20)),3),{"jan","feb","mar","apr","may","jun","jul","aug","sep","oct","nov","dec"},0)</f>
        <v>6</v>
      </c>
      <c r="Q114" t="str">
        <f>'product list'!H114</f>
        <v>kolkata</v>
      </c>
      <c r="R114" t="str">
        <f>'product list'!I114</f>
        <v>beauty</v>
      </c>
      <c r="S114" t="str">
        <f>'product list'!L114</f>
        <v>ayush</v>
      </c>
      <c r="T114">
        <f>'product list'!P114</f>
        <v>10800</v>
      </c>
    </row>
    <row r="115" spans="14:20" x14ac:dyDescent="0.25">
      <c r="N115" t="str">
        <f>'product list'!A115</f>
        <v>ord0114</v>
      </c>
      <c r="O115" t="str">
        <f t="shared" si="3"/>
        <v>June</v>
      </c>
      <c r="P115">
        <f>MATCH(LEFT(TRIM(MID('product list'!B115,FIND(",",'product list'!B115)+1,20)),3),{"jan","feb","mar","apr","may","jun","jul","aug","sep","oct","nov","dec"},0)</f>
        <v>6</v>
      </c>
      <c r="Q115" t="str">
        <f>'product list'!H115</f>
        <v>kolkata</v>
      </c>
      <c r="R115" t="str">
        <f>'product list'!I115</f>
        <v>books</v>
      </c>
      <c r="S115" t="str">
        <f>'product list'!L115</f>
        <v>bhavna</v>
      </c>
      <c r="T115">
        <f>'product list'!P115</f>
        <v>20800</v>
      </c>
    </row>
    <row r="116" spans="14:20" x14ac:dyDescent="0.25">
      <c r="N116" t="str">
        <f>'product list'!A116</f>
        <v>ord0115</v>
      </c>
      <c r="O116" t="str">
        <f t="shared" si="3"/>
        <v>June</v>
      </c>
      <c r="P116">
        <f>MATCH(LEFT(TRIM(MID('product list'!B116,FIND(",",'product list'!B116)+1,20)),3),{"jan","feb","mar","apr","may","jun","jul","aug","sep","oct","nov","dec"},0)</f>
        <v>6</v>
      </c>
      <c r="Q116" t="str">
        <f>'product list'!H116</f>
        <v>ahmedabad</v>
      </c>
      <c r="R116" t="str">
        <f>'product list'!I116</f>
        <v>clothes</v>
      </c>
      <c r="S116" t="str">
        <f>'product list'!L116</f>
        <v>bhawesh</v>
      </c>
      <c r="T116">
        <f>'product list'!P116</f>
        <v>44640</v>
      </c>
    </row>
    <row r="117" spans="14:20" x14ac:dyDescent="0.25">
      <c r="N117" t="str">
        <f>'product list'!A117</f>
        <v>ord0116</v>
      </c>
      <c r="O117" t="str">
        <f t="shared" si="3"/>
        <v>June</v>
      </c>
      <c r="P117">
        <f>MATCH(LEFT(TRIM(MID('product list'!B117,FIND(",",'product list'!B117)+1,20)),3),{"jan","feb","mar","apr","may","jun","jul","aug","sep","oct","nov","dec"},0)</f>
        <v>6</v>
      </c>
      <c r="Q117" t="str">
        <f>'product list'!H117</f>
        <v>new delhi</v>
      </c>
      <c r="R117" t="str">
        <f>'product list'!I117</f>
        <v>electronic</v>
      </c>
      <c r="S117" t="str">
        <f>'product list'!L117</f>
        <v>chirag</v>
      </c>
      <c r="T117">
        <f>'product list'!P117</f>
        <v>934890</v>
      </c>
    </row>
    <row r="118" spans="14:20" x14ac:dyDescent="0.25">
      <c r="N118" t="str">
        <f>'product list'!A118</f>
        <v>ord0117</v>
      </c>
      <c r="O118" t="str">
        <f t="shared" si="3"/>
        <v>June</v>
      </c>
      <c r="P118">
        <f>MATCH(LEFT(TRIM(MID('product list'!B118,FIND(",",'product list'!B118)+1,20)),3),{"jan","feb","mar","apr","may","jun","jul","aug","sep","oct","nov","dec"},0)</f>
        <v>6</v>
      </c>
      <c r="Q118" t="str">
        <f>'product list'!H118</f>
        <v>guwahati</v>
      </c>
      <c r="R118" t="str">
        <f>'product list'!I118</f>
        <v>gym equpments</v>
      </c>
      <c r="S118" t="str">
        <f>'product list'!L118</f>
        <v>dev</v>
      </c>
      <c r="T118">
        <f>'product list'!P118</f>
        <v>159030</v>
      </c>
    </row>
    <row r="119" spans="14:20" x14ac:dyDescent="0.25">
      <c r="N119" t="str">
        <f>'product list'!A119</f>
        <v>ord0118</v>
      </c>
      <c r="O119" t="str">
        <f t="shared" si="3"/>
        <v>June</v>
      </c>
      <c r="P119">
        <f>MATCH(LEFT(TRIM(MID('product list'!B119,FIND(",",'product list'!B119)+1,20)),3),{"jan","feb","mar","apr","may","jun","jul","aug","sep","oct","nov","dec"},0)</f>
        <v>6</v>
      </c>
      <c r="Q119" t="str">
        <f>'product list'!H119</f>
        <v>guwahati</v>
      </c>
      <c r="R119" t="str">
        <f>'product list'!I119</f>
        <v>kitchen</v>
      </c>
      <c r="S119" t="str">
        <f>'product list'!L119</f>
        <v>anjali</v>
      </c>
      <c r="T119">
        <f>'product list'!P119</f>
        <v>104790</v>
      </c>
    </row>
    <row r="120" spans="14:20" x14ac:dyDescent="0.25">
      <c r="N120" t="str">
        <f>'product list'!A120</f>
        <v>ord0119</v>
      </c>
      <c r="O120" t="str">
        <f t="shared" si="3"/>
        <v>June</v>
      </c>
      <c r="P120">
        <f>MATCH(LEFT(TRIM(MID('product list'!B120,FIND(",",'product list'!B120)+1,20)),3),{"jan","feb","mar","apr","may","jun","jul","aug","sep","oct","nov","dec"},0)</f>
        <v>6</v>
      </c>
      <c r="Q120" t="str">
        <f>'product list'!H120</f>
        <v>visakhapatnam</v>
      </c>
      <c r="R120" t="str">
        <f>'product list'!I120</f>
        <v>medicine</v>
      </c>
      <c r="S120" t="str">
        <f>'product list'!L120</f>
        <v>daksh</v>
      </c>
      <c r="T120">
        <f>'product list'!P120</f>
        <v>30240</v>
      </c>
    </row>
    <row r="121" spans="14:20" x14ac:dyDescent="0.25">
      <c r="N121" t="str">
        <f>'product list'!A121</f>
        <v>ord0120</v>
      </c>
      <c r="O121" t="str">
        <f t="shared" si="3"/>
        <v>July</v>
      </c>
      <c r="P121">
        <f>MATCH(LEFT(TRIM(MID('product list'!B121,FIND(",",'product list'!B121)+1,20)),3),{"jan","feb","mar","apr","may","jun","jul","aug","sep","oct","nov","dec"},0)</f>
        <v>7</v>
      </c>
      <c r="Q121" t="str">
        <f>'product list'!H121</f>
        <v>vijayawada</v>
      </c>
      <c r="R121" t="str">
        <f>'product list'!I121</f>
        <v>stationary</v>
      </c>
      <c r="S121" t="str">
        <f>'product list'!L121</f>
        <v>sonal</v>
      </c>
      <c r="T121">
        <f>'product list'!P121</f>
        <v>73080</v>
      </c>
    </row>
    <row r="122" spans="14:20" x14ac:dyDescent="0.25">
      <c r="N122" t="str">
        <f>'product list'!A122</f>
        <v>ord0121</v>
      </c>
      <c r="O122" t="str">
        <f t="shared" si="3"/>
        <v>July</v>
      </c>
      <c r="P122">
        <f>MATCH(LEFT(TRIM(MID('product list'!B122,FIND(",",'product list'!B122)+1,20)),3),{"jan","feb","mar","apr","may","jun","jul","aug","sep","oct","nov","dec"},0)</f>
        <v>7</v>
      </c>
      <c r="Q122" t="str">
        <f>'product list'!H122</f>
        <v>visakhapatnam</v>
      </c>
      <c r="R122" t="str">
        <f>'product list'!I122</f>
        <v>supplyments</v>
      </c>
      <c r="S122" t="str">
        <f>'product list'!L122</f>
        <v>kunal</v>
      </c>
      <c r="T122">
        <f>'product list'!P122</f>
        <v>20250</v>
      </c>
    </row>
    <row r="123" spans="14:20" x14ac:dyDescent="0.25">
      <c r="N123" t="str">
        <f>'product list'!A123</f>
        <v>ord0122</v>
      </c>
      <c r="O123" t="str">
        <f t="shared" si="3"/>
        <v>July</v>
      </c>
      <c r="P123">
        <f>MATCH(LEFT(TRIM(MID('product list'!B123,FIND(",",'product list'!B123)+1,20)),3),{"jan","feb","mar","apr","may","jun","jul","aug","sep","oct","nov","dec"},0)</f>
        <v>7</v>
      </c>
      <c r="Q123" t="str">
        <f>'product list'!H123</f>
        <v>new delhi</v>
      </c>
      <c r="R123" t="str">
        <f>'product list'!I123</f>
        <v>toys</v>
      </c>
      <c r="S123" t="str">
        <f>'product list'!L123</f>
        <v>alisha</v>
      </c>
      <c r="T123">
        <f>'product list'!P123</f>
        <v>38216</v>
      </c>
    </row>
    <row r="124" spans="14:20" x14ac:dyDescent="0.25">
      <c r="N124" t="str">
        <f>'product list'!A124</f>
        <v>ord0123</v>
      </c>
      <c r="O124" t="str">
        <f t="shared" si="3"/>
        <v>July</v>
      </c>
      <c r="P124">
        <f>MATCH(LEFT(TRIM(MID('product list'!B124,FIND(",",'product list'!B124)+1,20)),3),{"jan","feb","mar","apr","may","jun","jul","aug","sep","oct","nov","dec"},0)</f>
        <v>7</v>
      </c>
      <c r="Q124" t="str">
        <f>'product list'!H124</f>
        <v>dehradun</v>
      </c>
      <c r="R124" t="str">
        <f>'product list'!I124</f>
        <v>vahicals</v>
      </c>
      <c r="S124" t="str">
        <f>'product list'!L124</f>
        <v>amit</v>
      </c>
      <c r="T124">
        <f>'product list'!P124</f>
        <v>897750</v>
      </c>
    </row>
    <row r="125" spans="14:20" x14ac:dyDescent="0.25">
      <c r="N125" t="str">
        <f>'product list'!A125</f>
        <v>ord0124</v>
      </c>
      <c r="O125" t="str">
        <f t="shared" si="3"/>
        <v>July</v>
      </c>
      <c r="P125">
        <f>MATCH(LEFT(TRIM(MID('product list'!B125,FIND(",",'product list'!B125)+1,20)),3),{"jan","feb","mar","apr","may","jun","jul","aug","sep","oct","nov","dec"},0)</f>
        <v>7</v>
      </c>
      <c r="Q125" t="str">
        <f>'product list'!H125</f>
        <v>bengaluru</v>
      </c>
      <c r="R125" t="str">
        <f>'product list'!I125</f>
        <v>armory</v>
      </c>
      <c r="S125" t="str">
        <f>'product list'!L125</f>
        <v>anshu</v>
      </c>
      <c r="T125">
        <f>'product list'!P125</f>
        <v>712800</v>
      </c>
    </row>
    <row r="126" spans="14:20" x14ac:dyDescent="0.25">
      <c r="N126" t="str">
        <f>'product list'!A126</f>
        <v>ord0125</v>
      </c>
      <c r="O126" t="str">
        <f t="shared" si="3"/>
        <v>July</v>
      </c>
      <c r="P126">
        <f>MATCH(LEFT(TRIM(MID('product list'!B126,FIND(",",'product list'!B126)+1,20)),3),{"jan","feb","mar","apr","may","jun","jul","aug","sep","oct","nov","dec"},0)</f>
        <v>7</v>
      </c>
      <c r="Q126" t="str">
        <f>'product list'!H126</f>
        <v>chandigarh</v>
      </c>
      <c r="R126" t="str">
        <f>'product list'!I126</f>
        <v>beauty</v>
      </c>
      <c r="S126" t="str">
        <f>'product list'!L126</f>
        <v>arjun</v>
      </c>
      <c r="T126">
        <f>'product list'!P126</f>
        <v>11700</v>
      </c>
    </row>
    <row r="127" spans="14:20" x14ac:dyDescent="0.25">
      <c r="N127" t="str">
        <f>'product list'!A127</f>
        <v>ord0126</v>
      </c>
      <c r="O127" t="str">
        <f t="shared" si="3"/>
        <v>July</v>
      </c>
      <c r="P127">
        <f>MATCH(LEFT(TRIM(MID('product list'!B127,FIND(",",'product list'!B127)+1,20)),3),{"jan","feb","mar","apr","may","jun","jul","aug","sep","oct","nov","dec"},0)</f>
        <v>7</v>
      </c>
      <c r="Q127" t="str">
        <f>'product list'!H127</f>
        <v>patna</v>
      </c>
      <c r="R127" t="str">
        <f>'product list'!I127</f>
        <v>books</v>
      </c>
      <c r="S127" t="str">
        <f>'product list'!L127</f>
        <v>akash</v>
      </c>
      <c r="T127">
        <f>'product list'!P127</f>
        <v>16900</v>
      </c>
    </row>
    <row r="128" spans="14:20" x14ac:dyDescent="0.25">
      <c r="N128" t="str">
        <f>'product list'!A128</f>
        <v>ord0127</v>
      </c>
      <c r="O128" t="str">
        <f t="shared" si="3"/>
        <v>July</v>
      </c>
      <c r="P128">
        <f>MATCH(LEFT(TRIM(MID('product list'!B128,FIND(",",'product list'!B128)+1,20)),3),{"jan","feb","mar","apr","may","jun","jul","aug","sep","oct","nov","dec"},0)</f>
        <v>7</v>
      </c>
      <c r="Q128" t="str">
        <f>'product list'!H128</f>
        <v>ahmedabad</v>
      </c>
      <c r="R128" t="str">
        <f>'product list'!I128</f>
        <v>clothes</v>
      </c>
      <c r="S128" t="str">
        <f>'product list'!L128</f>
        <v>arya</v>
      </c>
      <c r="T128">
        <f>'product list'!P128</f>
        <v>20460</v>
      </c>
    </row>
    <row r="129" spans="14:20" x14ac:dyDescent="0.25">
      <c r="N129" t="str">
        <f>'product list'!A129</f>
        <v>ord0128</v>
      </c>
      <c r="O129" t="str">
        <f t="shared" si="3"/>
        <v>July</v>
      </c>
      <c r="P129">
        <f>MATCH(LEFT(TRIM(MID('product list'!B129,FIND(",",'product list'!B129)+1,20)),3),{"jan","feb","mar","apr","may","jun","jul","aug","sep","oct","nov","dec"},0)</f>
        <v>7</v>
      </c>
      <c r="Q129" t="str">
        <f>'product list'!H129</f>
        <v>hyderabad</v>
      </c>
      <c r="R129" t="str">
        <f>'product list'!I129</f>
        <v>electronic</v>
      </c>
      <c r="S129" t="str">
        <f>'product list'!L129</f>
        <v>ayush</v>
      </c>
      <c r="T129">
        <f>'product list'!P129</f>
        <v>1019880</v>
      </c>
    </row>
    <row r="130" spans="14:20" x14ac:dyDescent="0.25">
      <c r="N130" t="str">
        <f>'product list'!A130</f>
        <v>ord0129</v>
      </c>
      <c r="O130" t="str">
        <f t="shared" si="3"/>
        <v>July</v>
      </c>
      <c r="P130">
        <f>MATCH(LEFT(TRIM(MID('product list'!B130,FIND(",",'product list'!B130)+1,20)),3),{"jan","feb","mar","apr","may","jun","jul","aug","sep","oct","nov","dec"},0)</f>
        <v>7</v>
      </c>
      <c r="Q130" t="str">
        <f>'product list'!H130</f>
        <v>hyderabad</v>
      </c>
      <c r="R130" t="str">
        <f>'product list'!I130</f>
        <v>gym equpments</v>
      </c>
      <c r="S130" t="str">
        <f>'product list'!L130</f>
        <v>bhavna</v>
      </c>
      <c r="T130">
        <f>'product list'!P130</f>
        <v>164920</v>
      </c>
    </row>
    <row r="131" spans="14:20" x14ac:dyDescent="0.25">
      <c r="N131" t="str">
        <f>'product list'!A131</f>
        <v>ord0130</v>
      </c>
      <c r="O131" t="str">
        <f t="shared" si="3"/>
        <v>August</v>
      </c>
      <c r="P131">
        <f>MATCH(LEFT(TRIM(MID('product list'!B131,FIND(",",'product list'!B131)+1,20)),3),{"jan","feb","mar","apr","may","jun","jul","aug","sep","oct","nov","dec"},0)</f>
        <v>8</v>
      </c>
      <c r="Q131" t="str">
        <f>'product list'!H131</f>
        <v>manali</v>
      </c>
      <c r="R131" t="str">
        <f>'product list'!I131</f>
        <v>kitchen</v>
      </c>
      <c r="S131" t="str">
        <f>'product list'!L131</f>
        <v>bhawesh</v>
      </c>
      <c r="T131">
        <f>'product list'!P131</f>
        <v>139720</v>
      </c>
    </row>
    <row r="132" spans="14:20" x14ac:dyDescent="0.25">
      <c r="N132" t="str">
        <f>'product list'!A132</f>
        <v>ord0131</v>
      </c>
      <c r="O132" t="str">
        <f t="shared" si="3"/>
        <v>August</v>
      </c>
      <c r="P132">
        <f>MATCH(LEFT(TRIM(MID('product list'!B132,FIND(",",'product list'!B132)+1,20)),3),{"jan","feb","mar","apr","may","jun","jul","aug","sep","oct","nov","dec"},0)</f>
        <v>8</v>
      </c>
      <c r="Q132" t="str">
        <f>'product list'!H132</f>
        <v>dehradun</v>
      </c>
      <c r="R132" t="str">
        <f>'product list'!I132</f>
        <v>medicine</v>
      </c>
      <c r="S132" t="str">
        <f>'product list'!L132</f>
        <v>chirag</v>
      </c>
      <c r="T132">
        <f>'product list'!P132</f>
        <v>31680</v>
      </c>
    </row>
    <row r="133" spans="14:20" x14ac:dyDescent="0.25">
      <c r="N133" t="str">
        <f>'product list'!A133</f>
        <v>ord0132</v>
      </c>
      <c r="O133" t="str">
        <f t="shared" si="3"/>
        <v>August</v>
      </c>
      <c r="P133">
        <f>MATCH(LEFT(TRIM(MID('product list'!B133,FIND(",",'product list'!B133)+1,20)),3),{"jan","feb","mar","apr","may","jun","jul","aug","sep","oct","nov","dec"},0)</f>
        <v>8</v>
      </c>
      <c r="Q133" t="str">
        <f>'product list'!H133</f>
        <v>gurugram</v>
      </c>
      <c r="R133" t="str">
        <f>'product list'!I133</f>
        <v>stationary</v>
      </c>
      <c r="S133" t="str">
        <f>'product list'!L133</f>
        <v>dev</v>
      </c>
      <c r="T133">
        <f>'product list'!P133</f>
        <v>37800</v>
      </c>
    </row>
    <row r="134" spans="14:20" x14ac:dyDescent="0.25">
      <c r="N134" t="str">
        <f>'product list'!A134</f>
        <v>ord0133</v>
      </c>
      <c r="O134" t="str">
        <f t="shared" si="3"/>
        <v>August</v>
      </c>
      <c r="P134">
        <f>MATCH(LEFT(TRIM(MID('product list'!B134,FIND(",",'product list'!B134)+1,20)),3),{"jan","feb","mar","apr","may","jun","jul","aug","sep","oct","nov","dec"},0)</f>
        <v>8</v>
      </c>
      <c r="Q134" t="str">
        <f>'product list'!H134</f>
        <v>amritsar</v>
      </c>
      <c r="R134" t="str">
        <f>'product list'!I134</f>
        <v>supplyments</v>
      </c>
      <c r="S134" t="str">
        <f>'product list'!L134</f>
        <v>anjali</v>
      </c>
      <c r="T134">
        <f>'product list'!P134</f>
        <v>12960</v>
      </c>
    </row>
    <row r="135" spans="14:20" x14ac:dyDescent="0.25">
      <c r="N135" t="str">
        <f>'product list'!A135</f>
        <v>ord0134</v>
      </c>
      <c r="O135" t="str">
        <f t="shared" si="3"/>
        <v>August</v>
      </c>
      <c r="P135">
        <f>MATCH(LEFT(TRIM(MID('product list'!B135,FIND(",",'product list'!B135)+1,20)),3),{"jan","feb","mar","apr","may","jun","jul","aug","sep","oct","nov","dec"},0)</f>
        <v>8</v>
      </c>
      <c r="Q135" t="str">
        <f>'product list'!H135</f>
        <v>bengaluru</v>
      </c>
      <c r="R135" t="str">
        <f>'product list'!I135</f>
        <v>toys</v>
      </c>
      <c r="S135" t="str">
        <f>'product list'!L135</f>
        <v>daksh</v>
      </c>
      <c r="T135">
        <f>'product list'!P135</f>
        <v>40464</v>
      </c>
    </row>
    <row r="136" spans="14:20" x14ac:dyDescent="0.25">
      <c r="N136" t="str">
        <f>'product list'!A136</f>
        <v>ord0135</v>
      </c>
      <c r="O136" t="str">
        <f t="shared" ref="O136:O180" si="4">CHOOSE(P136,"January","February","March","April","May","June","July","August","September","October","November","December")</f>
        <v>August</v>
      </c>
      <c r="P136">
        <f>MATCH(LEFT(TRIM(MID('product list'!B136,FIND(",",'product list'!B136)+1,20)),3),{"jan","feb","mar","apr","may","jun","jul","aug","sep","oct","nov","dec"},0)</f>
        <v>8</v>
      </c>
      <c r="Q136" t="str">
        <f>'product list'!H136</f>
        <v>jaipur</v>
      </c>
      <c r="R136" t="str">
        <f>'product list'!I136</f>
        <v>vahicals</v>
      </c>
      <c r="S136" t="str">
        <f>'product list'!L136</f>
        <v>sonal</v>
      </c>
      <c r="T136">
        <f>'product list'!P136</f>
        <v>945000</v>
      </c>
    </row>
    <row r="137" spans="14:20" x14ac:dyDescent="0.25">
      <c r="N137" t="str">
        <f>'product list'!A137</f>
        <v>ord0136</v>
      </c>
      <c r="O137" t="str">
        <f t="shared" si="4"/>
        <v>August</v>
      </c>
      <c r="P137">
        <f>MATCH(LEFT(TRIM(MID('product list'!B137,FIND(",",'product list'!B137)+1,20)),3),{"jan","feb","mar","apr","may","jun","jul","aug","sep","oct","nov","dec"},0)</f>
        <v>8</v>
      </c>
      <c r="Q137" t="str">
        <f>'product list'!H137</f>
        <v>leh</v>
      </c>
      <c r="R137" t="str">
        <f>'product list'!I137</f>
        <v>armory</v>
      </c>
      <c r="S137" t="str">
        <f>'product list'!L137</f>
        <v>kunal</v>
      </c>
      <c r="T137">
        <f>'product list'!P137</f>
        <v>777600</v>
      </c>
    </row>
    <row r="138" spans="14:20" x14ac:dyDescent="0.25">
      <c r="N138" t="str">
        <f>'product list'!A138</f>
        <v>ord0137</v>
      </c>
      <c r="O138" t="str">
        <f t="shared" si="4"/>
        <v>August</v>
      </c>
      <c r="P138">
        <f>MATCH(LEFT(TRIM(MID('product list'!B138,FIND(",",'product list'!B138)+1,20)),3),{"jan","feb","mar","apr","may","jun","jul","aug","sep","oct","nov","dec"},0)</f>
        <v>8</v>
      </c>
      <c r="Q138" t="str">
        <f>'product list'!H138</f>
        <v>dehradun</v>
      </c>
      <c r="R138" t="str">
        <f>'product list'!I138</f>
        <v>beauty</v>
      </c>
      <c r="S138" t="str">
        <f>'product list'!L138</f>
        <v>alisha</v>
      </c>
      <c r="T138">
        <f>'product list'!P138</f>
        <v>12600</v>
      </c>
    </row>
    <row r="139" spans="14:20" x14ac:dyDescent="0.25">
      <c r="N139" t="str">
        <f>'product list'!A139</f>
        <v>ord0138</v>
      </c>
      <c r="O139" t="str">
        <f t="shared" si="4"/>
        <v>August</v>
      </c>
      <c r="P139">
        <f>MATCH(LEFT(TRIM(MID('product list'!B139,FIND(",",'product list'!B139)+1,20)),3),{"jan","feb","mar","apr","may","jun","jul","aug","sep","oct","nov","dec"},0)</f>
        <v>8</v>
      </c>
      <c r="Q139" t="str">
        <f>'product list'!H139</f>
        <v>kochi</v>
      </c>
      <c r="R139" t="str">
        <f>'product list'!I139</f>
        <v>books</v>
      </c>
      <c r="S139" t="str">
        <f>'product list'!L139</f>
        <v>amit</v>
      </c>
      <c r="T139">
        <f>'product list'!P139</f>
        <v>29250</v>
      </c>
    </row>
    <row r="140" spans="14:20" x14ac:dyDescent="0.25">
      <c r="N140" t="str">
        <f>'product list'!A140</f>
        <v>ord0139</v>
      </c>
      <c r="O140" t="str">
        <f t="shared" si="4"/>
        <v>August</v>
      </c>
      <c r="P140">
        <f>MATCH(LEFT(TRIM(MID('product list'!B140,FIND(",",'product list'!B140)+1,20)),3),{"jan","feb","mar","apr","may","jun","jul","aug","sep","oct","nov","dec"},0)</f>
        <v>8</v>
      </c>
      <c r="Q140" t="str">
        <f>'product list'!H140</f>
        <v>thiruvananthapuram</v>
      </c>
      <c r="R140" t="str">
        <f>'product list'!I140</f>
        <v>clothes</v>
      </c>
      <c r="S140" t="str">
        <f>'product list'!L140</f>
        <v>anshu</v>
      </c>
      <c r="T140">
        <f>'product list'!P140</f>
        <v>39060</v>
      </c>
    </row>
    <row r="141" spans="14:20" x14ac:dyDescent="0.25">
      <c r="N141" t="str">
        <f>'product list'!A141</f>
        <v>ord0140</v>
      </c>
      <c r="O141" t="str">
        <f t="shared" si="4"/>
        <v>September</v>
      </c>
      <c r="P141">
        <f>MATCH(LEFT(TRIM(MID('product list'!B141,FIND(",",'product list'!B141)+1,20)),3),{"jan","feb","mar","apr","may","jun","jul","aug","sep","oct","nov","dec"},0)</f>
        <v>9</v>
      </c>
      <c r="Q141" t="str">
        <f>'product list'!H141</f>
        <v>haridwar</v>
      </c>
      <c r="R141" t="str">
        <f>'product list'!I141</f>
        <v>electronic</v>
      </c>
      <c r="S141" t="str">
        <f>'product list'!L141</f>
        <v>arjun</v>
      </c>
      <c r="T141">
        <f>'product list'!P141</f>
        <v>1019880</v>
      </c>
    </row>
    <row r="142" spans="14:20" x14ac:dyDescent="0.25">
      <c r="N142" t="str">
        <f>'product list'!A142</f>
        <v>ord0141</v>
      </c>
      <c r="O142" t="str">
        <f t="shared" si="4"/>
        <v>September</v>
      </c>
      <c r="P142">
        <f>MATCH(LEFT(TRIM(MID('product list'!B142,FIND(",",'product list'!B142)+1,20)),3),{"jan","feb","mar","apr","may","jun","jul","aug","sep","oct","nov","dec"},0)</f>
        <v>9</v>
      </c>
      <c r="Q142" t="str">
        <f>'product list'!H142</f>
        <v>surat</v>
      </c>
      <c r="R142" t="str">
        <f>'product list'!I142</f>
        <v>gym equpments</v>
      </c>
      <c r="S142" t="str">
        <f>'product list'!L142</f>
        <v>akash</v>
      </c>
      <c r="T142">
        <f>'product list'!P142</f>
        <v>170810</v>
      </c>
    </row>
    <row r="143" spans="14:20" x14ac:dyDescent="0.25">
      <c r="N143" t="str">
        <f>'product list'!A143</f>
        <v>ord0142</v>
      </c>
      <c r="O143" t="str">
        <f t="shared" si="4"/>
        <v>September</v>
      </c>
      <c r="P143">
        <f>MATCH(LEFT(TRIM(MID('product list'!B143,FIND(",",'product list'!B143)+1,20)),3),{"jan","feb","mar","apr","may","jun","jul","aug","sep","oct","nov","dec"},0)</f>
        <v>9</v>
      </c>
      <c r="Q143" t="str">
        <f>'product list'!H143</f>
        <v>mumbai</v>
      </c>
      <c r="R143" t="str">
        <f>'product list'!I143</f>
        <v>kitchen</v>
      </c>
      <c r="S143" t="str">
        <f>'product list'!L143</f>
        <v>arya</v>
      </c>
      <c r="T143">
        <f>'product list'!P143</f>
        <v>69860</v>
      </c>
    </row>
    <row r="144" spans="14:20" x14ac:dyDescent="0.25">
      <c r="N144" t="str">
        <f>'product list'!A144</f>
        <v>ord0143</v>
      </c>
      <c r="O144" t="str">
        <f t="shared" si="4"/>
        <v>September</v>
      </c>
      <c r="P144">
        <f>MATCH(LEFT(TRIM(MID('product list'!B144,FIND(",",'product list'!B144)+1,20)),3),{"jan","feb","mar","apr","may","jun","jul","aug","sep","oct","nov","dec"},0)</f>
        <v>9</v>
      </c>
      <c r="Q144" t="str">
        <f>'product list'!H144</f>
        <v>new delhi</v>
      </c>
      <c r="R144" t="str">
        <f>'product list'!I144</f>
        <v>medicine</v>
      </c>
      <c r="S144" t="str">
        <f>'product list'!L144</f>
        <v>ayush</v>
      </c>
      <c r="T144">
        <f>'product list'!P144</f>
        <v>33120</v>
      </c>
    </row>
    <row r="145" spans="14:20" x14ac:dyDescent="0.25">
      <c r="N145" t="str">
        <f>'product list'!A145</f>
        <v>ord0144</v>
      </c>
      <c r="O145" t="str">
        <f t="shared" si="4"/>
        <v>September</v>
      </c>
      <c r="P145">
        <f>MATCH(LEFT(TRIM(MID('product list'!B145,FIND(",",'product list'!B145)+1,20)),3),{"jan","feb","mar","apr","may","jun","jul","aug","sep","oct","nov","dec"},0)</f>
        <v>9</v>
      </c>
      <c r="Q145" t="str">
        <f>'product list'!H145</f>
        <v>gurugram</v>
      </c>
      <c r="R145" t="str">
        <f>'product list'!I145</f>
        <v>stationary</v>
      </c>
      <c r="S145" t="str">
        <f>'product list'!L145</f>
        <v>bhavna</v>
      </c>
      <c r="T145">
        <f>'product list'!P145</f>
        <v>64260</v>
      </c>
    </row>
    <row r="146" spans="14:20" x14ac:dyDescent="0.25">
      <c r="N146" t="str">
        <f>'product list'!A146</f>
        <v>ord0145</v>
      </c>
      <c r="O146" t="str">
        <f t="shared" si="4"/>
        <v>September</v>
      </c>
      <c r="P146">
        <f>MATCH(LEFT(TRIM(MID('product list'!B146,FIND(",",'product list'!B146)+1,20)),3),{"jan","feb","mar","apr","may","jun","jul","aug","sep","oct","nov","dec"},0)</f>
        <v>9</v>
      </c>
      <c r="Q146" t="str">
        <f>'product list'!H146</f>
        <v>indore</v>
      </c>
      <c r="R146" t="str">
        <f>'product list'!I146</f>
        <v>supplyments</v>
      </c>
      <c r="S146" t="str">
        <f>'product list'!L146</f>
        <v>bhawesh</v>
      </c>
      <c r="T146">
        <f>'product list'!P146</f>
        <v>13770</v>
      </c>
    </row>
    <row r="147" spans="14:20" x14ac:dyDescent="0.25">
      <c r="N147" t="str">
        <f>'product list'!A147</f>
        <v>ord0146</v>
      </c>
      <c r="O147" t="str">
        <f t="shared" si="4"/>
        <v>September</v>
      </c>
      <c r="P147">
        <f>MATCH(LEFT(TRIM(MID('product list'!B147,FIND(",",'product list'!B147)+1,20)),3),{"jan","feb","mar","apr","may","jun","jul","aug","sep","oct","nov","dec"},0)</f>
        <v>9</v>
      </c>
      <c r="Q147" t="str">
        <f>'product list'!H147</f>
        <v>indore</v>
      </c>
      <c r="R147" t="str">
        <f>'product list'!I147</f>
        <v>toys</v>
      </c>
      <c r="S147" t="str">
        <f>'product list'!L147</f>
        <v>chirag</v>
      </c>
      <c r="T147">
        <f>'product list'!P147</f>
        <v>42712</v>
      </c>
    </row>
    <row r="148" spans="14:20" x14ac:dyDescent="0.25">
      <c r="N148" t="str">
        <f>'product list'!A148</f>
        <v>ord0147</v>
      </c>
      <c r="O148" t="str">
        <f t="shared" si="4"/>
        <v>September</v>
      </c>
      <c r="P148">
        <f>MATCH(LEFT(TRIM(MID('product list'!B148,FIND(",",'product list'!B148)+1,20)),3),{"jan","feb","mar","apr","may","jun","jul","aug","sep","oct","nov","dec"},0)</f>
        <v>9</v>
      </c>
      <c r="Q148" t="str">
        <f>'product list'!H148</f>
        <v>kolkata</v>
      </c>
      <c r="R148" t="str">
        <f>'product list'!I148</f>
        <v>vahicals</v>
      </c>
      <c r="S148" t="str">
        <f>'product list'!L148</f>
        <v>dev</v>
      </c>
      <c r="T148">
        <f>'product list'!P148</f>
        <v>519750</v>
      </c>
    </row>
    <row r="149" spans="14:20" x14ac:dyDescent="0.25">
      <c r="N149" t="str">
        <f>'product list'!A149</f>
        <v>ord0148</v>
      </c>
      <c r="O149" t="str">
        <f t="shared" si="4"/>
        <v>September</v>
      </c>
      <c r="P149">
        <f>MATCH(LEFT(TRIM(MID('product list'!B149,FIND(",",'product list'!B149)+1,20)),3),{"jan","feb","mar","apr","may","jun","jul","aug","sep","oct","nov","dec"},0)</f>
        <v>9</v>
      </c>
      <c r="Q149" t="str">
        <f>'product list'!H149</f>
        <v>kolkata</v>
      </c>
      <c r="R149" t="str">
        <f>'product list'!I149</f>
        <v>armory</v>
      </c>
      <c r="S149" t="str">
        <f>'product list'!L149</f>
        <v>anjali</v>
      </c>
      <c r="T149">
        <f>'product list'!P149</f>
        <v>842400</v>
      </c>
    </row>
    <row r="150" spans="14:20" x14ac:dyDescent="0.25">
      <c r="N150" t="str">
        <f>'product list'!A150</f>
        <v>ord0149</v>
      </c>
      <c r="O150" t="str">
        <f t="shared" si="4"/>
        <v>September</v>
      </c>
      <c r="P150">
        <f>MATCH(LEFT(TRIM(MID('product list'!B150,FIND(",",'product list'!B150)+1,20)),3),{"jan","feb","mar","apr","may","jun","jul","aug","sep","oct","nov","dec"},0)</f>
        <v>9</v>
      </c>
      <c r="Q150" t="str">
        <f>'product list'!H150</f>
        <v>new delhi</v>
      </c>
      <c r="R150" t="str">
        <f>'product list'!I150</f>
        <v>beauty</v>
      </c>
      <c r="S150" t="str">
        <f>'product list'!L150</f>
        <v>daksh</v>
      </c>
      <c r="T150">
        <f>'product list'!P150</f>
        <v>13500</v>
      </c>
    </row>
    <row r="151" spans="14:20" x14ac:dyDescent="0.25">
      <c r="N151" t="str">
        <f>'product list'!A151</f>
        <v>ord0150</v>
      </c>
      <c r="O151" t="str">
        <f t="shared" si="4"/>
        <v>October</v>
      </c>
      <c r="P151">
        <f>MATCH(LEFT(TRIM(MID('product list'!B151,FIND(",",'product list'!B151)+1,20)),3),{"jan","feb","mar","apr","may","jun","jul","aug","sep","oct","nov","dec"},0)</f>
        <v>10</v>
      </c>
      <c r="Q151" t="str">
        <f>'product list'!H151</f>
        <v>raipur</v>
      </c>
      <c r="R151" t="str">
        <f>'product list'!I151</f>
        <v>books</v>
      </c>
      <c r="S151" t="str">
        <f>'product list'!L151</f>
        <v>sonal</v>
      </c>
      <c r="T151">
        <f>'product list'!P151</f>
        <v>20150</v>
      </c>
    </row>
    <row r="152" spans="14:20" x14ac:dyDescent="0.25">
      <c r="N152" t="str">
        <f>'product list'!A152</f>
        <v>ord0151</v>
      </c>
      <c r="O152" t="str">
        <f t="shared" si="4"/>
        <v>October</v>
      </c>
      <c r="P152">
        <f>MATCH(LEFT(TRIM(MID('product list'!B152,FIND(",",'product list'!B152)+1,20)),3),{"jan","feb","mar","apr","may","jun","jul","aug","sep","oct","nov","dec"},0)</f>
        <v>10</v>
      </c>
      <c r="Q152" t="str">
        <f>'product list'!H152</f>
        <v>gurugram</v>
      </c>
      <c r="R152" t="str">
        <f>'product list'!I152</f>
        <v>clothes</v>
      </c>
      <c r="S152" t="str">
        <f>'product list'!L152</f>
        <v>kunal</v>
      </c>
      <c r="T152">
        <f>'product list'!P152</f>
        <v>14880</v>
      </c>
    </row>
    <row r="153" spans="14:20" x14ac:dyDescent="0.25">
      <c r="N153" t="str">
        <f>'product list'!A153</f>
        <v>ord0152</v>
      </c>
      <c r="O153" t="str">
        <f t="shared" si="4"/>
        <v>October</v>
      </c>
      <c r="P153">
        <f>MATCH(LEFT(TRIM(MID('product list'!B153,FIND(",",'product list'!B153)+1,20)),3),{"jan","feb","mar","apr","may","jun","jul","aug","sep","oct","nov","dec"},0)</f>
        <v>10</v>
      </c>
      <c r="Q153" t="str">
        <f>'product list'!H153</f>
        <v>new delhi</v>
      </c>
      <c r="R153" t="str">
        <f>'product list'!I153</f>
        <v>electronic</v>
      </c>
      <c r="S153" t="str">
        <f>'product list'!L153</f>
        <v>alisha</v>
      </c>
      <c r="T153">
        <f>'product list'!P153</f>
        <v>339960</v>
      </c>
    </row>
    <row r="154" spans="14:20" x14ac:dyDescent="0.25">
      <c r="N154" t="str">
        <f>'product list'!A154</f>
        <v>ord0153</v>
      </c>
      <c r="O154" t="str">
        <f t="shared" si="4"/>
        <v>October</v>
      </c>
      <c r="P154">
        <f>MATCH(LEFT(TRIM(MID('product list'!B154,FIND(",",'product list'!B154)+1,20)),3),{"jan","feb","mar","apr","may","jun","jul","aug","sep","oct","nov","dec"},0)</f>
        <v>10</v>
      </c>
      <c r="Q154" t="str">
        <f>'product list'!H154</f>
        <v>bengaluru</v>
      </c>
      <c r="R154" t="str">
        <f>'product list'!I154</f>
        <v>gym equpments</v>
      </c>
      <c r="S154" t="str">
        <f>'product list'!L154</f>
        <v>amit</v>
      </c>
      <c r="T154">
        <f>'product list'!P154</f>
        <v>176700</v>
      </c>
    </row>
    <row r="155" spans="14:20" x14ac:dyDescent="0.25">
      <c r="N155" t="str">
        <f>'product list'!A155</f>
        <v>ord0154</v>
      </c>
      <c r="O155" t="str">
        <f t="shared" si="4"/>
        <v>October</v>
      </c>
      <c r="P155">
        <f>MATCH(LEFT(TRIM(MID('product list'!B155,FIND(",",'product list'!B155)+1,20)),3),{"jan","feb","mar","apr","may","jun","jul","aug","sep","oct","nov","dec"},0)</f>
        <v>10</v>
      </c>
      <c r="Q155" t="str">
        <f>'product list'!H155</f>
        <v>jodhpur</v>
      </c>
      <c r="R155" t="str">
        <f>'product list'!I155</f>
        <v>kitchen</v>
      </c>
      <c r="S155" t="str">
        <f>'product list'!L155</f>
        <v>anshu</v>
      </c>
      <c r="T155">
        <f>'product list'!P155</f>
        <v>69860</v>
      </c>
    </row>
    <row r="156" spans="14:20" x14ac:dyDescent="0.25">
      <c r="N156" t="str">
        <f>'product list'!A156</f>
        <v>ord0155</v>
      </c>
      <c r="O156" t="str">
        <f t="shared" si="4"/>
        <v>October</v>
      </c>
      <c r="P156">
        <f>MATCH(LEFT(TRIM(MID('product list'!B156,FIND(",",'product list'!B156)+1,20)),3),{"jan","feb","mar","apr","may","jun","jul","aug","sep","oct","nov","dec"},0)</f>
        <v>10</v>
      </c>
      <c r="Q156" t="str">
        <f>'product list'!H156</f>
        <v>noida</v>
      </c>
      <c r="R156" t="str">
        <f>'product list'!I156</f>
        <v>medicine</v>
      </c>
      <c r="S156" t="str">
        <f>'product list'!L156</f>
        <v>arjun</v>
      </c>
      <c r="T156">
        <f>'product list'!P156</f>
        <v>34560</v>
      </c>
    </row>
    <row r="157" spans="14:20" x14ac:dyDescent="0.25">
      <c r="N157" t="str">
        <f>'product list'!A157</f>
        <v>ord0156</v>
      </c>
      <c r="O157" t="str">
        <f t="shared" si="4"/>
        <v>October</v>
      </c>
      <c r="P157">
        <f>MATCH(LEFT(TRIM(MID('product list'!B157,FIND(",",'product list'!B157)+1,20)),3),{"jan","feb","mar","apr","may","jun","jul","aug","sep","oct","nov","dec"},0)</f>
        <v>10</v>
      </c>
      <c r="Q157" t="str">
        <f>'product list'!H157</f>
        <v>new delhi</v>
      </c>
      <c r="R157" t="str">
        <f>'product list'!I157</f>
        <v>stationary</v>
      </c>
      <c r="S157" t="str">
        <f>'product list'!L157</f>
        <v>akash</v>
      </c>
      <c r="T157">
        <f>'product list'!P157</f>
        <v>90720</v>
      </c>
    </row>
    <row r="158" spans="14:20" x14ac:dyDescent="0.25">
      <c r="N158" t="str">
        <f>'product list'!A158</f>
        <v>ord0157</v>
      </c>
      <c r="O158" t="str">
        <f t="shared" si="4"/>
        <v>October</v>
      </c>
      <c r="P158">
        <f>MATCH(LEFT(TRIM(MID('product list'!B158,FIND(",",'product list'!B158)+1,20)),3),{"jan","feb","mar","apr","may","jun","jul","aug","sep","oct","nov","dec"},0)</f>
        <v>10</v>
      </c>
      <c r="Q158" t="str">
        <f>'product list'!H158</f>
        <v>hyderabad</v>
      </c>
      <c r="R158" t="str">
        <f>'product list'!I158</f>
        <v>supplyments</v>
      </c>
      <c r="S158" t="str">
        <f>'product list'!L158</f>
        <v>arya</v>
      </c>
      <c r="T158">
        <f>'product list'!P158</f>
        <v>14580</v>
      </c>
    </row>
    <row r="159" spans="14:20" x14ac:dyDescent="0.25">
      <c r="N159" t="str">
        <f>'product list'!A159</f>
        <v>ord0158</v>
      </c>
      <c r="O159" t="str">
        <f t="shared" si="4"/>
        <v>October</v>
      </c>
      <c r="P159">
        <f>MATCH(LEFT(TRIM(MID('product list'!B159,FIND(",",'product list'!B159)+1,20)),3),{"jan","feb","mar","apr","may","jun","jul","aug","sep","oct","nov","dec"},0)</f>
        <v>10</v>
      </c>
      <c r="Q159" t="str">
        <f>'product list'!H159</f>
        <v>srinagar</v>
      </c>
      <c r="R159" t="str">
        <f>'product list'!I159</f>
        <v>toys</v>
      </c>
      <c r="S159" t="str">
        <f>'product list'!L159</f>
        <v>ayush</v>
      </c>
      <c r="T159">
        <f>'product list'!P159</f>
        <v>44960</v>
      </c>
    </row>
    <row r="160" spans="14:20" x14ac:dyDescent="0.25">
      <c r="N160" t="str">
        <f>'product list'!A160</f>
        <v>ord0159</v>
      </c>
      <c r="O160" t="str">
        <f t="shared" si="4"/>
        <v>October</v>
      </c>
      <c r="P160">
        <f>MATCH(LEFT(TRIM(MID('product list'!B160,FIND(",",'product list'!B160)+1,20)),3),{"jan","feb","mar","apr","may","jun","jul","aug","sep","oct","nov","dec"},0)</f>
        <v>10</v>
      </c>
      <c r="Q160" t="str">
        <f>'product list'!H160</f>
        <v>noida</v>
      </c>
      <c r="R160" t="str">
        <f>'product list'!I160</f>
        <v>vahicals</v>
      </c>
      <c r="S160" t="str">
        <f>'product list'!L160</f>
        <v>bhavna</v>
      </c>
      <c r="T160">
        <f>'product list'!P160</f>
        <v>567000</v>
      </c>
    </row>
    <row r="161" spans="14:20" x14ac:dyDescent="0.25">
      <c r="N161" t="str">
        <f>'product list'!A161</f>
        <v>ord0160</v>
      </c>
      <c r="O161" t="str">
        <f t="shared" si="4"/>
        <v>November</v>
      </c>
      <c r="P161">
        <f>MATCH(LEFT(TRIM(MID('product list'!B161,FIND(",",'product list'!B161)+1,20)),3),{"jan","feb","mar","apr","may","jun","jul","aug","sep","oct","nov","dec"},0)</f>
        <v>11</v>
      </c>
      <c r="Q161" t="str">
        <f>'product list'!H161</f>
        <v>chennai</v>
      </c>
      <c r="R161" t="str">
        <f>'product list'!I161</f>
        <v>armory</v>
      </c>
      <c r="S161" t="str">
        <f>'product list'!L161</f>
        <v>bhawesh</v>
      </c>
      <c r="T161">
        <f>'product list'!P161</f>
        <v>907200</v>
      </c>
    </row>
    <row r="162" spans="14:20" x14ac:dyDescent="0.25">
      <c r="N162" t="str">
        <f>'product list'!A162</f>
        <v>ord0161</v>
      </c>
      <c r="O162" t="str">
        <f t="shared" si="4"/>
        <v>November</v>
      </c>
      <c r="P162">
        <f>MATCH(LEFT(TRIM(MID('product list'!B162,FIND(",",'product list'!B162)+1,20)),3),{"jan","feb","mar","apr","may","jun","jul","aug","sep","oct","nov","dec"},0)</f>
        <v>11</v>
      </c>
      <c r="Q162" t="str">
        <f>'product list'!H162</f>
        <v>noida</v>
      </c>
      <c r="R162" t="str">
        <f>'product list'!I162</f>
        <v>beauty</v>
      </c>
      <c r="S162" t="str">
        <f>'product list'!L162</f>
        <v>chirag</v>
      </c>
      <c r="T162">
        <f>'product list'!P162</f>
        <v>29700</v>
      </c>
    </row>
    <row r="163" spans="14:20" x14ac:dyDescent="0.25">
      <c r="N163" t="str">
        <f>'product list'!A163</f>
        <v>ord0162</v>
      </c>
      <c r="O163" t="str">
        <f t="shared" si="4"/>
        <v>November</v>
      </c>
      <c r="P163">
        <f>MATCH(LEFT(TRIM(MID('product list'!B163,FIND(",",'product list'!B163)+1,20)),3),{"jan","feb","mar","apr","may","jun","jul","aug","sep","oct","nov","dec"},0)</f>
        <v>11</v>
      </c>
      <c r="Q163" t="str">
        <f>'product list'!H163</f>
        <v>mysuru</v>
      </c>
      <c r="R163" t="str">
        <f>'product list'!I163</f>
        <v>books</v>
      </c>
      <c r="S163" t="str">
        <f>'product list'!L163</f>
        <v>dev</v>
      </c>
      <c r="T163">
        <f>'product list'!P163</f>
        <v>11050</v>
      </c>
    </row>
    <row r="164" spans="14:20" x14ac:dyDescent="0.25">
      <c r="N164" t="str">
        <f>'product list'!A164</f>
        <v>ord0163</v>
      </c>
      <c r="O164" t="str">
        <f t="shared" si="4"/>
        <v>November</v>
      </c>
      <c r="P164">
        <f>MATCH(LEFT(TRIM(MID('product list'!B164,FIND(",",'product list'!B164)+1,20)),3),{"jan","feb","mar","apr","may","jun","jul","aug","sep","oct","nov","dec"},0)</f>
        <v>11</v>
      </c>
      <c r="Q164" t="str">
        <f>'product list'!H164</f>
        <v>visakhapatnam</v>
      </c>
      <c r="R164" t="str">
        <f>'product list'!I164</f>
        <v>clothes</v>
      </c>
      <c r="S164" t="str">
        <f>'product list'!L164</f>
        <v>anjali</v>
      </c>
      <c r="T164">
        <f>'product list'!P164</f>
        <v>33480</v>
      </c>
    </row>
    <row r="165" spans="14:20" x14ac:dyDescent="0.25">
      <c r="N165" t="str">
        <f>'product list'!A165</f>
        <v>ord0164</v>
      </c>
      <c r="O165" t="str">
        <f t="shared" si="4"/>
        <v>November</v>
      </c>
      <c r="P165">
        <f>MATCH(LEFT(TRIM(MID('product list'!B165,FIND(",",'product list'!B165)+1,20)),3),{"jan","feb","mar","apr","may","jun","jul","aug","sep","oct","nov","dec"},0)</f>
        <v>11</v>
      </c>
      <c r="Q165" t="str">
        <f>'product list'!H165</f>
        <v>jaipur</v>
      </c>
      <c r="R165" t="str">
        <f>'product list'!I165</f>
        <v>electronic</v>
      </c>
      <c r="S165" t="str">
        <f>'product list'!L165</f>
        <v>daksh</v>
      </c>
      <c r="T165">
        <f>'product list'!P165</f>
        <v>424950</v>
      </c>
    </row>
    <row r="166" spans="14:20" x14ac:dyDescent="0.25">
      <c r="N166" t="str">
        <f>'product list'!A166</f>
        <v>ord0165</v>
      </c>
      <c r="O166" t="str">
        <f t="shared" si="4"/>
        <v>November</v>
      </c>
      <c r="P166">
        <f>MATCH(LEFT(TRIM(MID('product list'!B166,FIND(",",'product list'!B166)+1,20)),3),{"jan","feb","mar","apr","may","jun","jul","aug","sep","oct","nov","dec"},0)</f>
        <v>11</v>
      </c>
      <c r="Q166" t="str">
        <f>'product list'!H166</f>
        <v>new delhi</v>
      </c>
      <c r="R166" t="str">
        <f>'product list'!I166</f>
        <v>gym equpments</v>
      </c>
      <c r="S166" t="str">
        <f>'product list'!L166</f>
        <v>sonal</v>
      </c>
      <c r="T166">
        <f>'product list'!P166</f>
        <v>182590</v>
      </c>
    </row>
    <row r="167" spans="14:20" x14ac:dyDescent="0.25">
      <c r="N167" t="str">
        <f>'product list'!A167</f>
        <v>ord0166</v>
      </c>
      <c r="O167" t="str">
        <f t="shared" si="4"/>
        <v>November</v>
      </c>
      <c r="P167">
        <f>MATCH(LEFT(TRIM(MID('product list'!B167,FIND(",",'product list'!B167)+1,20)),3),{"jan","feb","mar","apr","may","jun","jul","aug","sep","oct","nov","dec"},0)</f>
        <v>11</v>
      </c>
      <c r="Q167" t="str">
        <f>'product list'!H167</f>
        <v>hyderabad</v>
      </c>
      <c r="R167" t="str">
        <f>'product list'!I167</f>
        <v>kitchen</v>
      </c>
      <c r="S167" t="str">
        <f>'product list'!L167</f>
        <v>kunal</v>
      </c>
      <c r="T167">
        <f>'product list'!P167</f>
        <v>104790</v>
      </c>
    </row>
    <row r="168" spans="14:20" x14ac:dyDescent="0.25">
      <c r="N168" t="str">
        <f>'product list'!A168</f>
        <v>ord0167</v>
      </c>
      <c r="O168" t="str">
        <f t="shared" si="4"/>
        <v>November</v>
      </c>
      <c r="P168">
        <f>MATCH(LEFT(TRIM(MID('product list'!B168,FIND(",",'product list'!B168)+1,20)),3),{"jan","feb","mar","apr","may","jun","jul","aug","sep","oct","nov","dec"},0)</f>
        <v>11</v>
      </c>
      <c r="Q168" t="str">
        <f>'product list'!H168</f>
        <v>kolkata</v>
      </c>
      <c r="R168" t="str">
        <f>'product list'!I168</f>
        <v>medicine</v>
      </c>
      <c r="S168" t="str">
        <f>'product list'!L168</f>
        <v>alisha</v>
      </c>
      <c r="T168">
        <f>'product list'!P168</f>
        <v>36000</v>
      </c>
    </row>
    <row r="169" spans="14:20" x14ac:dyDescent="0.25">
      <c r="N169" t="str">
        <f>'product list'!A169</f>
        <v>ord0168</v>
      </c>
      <c r="O169" t="str">
        <f t="shared" si="4"/>
        <v>November</v>
      </c>
      <c r="P169">
        <f>MATCH(LEFT(TRIM(MID('product list'!B169,FIND(",",'product list'!B169)+1,20)),3),{"jan","feb","mar","apr","may","jun","jul","aug","sep","oct","nov","dec"},0)</f>
        <v>11</v>
      </c>
      <c r="Q169" t="str">
        <f>'product list'!H169</f>
        <v>indore</v>
      </c>
      <c r="R169" t="str">
        <f>'product list'!I169</f>
        <v>stationary</v>
      </c>
      <c r="S169" t="str">
        <f>'product list'!L169</f>
        <v>amit</v>
      </c>
      <c r="T169">
        <f>'product list'!P169</f>
        <v>64260</v>
      </c>
    </row>
    <row r="170" spans="14:20" x14ac:dyDescent="0.25">
      <c r="N170" t="str">
        <f>'product list'!A170</f>
        <v>ord0169</v>
      </c>
      <c r="O170" t="str">
        <f t="shared" si="4"/>
        <v>November</v>
      </c>
      <c r="P170">
        <f>MATCH(LEFT(TRIM(MID('product list'!B170,FIND(",",'product list'!B170)+1,20)),3),{"jan","feb","mar","apr","may","jun","jul","aug","sep","oct","nov","dec"},0)</f>
        <v>11</v>
      </c>
      <c r="Q170" t="str">
        <f>'product list'!H170</f>
        <v>mumbai</v>
      </c>
      <c r="R170" t="str">
        <f>'product list'!I170</f>
        <v>supplyments</v>
      </c>
      <c r="S170" t="str">
        <f>'product list'!L170</f>
        <v>anshu</v>
      </c>
      <c r="T170">
        <f>'product list'!P170</f>
        <v>15390</v>
      </c>
    </row>
    <row r="171" spans="14:20" x14ac:dyDescent="0.25">
      <c r="N171" t="str">
        <f>'product list'!A171</f>
        <v>ord0170</v>
      </c>
      <c r="O171" t="str">
        <f t="shared" si="4"/>
        <v>December</v>
      </c>
      <c r="P171">
        <f>MATCH(LEFT(TRIM(MID('product list'!B171,FIND(",",'product list'!B171)+1,20)),3),{"jan","feb","mar","apr","may","jun","jul","aug","sep","oct","nov","dec"},0)</f>
        <v>12</v>
      </c>
      <c r="Q171" t="str">
        <f>'product list'!H171</f>
        <v>noida</v>
      </c>
      <c r="R171" t="str">
        <f>'product list'!I171</f>
        <v>toys</v>
      </c>
      <c r="S171" t="str">
        <f>'product list'!L171</f>
        <v>arjun</v>
      </c>
      <c r="T171">
        <f>'product list'!P171</f>
        <v>47208</v>
      </c>
    </row>
    <row r="172" spans="14:20" x14ac:dyDescent="0.25">
      <c r="N172" t="str">
        <f>'product list'!A172</f>
        <v>ord0171</v>
      </c>
      <c r="O172" t="str">
        <f t="shared" si="4"/>
        <v>December</v>
      </c>
      <c r="P172">
        <f>MATCH(LEFT(TRIM(MID('product list'!B172,FIND(",",'product list'!B172)+1,20)),3),{"jan","feb","mar","apr","may","jun","jul","aug","sep","oct","nov","dec"},0)</f>
        <v>12</v>
      </c>
      <c r="Q172" t="str">
        <f>'product list'!H172</f>
        <v>ahmedabad</v>
      </c>
      <c r="R172" t="str">
        <f>'product list'!I172</f>
        <v>vahicals</v>
      </c>
      <c r="S172" t="str">
        <f>'product list'!L172</f>
        <v>akash</v>
      </c>
      <c r="T172">
        <f>'product list'!P172</f>
        <v>614250</v>
      </c>
    </row>
    <row r="173" spans="14:20" x14ac:dyDescent="0.25">
      <c r="N173" t="str">
        <f>'product list'!A173</f>
        <v>ord0172</v>
      </c>
      <c r="O173" t="str">
        <f t="shared" si="4"/>
        <v>December</v>
      </c>
      <c r="P173">
        <f>MATCH(LEFT(TRIM(MID('product list'!B173,FIND(",",'product list'!B173)+1,20)),3),{"jan","feb","mar","apr","may","jun","jul","aug","sep","oct","nov","dec"},0)</f>
        <v>12</v>
      </c>
      <c r="Q173" t="str">
        <f>'product list'!H173</f>
        <v>pune</v>
      </c>
      <c r="R173" t="str">
        <f>'product list'!I173</f>
        <v>armory</v>
      </c>
      <c r="S173" t="str">
        <f>'product list'!L173</f>
        <v>arya</v>
      </c>
      <c r="T173">
        <f>'product list'!P173</f>
        <v>972000</v>
      </c>
    </row>
    <row r="174" spans="14:20" x14ac:dyDescent="0.25">
      <c r="N174" t="str">
        <f>'product list'!A174</f>
        <v>ord0173</v>
      </c>
      <c r="O174" t="str">
        <f t="shared" si="4"/>
        <v>December</v>
      </c>
      <c r="P174">
        <f>MATCH(LEFT(TRIM(MID('product list'!B174,FIND(",",'product list'!B174)+1,20)),3),{"jan","feb","mar","apr","may","jun","jul","aug","sep","oct","nov","dec"},0)</f>
        <v>12</v>
      </c>
      <c r="Q174" t="str">
        <f>'product list'!H174</f>
        <v>bhubaneswar</v>
      </c>
      <c r="R174" t="str">
        <f>'product list'!I174</f>
        <v>beauty</v>
      </c>
      <c r="S174" t="str">
        <f>'product list'!L174</f>
        <v>ayush</v>
      </c>
      <c r="T174">
        <f>'product list'!P174</f>
        <v>30600</v>
      </c>
    </row>
    <row r="175" spans="14:20" x14ac:dyDescent="0.25">
      <c r="N175" t="str">
        <f>'product list'!A175</f>
        <v>ord0174</v>
      </c>
      <c r="O175" t="str">
        <f t="shared" si="4"/>
        <v>December</v>
      </c>
      <c r="P175">
        <f>MATCH(LEFT(TRIM(MID('product list'!B175,FIND(",",'product list'!B175)+1,20)),3),{"jan","feb","mar","apr","may","jun","jul","aug","sep","oct","nov","dec"},0)</f>
        <v>12</v>
      </c>
      <c r="Q175" t="str">
        <f>'product list'!H175</f>
        <v>guwahati</v>
      </c>
      <c r="R175" t="str">
        <f>'product list'!I175</f>
        <v>books</v>
      </c>
      <c r="S175" t="str">
        <f>'product list'!L175</f>
        <v>bhavna</v>
      </c>
      <c r="T175">
        <f>'product list'!P175</f>
        <v>23400</v>
      </c>
    </row>
    <row r="176" spans="14:20" x14ac:dyDescent="0.25">
      <c r="N176" t="str">
        <f>'product list'!A176</f>
        <v>ord0175</v>
      </c>
      <c r="O176" t="str">
        <f t="shared" si="4"/>
        <v>December</v>
      </c>
      <c r="P176">
        <f>MATCH(LEFT(TRIM(MID('product list'!B176,FIND(",",'product list'!B176)+1,20)),3),{"jan","feb","mar","apr","may","jun","jul","aug","sep","oct","nov","dec"},0)</f>
        <v>12</v>
      </c>
      <c r="Q176" t="str">
        <f>'product list'!H176</f>
        <v>mysuru</v>
      </c>
      <c r="R176" t="str">
        <f>'product list'!I176</f>
        <v>clothes</v>
      </c>
      <c r="S176" t="str">
        <f>'product list'!L176</f>
        <v>bhawesh</v>
      </c>
      <c r="T176">
        <f>'product list'!P176</f>
        <v>53940</v>
      </c>
    </row>
    <row r="177" spans="14:20" x14ac:dyDescent="0.25">
      <c r="N177" t="str">
        <f>'product list'!A177</f>
        <v>ord0176</v>
      </c>
      <c r="O177" t="str">
        <f t="shared" si="4"/>
        <v>December</v>
      </c>
      <c r="P177">
        <f>MATCH(LEFT(TRIM(MID('product list'!B177,FIND(",",'product list'!B177)+1,20)),3),{"jan","feb","mar","apr","may","jun","jul","aug","sep","oct","nov","dec"},0)</f>
        <v>12</v>
      </c>
      <c r="Q177" t="str">
        <f>'product list'!H177</f>
        <v>pune</v>
      </c>
      <c r="R177" t="str">
        <f>'product list'!I177</f>
        <v>electronic</v>
      </c>
      <c r="S177" t="str">
        <f>'product list'!L177</f>
        <v>chirag</v>
      </c>
      <c r="T177">
        <f>'product list'!P177</f>
        <v>509940</v>
      </c>
    </row>
    <row r="178" spans="14:20" x14ac:dyDescent="0.25">
      <c r="N178" t="str">
        <f>'product list'!A178</f>
        <v>ord0177</v>
      </c>
      <c r="O178" t="str">
        <f t="shared" si="4"/>
        <v>December</v>
      </c>
      <c r="P178">
        <f>MATCH(LEFT(TRIM(MID('product list'!B178,FIND(",",'product list'!B178)+1,20)),3),{"jan","feb","mar","apr","may","jun","jul","aug","sep","oct","nov","dec"},0)</f>
        <v>12</v>
      </c>
      <c r="Q178" t="str">
        <f>'product list'!H178</f>
        <v>pune</v>
      </c>
      <c r="R178" t="str">
        <f>'product list'!I178</f>
        <v>gym equpments</v>
      </c>
      <c r="S178" t="str">
        <f>'product list'!L178</f>
        <v>dev</v>
      </c>
      <c r="T178">
        <f>'product list'!P178</f>
        <v>188480</v>
      </c>
    </row>
    <row r="179" spans="14:20" x14ac:dyDescent="0.25">
      <c r="N179" t="str">
        <f>'product list'!A179</f>
        <v>ord0178</v>
      </c>
      <c r="O179" t="str">
        <f t="shared" si="4"/>
        <v>December</v>
      </c>
      <c r="P179">
        <f>MATCH(LEFT(TRIM(MID('product list'!B179,FIND(",",'product list'!B179)+1,20)),3),{"jan","feb","mar","apr","may","jun","jul","aug","sep","oct","nov","dec"},0)</f>
        <v>12</v>
      </c>
      <c r="Q179" t="str">
        <f>'product list'!H179</f>
        <v>noida</v>
      </c>
      <c r="R179" t="str">
        <f>'product list'!I179</f>
        <v>kitchen</v>
      </c>
      <c r="S179" t="str">
        <f>'product list'!L179</f>
        <v>anjali</v>
      </c>
      <c r="T179">
        <f>'product list'!P179</f>
        <v>139720</v>
      </c>
    </row>
    <row r="180" spans="14:20" x14ac:dyDescent="0.25">
      <c r="N180" t="str">
        <f>'product list'!A180</f>
        <v>ord0179</v>
      </c>
      <c r="O180" t="str">
        <f t="shared" si="4"/>
        <v>December</v>
      </c>
      <c r="P180">
        <f>MATCH(LEFT(TRIM(MID('product list'!B180,FIND(",",'product list'!B180)+1,20)),3),{"jan","feb","mar","apr","may","jun","jul","aug","sep","oct","nov","dec"},0)</f>
        <v>12</v>
      </c>
      <c r="Q180" t="str">
        <f>'product list'!H180</f>
        <v>muzaffarpur</v>
      </c>
      <c r="R180" t="str">
        <f>'product list'!I180</f>
        <v>medicine</v>
      </c>
      <c r="S180" t="str">
        <f>'product list'!L180</f>
        <v>daksh</v>
      </c>
      <c r="T180">
        <f>'product list'!P180</f>
        <v>37440</v>
      </c>
    </row>
  </sheetData>
  <mergeCells count="10">
    <mergeCell ref="A1:L1"/>
    <mergeCell ref="A7:B7"/>
    <mergeCell ref="A8:B8"/>
    <mergeCell ref="D7:E7"/>
    <mergeCell ref="D8:E8"/>
    <mergeCell ref="G7:H7"/>
    <mergeCell ref="G8:H8"/>
    <mergeCell ref="J7:K7"/>
    <mergeCell ref="J8:K8"/>
    <mergeCell ref="A3:J3"/>
  </mergeCells>
  <dataValidations count="4">
    <dataValidation type="list" allowBlank="1" showInputMessage="1" showErrorMessage="1" sqref="D4 B4" xr:uid="{FDA72854-B056-405F-9C8B-0905B41F527E}">
      <formula1>$Y$2:$Y$14</formula1>
    </dataValidation>
    <dataValidation type="list" allowBlank="1" showInputMessage="1" showErrorMessage="1" sqref="F4" xr:uid="{4074D391-ADB2-4294-89F0-52F10AC5FCAF}">
      <formula1>$W$2:$W$17</formula1>
    </dataValidation>
    <dataValidation type="list" allowBlank="1" showInputMessage="1" showErrorMessage="1" sqref="H4" xr:uid="{6B6FE1F9-11A6-49F1-BEFE-B4835CEE0280}">
      <formula1>$X$2:$X$13</formula1>
    </dataValidation>
    <dataValidation type="list" allowBlank="1" showInputMessage="1" showErrorMessage="1" sqref="J4" xr:uid="{C123DD93-4A9C-46D8-9608-81BC22B7B4E3}">
      <formula1>$Z$2:$Z$52</formula1>
    </dataValidation>
  </dataValidations>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B4C0E-E3AB-4ABC-B12B-3A78726774BB}">
  <sheetPr codeName="Sheet25">
    <tabColor rgb="FF1F4E78"/>
  </sheetPr>
  <dimension ref="A1:O125"/>
  <sheetViews>
    <sheetView showGridLines="0" workbookViewId="0">
      <selection activeCell="Z39" sqref="Z39"/>
    </sheetView>
  </sheetViews>
  <sheetFormatPr defaultRowHeight="15" x14ac:dyDescent="0.25"/>
  <cols>
    <col min="1" max="1" width="19.85546875" bestFit="1" customWidth="1"/>
    <col min="2" max="2" width="15.5703125" bestFit="1" customWidth="1"/>
    <col min="3" max="3" width="17.42578125" bestFit="1" customWidth="1"/>
    <col min="4" max="4" width="18" bestFit="1" customWidth="1"/>
    <col min="5" max="5" width="18.7109375" bestFit="1" customWidth="1"/>
    <col min="6" max="6" width="10.7109375" bestFit="1" customWidth="1"/>
    <col min="7" max="7" width="15.28515625" bestFit="1" customWidth="1"/>
    <col min="8" max="8" width="11.7109375" bestFit="1" customWidth="1"/>
    <col min="9" max="10" width="0" hidden="1" customWidth="1"/>
    <col min="11" max="15" width="19" hidden="1" customWidth="1"/>
  </cols>
  <sheetData>
    <row r="1" spans="1:11" ht="27.95" customHeight="1" x14ac:dyDescent="0.25">
      <c r="A1" s="548" t="s">
        <v>1891</v>
      </c>
      <c r="B1" s="549"/>
      <c r="C1" s="549"/>
      <c r="D1" s="549"/>
      <c r="E1" s="549"/>
      <c r="F1" s="549"/>
      <c r="G1" s="549"/>
      <c r="H1" s="550"/>
    </row>
    <row r="2" spans="1:11" ht="20.100000000000001" customHeight="1" x14ac:dyDescent="0.25">
      <c r="A2" s="551" t="s">
        <v>1939</v>
      </c>
      <c r="B2" s="552"/>
      <c r="C2" s="552"/>
      <c r="D2" s="552"/>
      <c r="E2" s="552"/>
      <c r="F2" s="552"/>
      <c r="G2" s="254"/>
      <c r="H2" s="255"/>
      <c r="K2" t="s">
        <v>1896</v>
      </c>
    </row>
    <row r="3" spans="1:11" ht="20.100000000000001" customHeight="1" x14ac:dyDescent="0.25">
      <c r="A3" s="253" t="s">
        <v>1892</v>
      </c>
      <c r="B3" s="552" t="s">
        <v>1940</v>
      </c>
      <c r="C3" s="552"/>
      <c r="D3" s="552"/>
      <c r="E3" s="552"/>
      <c r="F3" s="552"/>
      <c r="G3" s="254" t="s">
        <v>1893</v>
      </c>
      <c r="H3" s="256">
        <f ca="1">TODAY()</f>
        <v>46311</v>
      </c>
      <c r="K3" t="s">
        <v>1883</v>
      </c>
    </row>
    <row r="4" spans="1:11" ht="20.100000000000001" customHeight="1" x14ac:dyDescent="0.25">
      <c r="A4" s="257" t="s">
        <v>1894</v>
      </c>
      <c r="B4" s="258" t="s">
        <v>1937</v>
      </c>
      <c r="C4" s="259"/>
      <c r="D4" s="259"/>
      <c r="E4" s="259"/>
      <c r="F4" s="259"/>
      <c r="G4" s="259"/>
      <c r="H4" s="260"/>
      <c r="K4" t="s">
        <v>1468</v>
      </c>
    </row>
    <row r="5" spans="1:11" ht="20.100000000000001" customHeight="1" x14ac:dyDescent="0.25">
      <c r="A5" s="257" t="s">
        <v>1895</v>
      </c>
      <c r="B5" s="258" t="s">
        <v>1896</v>
      </c>
      <c r="C5" s="259"/>
      <c r="D5" s="259"/>
      <c r="E5" s="259"/>
      <c r="F5" s="259"/>
      <c r="G5" s="259"/>
      <c r="H5" s="260"/>
      <c r="K5" t="s">
        <v>1884</v>
      </c>
    </row>
    <row r="6" spans="1:11" ht="20.100000000000001" customHeight="1" x14ac:dyDescent="0.25">
      <c r="A6" s="257" t="s">
        <v>1008</v>
      </c>
      <c r="B6" s="258" t="s">
        <v>579</v>
      </c>
      <c r="C6" s="259"/>
      <c r="D6" s="259"/>
      <c r="E6" s="259"/>
      <c r="F6" s="259"/>
      <c r="G6" s="259"/>
      <c r="H6" s="260"/>
      <c r="K6" t="s">
        <v>1885</v>
      </c>
    </row>
    <row r="7" spans="1:11" ht="20.100000000000001" customHeight="1" x14ac:dyDescent="0.25">
      <c r="A7" s="257" t="s">
        <v>1897</v>
      </c>
      <c r="B7" s="553" t="str">
        <f>IF($B$4="","Please select an employee",IF($B$5="","Please select a department",IF($B$6="","Please select a month",IF($B$10="","Selected employee does not exist",IF(AND($B$5&lt;&gt;"All Departments",$B$12&lt;&gt;$B$5),"Selected employee is not in the selected department",IF(LOWER($B$6)&lt;&gt;LOWER('attendance sheet'!$L$3),"Ready - attendance available only for "&amp;'attendance sheet'!$L$3,"Ready to generate"))))))</f>
        <v>Ready to generate</v>
      </c>
      <c r="C7" s="553"/>
      <c r="D7" s="553"/>
      <c r="E7" s="553"/>
      <c r="F7" s="553"/>
      <c r="G7" s="553"/>
      <c r="H7" s="554"/>
      <c r="K7" t="s">
        <v>895</v>
      </c>
    </row>
    <row r="8" spans="1:11" ht="12" customHeight="1" x14ac:dyDescent="0.25">
      <c r="A8" s="290"/>
      <c r="B8" s="288"/>
      <c r="C8" s="288"/>
      <c r="D8" s="288"/>
      <c r="E8" s="288"/>
      <c r="F8" s="288"/>
      <c r="G8" s="288"/>
      <c r="H8" s="289"/>
      <c r="K8" t="s">
        <v>1886</v>
      </c>
    </row>
    <row r="9" spans="1:11" ht="21.95" customHeight="1" x14ac:dyDescent="0.25">
      <c r="A9" s="555" t="s">
        <v>1898</v>
      </c>
      <c r="B9" s="556"/>
      <c r="C9" s="288"/>
      <c r="D9" s="556" t="s">
        <v>1899</v>
      </c>
      <c r="E9" s="556"/>
      <c r="F9" s="288"/>
      <c r="G9" s="288"/>
      <c r="H9" s="289"/>
      <c r="K9" t="s">
        <v>1887</v>
      </c>
    </row>
    <row r="10" spans="1:11" x14ac:dyDescent="0.25">
      <c r="A10" s="263" t="s">
        <v>979</v>
      </c>
      <c r="B10" s="264">
        <f>IFERROR(_xlfn.XLOOKUP($B$4,$K$28:$K$125,$L$28:$L$125),"")</f>
        <v>1000</v>
      </c>
      <c r="C10" s="288"/>
      <c r="D10" s="265" t="s">
        <v>957</v>
      </c>
      <c r="E10" s="266">
        <f>IF($B$10="","",IFERROR(_xlfn.XLOOKUP($B$10,'salary slip'!$B$3:$B$102,'salary slip'!$F$3:$F$102),""))</f>
        <v>50000</v>
      </c>
      <c r="F10" s="288"/>
      <c r="G10" s="288"/>
      <c r="H10" s="289"/>
      <c r="K10" t="s">
        <v>1033</v>
      </c>
    </row>
    <row r="11" spans="1:11" x14ac:dyDescent="0.25">
      <c r="A11" s="263" t="s">
        <v>627</v>
      </c>
      <c r="B11" s="264" t="str">
        <f>IFERROR(_xlfn.XLOOKUP($B$4,$K$28:$K$125,$M$28:$M$125),"")</f>
        <v>dev</v>
      </c>
      <c r="C11" s="288"/>
      <c r="D11" s="265" t="s">
        <v>1900</v>
      </c>
      <c r="E11" s="266">
        <f>IF($B$10="","",IFERROR(SUM(_xlfn.XLOOKUP($B$10,'salary slip'!$B$3:$B$102,'salary slip'!$G$3:$J$102)),""))</f>
        <v>14500</v>
      </c>
      <c r="F11" s="288"/>
      <c r="G11" s="288"/>
      <c r="H11" s="289"/>
      <c r="K11" t="s">
        <v>1888</v>
      </c>
    </row>
    <row r="12" spans="1:11" x14ac:dyDescent="0.25">
      <c r="A12" s="263" t="s">
        <v>1895</v>
      </c>
      <c r="B12" s="264" t="str">
        <f>IFERROR(_xlfn.XLOOKUP($B$4,$K$28:$K$125,$N$28:$N$125),"")</f>
        <v>Management</v>
      </c>
      <c r="C12" s="288"/>
      <c r="D12" s="265" t="s">
        <v>1901</v>
      </c>
      <c r="E12" s="267">
        <f>IF($B$10="","",IFERROR(_xlfn.XLOOKUP($B$10,'salary slip'!$B$3:$B$102,'salary slip'!$P$3:$P$102),""))</f>
        <v>15</v>
      </c>
      <c r="F12" s="288"/>
      <c r="G12" s="288"/>
      <c r="H12" s="289"/>
      <c r="K12" t="s">
        <v>1889</v>
      </c>
    </row>
    <row r="13" spans="1:11" x14ac:dyDescent="0.25">
      <c r="A13" s="263" t="s">
        <v>981</v>
      </c>
      <c r="B13" s="264" t="str">
        <f>IFERROR(_xlfn.XLOOKUP($B$10,'salary slip'!$B$3:$B$102,'salary slip'!$D$3:$D$102),"")</f>
        <v>manager</v>
      </c>
      <c r="C13" s="288"/>
      <c r="D13" s="265" t="s">
        <v>994</v>
      </c>
      <c r="E13" s="266">
        <f>IF($B$10="","",IFERROR(_xlfn.XLOOKUP($B$10,'salary slip'!$B$3:$B$102,'salary slip'!$Q$3:$Q$102),""))</f>
        <v>3125</v>
      </c>
      <c r="F13" s="288"/>
      <c r="G13" s="288"/>
      <c r="H13" s="289"/>
      <c r="K13" t="s">
        <v>1890</v>
      </c>
    </row>
    <row r="14" spans="1:11" x14ac:dyDescent="0.25">
      <c r="A14" s="290"/>
      <c r="B14" s="288"/>
      <c r="C14" s="288"/>
      <c r="D14" s="265" t="s">
        <v>1902</v>
      </c>
      <c r="E14" s="266">
        <f>IF($B$10="","",IFERROR(SUM(_xlfn.XLOOKUP($B$10,'salary slip'!$B$3:$B$102,'salary slip'!$L$3:$M$102),_xlfn.XLOOKUP($B$10,'salary slip'!$B$3:$B$102,'salary slip'!$O$3:$O$102)),""))</f>
        <v>13347.98076923077</v>
      </c>
      <c r="F14" s="288"/>
      <c r="G14" s="288"/>
      <c r="H14" s="289"/>
      <c r="K14" t="s">
        <v>576</v>
      </c>
    </row>
    <row r="15" spans="1:11" x14ac:dyDescent="0.25">
      <c r="A15" s="290"/>
      <c r="B15" s="288"/>
      <c r="C15" s="288"/>
      <c r="D15" s="265" t="s">
        <v>995</v>
      </c>
      <c r="E15" s="266">
        <f>IF($B$10="","",IFERROR(_xlfn.XLOOKUP($B$10,'salary slip'!$B$3:$B$102,'salary slip'!$K$3:$K$102),""))</f>
        <v>64500</v>
      </c>
      <c r="F15" s="288"/>
      <c r="G15" s="288"/>
      <c r="H15" s="289"/>
      <c r="K15" t="s">
        <v>577</v>
      </c>
    </row>
    <row r="16" spans="1:11" x14ac:dyDescent="0.25">
      <c r="A16" s="290"/>
      <c r="B16" s="288"/>
      <c r="C16" s="288"/>
      <c r="D16" s="265" t="s">
        <v>1903</v>
      </c>
      <c r="E16" s="266">
        <f>IF($B$10="","",IFERROR(_xlfn.XLOOKUP($B$10,'salary slip'!$B$3:$B$102,'salary slip'!$S$3:$S$102),""))</f>
        <v>646029.23076923098</v>
      </c>
      <c r="F16" s="288"/>
      <c r="G16" s="288"/>
      <c r="H16" s="289"/>
      <c r="K16" t="s">
        <v>500</v>
      </c>
    </row>
    <row r="17" spans="1:15" x14ac:dyDescent="0.25">
      <c r="A17" s="290"/>
      <c r="B17" s="288"/>
      <c r="C17" s="288"/>
      <c r="D17" s="268" t="s">
        <v>1904</v>
      </c>
      <c r="E17" s="269">
        <f>IF($B$10="","",IFERROR(_xlfn.XLOOKUP($B$10,'salary slip'!$B$3:$B$102,'salary slip'!$R$3:$R$102),""))</f>
        <v>54277.019230769234</v>
      </c>
      <c r="F17" s="288"/>
      <c r="G17" s="288"/>
      <c r="H17" s="289"/>
      <c r="K17" t="s">
        <v>501</v>
      </c>
    </row>
    <row r="18" spans="1:15" x14ac:dyDescent="0.25">
      <c r="A18" s="290"/>
      <c r="B18" s="288"/>
      <c r="C18" s="288"/>
      <c r="D18" s="265" t="s">
        <v>1905</v>
      </c>
      <c r="E18" s="270" t="str">
        <f>IF($B$10="","",IF(LOWER($B$6)=LOWER('attendance sheet'!$L$3),TEXT('attendance sheet'!$L$4,"mmmm yyyy"),"Not available"))</f>
        <v>July 2025</v>
      </c>
      <c r="F18" s="288"/>
      <c r="G18" s="288"/>
      <c r="H18" s="289"/>
      <c r="K18" t="s">
        <v>502</v>
      </c>
    </row>
    <row r="19" spans="1:15" x14ac:dyDescent="0.25">
      <c r="A19" s="290"/>
      <c r="B19" s="288"/>
      <c r="C19" s="288"/>
      <c r="D19" s="265" t="s">
        <v>1906</v>
      </c>
      <c r="E19" s="270">
        <f>IF($B$10="","",IF(LOWER($B$6)=LOWER('attendance sheet'!$L$3),IFERROR(_xlfn.XLOOKUP($B$10,'attendance sheet'!$A$7:$A$211,'attendance sheet'!$AI$7:$AI$211),"Missing"),"Not available"))</f>
        <v>31</v>
      </c>
      <c r="F19" s="288"/>
      <c r="G19" s="288"/>
      <c r="H19" s="289"/>
      <c r="K19" t="s">
        <v>578</v>
      </c>
    </row>
    <row r="20" spans="1:15" x14ac:dyDescent="0.25">
      <c r="A20" s="290"/>
      <c r="B20" s="288"/>
      <c r="C20" s="288"/>
      <c r="D20" s="265" t="s">
        <v>1201</v>
      </c>
      <c r="E20" s="270">
        <f ca="1">IF($B$10="","",IF(LOWER($B$6)=LOWER('attendance sheet'!$L$3),IFERROR(_xlfn.XLOOKUP($B$10,'attendance sheet'!$A$7:$A$211,'attendance sheet'!$AJ$7:$AJ$211),"Missing"),"Not available"))</f>
        <v>28</v>
      </c>
      <c r="F20" s="288"/>
      <c r="G20" s="288"/>
      <c r="H20" s="289"/>
      <c r="K20" t="s">
        <v>579</v>
      </c>
    </row>
    <row r="21" spans="1:15" x14ac:dyDescent="0.25">
      <c r="A21" s="290"/>
      <c r="B21" s="288"/>
      <c r="C21" s="288"/>
      <c r="D21" s="265" t="s">
        <v>1907</v>
      </c>
      <c r="E21" s="270">
        <f ca="1">IF($B$10="","",IF(LOWER($B$6)=LOWER('attendance sheet'!$L$3),IFERROR(_xlfn.XLOOKUP($B$10,'attendance sheet'!$A$7:$A$211,'attendance sheet'!$AK$7:$AK$211),"Missing"),"Not available"))</f>
        <v>3</v>
      </c>
      <c r="F21" s="288"/>
      <c r="G21" s="288"/>
      <c r="H21" s="289"/>
      <c r="K21" t="s">
        <v>505</v>
      </c>
    </row>
    <row r="22" spans="1:15" x14ac:dyDescent="0.25">
      <c r="A22" s="290"/>
      <c r="B22" s="288"/>
      <c r="C22" s="288"/>
      <c r="D22" s="265" t="s">
        <v>1908</v>
      </c>
      <c r="E22" s="271">
        <f ca="1">IF(OR(NOT(ISNUMBER($E$19)),NOT(ISNUMBER($E$20)),$E$19=0),"",$E$20/$E$19)</f>
        <v>0.90322580645161288</v>
      </c>
      <c r="F22" s="288"/>
      <c r="G22" s="288"/>
      <c r="H22" s="289"/>
      <c r="K22" t="s">
        <v>506</v>
      </c>
    </row>
    <row r="23" spans="1:15" x14ac:dyDescent="0.25">
      <c r="A23" s="261"/>
      <c r="B23" s="262"/>
      <c r="C23" s="262"/>
      <c r="D23" s="288"/>
      <c r="E23" s="288"/>
      <c r="F23" s="288"/>
      <c r="G23" s="288"/>
      <c r="H23" s="289"/>
      <c r="K23" t="s">
        <v>507</v>
      </c>
    </row>
    <row r="24" spans="1:15" x14ac:dyDescent="0.25">
      <c r="A24" s="261"/>
      <c r="B24" s="262"/>
      <c r="C24" s="262"/>
      <c r="D24" s="288"/>
      <c r="E24" s="288"/>
      <c r="F24" s="288"/>
      <c r="G24" s="288"/>
      <c r="H24" s="289"/>
      <c r="K24" t="s">
        <v>580</v>
      </c>
    </row>
    <row r="25" spans="1:15" ht="21.95" customHeight="1" x14ac:dyDescent="0.25">
      <c r="A25" s="555" t="s">
        <v>1909</v>
      </c>
      <c r="B25" s="556"/>
      <c r="C25" s="556"/>
      <c r="D25" s="288"/>
      <c r="E25" s="556" t="s">
        <v>1919</v>
      </c>
      <c r="F25" s="556"/>
      <c r="G25" s="556"/>
      <c r="H25" s="289"/>
      <c r="K25" t="s">
        <v>581</v>
      </c>
    </row>
    <row r="26" spans="1:15" x14ac:dyDescent="0.25">
      <c r="A26" s="272" t="s">
        <v>1910</v>
      </c>
      <c r="B26" s="273" t="s">
        <v>620</v>
      </c>
      <c r="C26" s="273" t="s">
        <v>1911</v>
      </c>
      <c r="D26" s="288"/>
      <c r="E26" s="273" t="s">
        <v>1910</v>
      </c>
      <c r="F26" s="273" t="s">
        <v>620</v>
      </c>
      <c r="G26" s="273" t="s">
        <v>1911</v>
      </c>
      <c r="H26" s="289"/>
    </row>
    <row r="27" spans="1:15" x14ac:dyDescent="0.25">
      <c r="A27" s="274" t="s">
        <v>957</v>
      </c>
      <c r="B27" s="275">
        <f>$E$10</f>
        <v>50000</v>
      </c>
      <c r="C27" s="276" t="s">
        <v>1913</v>
      </c>
      <c r="D27" s="288"/>
      <c r="E27" s="277" t="s">
        <v>591</v>
      </c>
      <c r="F27" s="275">
        <f>IF($B$10="","",IFERROR(_xlfn.XLOOKUP($B$10,'salary slip'!$B$3:$B$102,'salary slip'!$L$3:$L$102),""))</f>
        <v>6450</v>
      </c>
      <c r="G27" s="276" t="s">
        <v>1921</v>
      </c>
      <c r="H27" s="289"/>
      <c r="K27" t="s">
        <v>1936</v>
      </c>
      <c r="L27" t="s">
        <v>979</v>
      </c>
      <c r="M27" t="s">
        <v>627</v>
      </c>
      <c r="N27" t="s">
        <v>1895</v>
      </c>
      <c r="O27" t="s">
        <v>981</v>
      </c>
    </row>
    <row r="28" spans="1:15" x14ac:dyDescent="0.25">
      <c r="A28" s="261" t="s">
        <v>587</v>
      </c>
      <c r="B28" s="278">
        <f>IF($B$10="","",IFERROR(_xlfn.XLOOKUP($B$10,'salary slip'!$B$3:$B$102,'salary slip'!$G$3:$G$102),""))</f>
        <v>5000</v>
      </c>
      <c r="C28" s="279" t="s">
        <v>1914</v>
      </c>
      <c r="D28" s="288"/>
      <c r="E28" s="262" t="s">
        <v>592</v>
      </c>
      <c r="F28" s="278">
        <f>IF($B$10="","",IFERROR(_xlfn.XLOOKUP($B$10,'salary slip'!$B$3:$B$102,'salary slip'!$M$3:$M$102),""))</f>
        <v>1128.75</v>
      </c>
      <c r="G28" s="279" t="s">
        <v>1922</v>
      </c>
      <c r="H28" s="289"/>
      <c r="K28" t="str">
        <f>'salary slip'!B3&amp;" - "&amp;'salary slip'!C3</f>
        <v>1000 - dev</v>
      </c>
      <c r="L28">
        <f>'salary slip'!B3</f>
        <v>1000</v>
      </c>
      <c r="M28" t="str">
        <f>'salary slip'!C3</f>
        <v>dev</v>
      </c>
      <c r="N28" t="str">
        <f>'salary slip'!E3</f>
        <v>Management</v>
      </c>
      <c r="O28" t="str">
        <f>'salary slip'!D3</f>
        <v>manager</v>
      </c>
    </row>
    <row r="29" spans="1:15" x14ac:dyDescent="0.25">
      <c r="A29" s="274" t="s">
        <v>588</v>
      </c>
      <c r="B29" s="275">
        <f>IF($B$10="","",IFERROR(_xlfn.XLOOKUP($B$10,'salary slip'!$B$3:$B$102,'salary slip'!$H$3:$H$102),""))</f>
        <v>6000</v>
      </c>
      <c r="C29" s="276" t="s">
        <v>1915</v>
      </c>
      <c r="D29" s="288"/>
      <c r="E29" s="277" t="s">
        <v>989</v>
      </c>
      <c r="F29" s="280">
        <f>IF($B$10="","",IFERROR(_xlfn.XLOOKUP($B$10,'salary slip'!$B$3:$B$102,'salary slip'!$N$3:$N$102),""))</f>
        <v>3</v>
      </c>
      <c r="G29" s="276" t="s">
        <v>1923</v>
      </c>
      <c r="H29" s="289"/>
      <c r="K29" t="str">
        <f>'salary slip'!B4&amp;" - "&amp;'salary slip'!C4</f>
        <v>1001 - chand</v>
      </c>
      <c r="L29">
        <f>'salary slip'!B4</f>
        <v>1001</v>
      </c>
      <c r="M29" t="str">
        <f>'salary slip'!C4</f>
        <v>chand</v>
      </c>
      <c r="N29" t="str">
        <f>'salary slip'!E4</f>
        <v>Management</v>
      </c>
      <c r="O29" t="str">
        <f>'salary slip'!D4</f>
        <v>manager</v>
      </c>
    </row>
    <row r="30" spans="1:15" x14ac:dyDescent="0.25">
      <c r="A30" s="261" t="s">
        <v>1912</v>
      </c>
      <c r="B30" s="278">
        <f>IF($B$10="","",IFERROR(_xlfn.XLOOKUP($B$10,'salary slip'!$B$3:$B$102,'salary slip'!$I$3:$I$102),""))</f>
        <v>500</v>
      </c>
      <c r="C30" s="279" t="s">
        <v>1916</v>
      </c>
      <c r="D30" s="288"/>
      <c r="E30" s="262" t="s">
        <v>991</v>
      </c>
      <c r="F30" s="278">
        <f>IF($B$10="","",IFERROR(_xlfn.XLOOKUP($B$10,'salary slip'!$B$3:$B$102,'salary slip'!$O$3:$O$102),""))</f>
        <v>5769.2307692307695</v>
      </c>
      <c r="G30" s="279" t="s">
        <v>1924</v>
      </c>
      <c r="H30" s="289"/>
      <c r="K30" t="str">
        <f>'salary slip'!B5&amp;" - "&amp;'salary slip'!C5</f>
        <v>1002 - daksh</v>
      </c>
      <c r="L30">
        <f>'salary slip'!B5</f>
        <v>1002</v>
      </c>
      <c r="M30" t="str">
        <f>'salary slip'!C5</f>
        <v>daksh</v>
      </c>
      <c r="N30" t="str">
        <f>'salary slip'!E5</f>
        <v>Management</v>
      </c>
      <c r="O30" t="str">
        <f>'salary slip'!D5</f>
        <v>manager</v>
      </c>
    </row>
    <row r="31" spans="1:15" x14ac:dyDescent="0.25">
      <c r="A31" s="274" t="s">
        <v>589</v>
      </c>
      <c r="B31" s="275">
        <f>IF($B$10="","",IFERROR(_xlfn.XLOOKUP($B$10,'salary slip'!$B$3:$B$102,'salary slip'!$J$3:$J$102),""))</f>
        <v>3000</v>
      </c>
      <c r="C31" s="276" t="s">
        <v>1917</v>
      </c>
      <c r="D31" s="288"/>
      <c r="E31" s="277" t="s">
        <v>1901</v>
      </c>
      <c r="F31" s="280">
        <f>$E$12</f>
        <v>15</v>
      </c>
      <c r="G31" s="276" t="s">
        <v>1925</v>
      </c>
      <c r="H31" s="289"/>
      <c r="K31" t="str">
        <f>'salary slip'!B6&amp;" - "&amp;'salary slip'!C6</f>
        <v>1003 - rajnikant</v>
      </c>
      <c r="L31">
        <f>'salary slip'!B6</f>
        <v>1003</v>
      </c>
      <c r="M31" t="str">
        <f>'salary slip'!C6</f>
        <v>rajnikant</v>
      </c>
      <c r="N31" t="str">
        <f>'salary slip'!E6</f>
        <v>Management</v>
      </c>
      <c r="O31" t="str">
        <f>'salary slip'!D6</f>
        <v>manager</v>
      </c>
    </row>
    <row r="32" spans="1:15" x14ac:dyDescent="0.25">
      <c r="A32" s="281" t="s">
        <v>995</v>
      </c>
      <c r="B32" s="282">
        <f>$E$15</f>
        <v>64500</v>
      </c>
      <c r="C32" s="283" t="s">
        <v>1918</v>
      </c>
      <c r="D32" s="288"/>
      <c r="E32" s="262" t="s">
        <v>994</v>
      </c>
      <c r="F32" s="278">
        <f>$E$13</f>
        <v>3125</v>
      </c>
      <c r="G32" s="279" t="s">
        <v>1926</v>
      </c>
      <c r="H32" s="289"/>
      <c r="K32" t="str">
        <f>'salary slip'!B7&amp;" - "&amp;'salary slip'!C7</f>
        <v>1004 - kunal</v>
      </c>
      <c r="L32">
        <f>'salary slip'!B7</f>
        <v>1004</v>
      </c>
      <c r="M32" t="str">
        <f>'salary slip'!C7</f>
        <v>kunal</v>
      </c>
      <c r="N32" t="str">
        <f>'salary slip'!E7</f>
        <v>Management</v>
      </c>
      <c r="O32" t="str">
        <f>'salary slip'!D7</f>
        <v>manager</v>
      </c>
    </row>
    <row r="33" spans="1:15" x14ac:dyDescent="0.25">
      <c r="A33" s="290"/>
      <c r="B33" s="288"/>
      <c r="C33" s="288"/>
      <c r="D33" s="288"/>
      <c r="E33" s="277" t="s">
        <v>1920</v>
      </c>
      <c r="F33" s="275">
        <f>IF($B$10="","",IFERROR(_xlfn.XLOOKUP($B$10,'salary slip'!$B$3:$B$102,'salary slip'!$T$3:$T$102),""))</f>
        <v>77523.507692307714</v>
      </c>
      <c r="G33" s="276" t="s">
        <v>1927</v>
      </c>
      <c r="H33" s="289"/>
      <c r="K33" t="str">
        <f>'salary slip'!B8&amp;" - "&amp;'salary slip'!C8</f>
        <v>1005 - ayush</v>
      </c>
      <c r="L33">
        <f>'salary slip'!B8</f>
        <v>1005</v>
      </c>
      <c r="M33" t="str">
        <f>'salary slip'!C8</f>
        <v>ayush</v>
      </c>
      <c r="N33" t="str">
        <f>'salary slip'!E8</f>
        <v>Management</v>
      </c>
      <c r="O33" t="str">
        <f>'salary slip'!D8</f>
        <v>manager</v>
      </c>
    </row>
    <row r="34" spans="1:15" x14ac:dyDescent="0.25">
      <c r="A34" s="290"/>
      <c r="B34" s="288"/>
      <c r="C34" s="288"/>
      <c r="D34" s="288"/>
      <c r="E34" s="268" t="s">
        <v>1904</v>
      </c>
      <c r="F34" s="269">
        <f>$E$17</f>
        <v>54277.019230769234</v>
      </c>
      <c r="G34" s="284" t="s">
        <v>1928</v>
      </c>
      <c r="H34" s="289"/>
      <c r="K34" t="str">
        <f>'salary slip'!B9&amp;" - "&amp;'salary slip'!C9</f>
        <v>1006 - mayank</v>
      </c>
      <c r="L34">
        <f>'salary slip'!B9</f>
        <v>1006</v>
      </c>
      <c r="M34" t="str">
        <f>'salary slip'!C9</f>
        <v>mayank</v>
      </c>
      <c r="N34" t="str">
        <f>'salary slip'!E9</f>
        <v>Sales</v>
      </c>
      <c r="O34" t="str">
        <f>'salary slip'!D9</f>
        <v>employe</v>
      </c>
    </row>
    <row r="35" spans="1:15" x14ac:dyDescent="0.25">
      <c r="A35" s="290"/>
      <c r="B35" s="288"/>
      <c r="C35" s="288"/>
      <c r="D35" s="288"/>
      <c r="E35" s="262"/>
      <c r="F35" s="262"/>
      <c r="G35" s="262"/>
      <c r="H35" s="289"/>
      <c r="K35" t="str">
        <f>'salary slip'!B10&amp;" - "&amp;'salary slip'!C10</f>
        <v>1007 - arya</v>
      </c>
      <c r="L35">
        <f>'salary slip'!B10</f>
        <v>1007</v>
      </c>
      <c r="M35" t="str">
        <f>'salary slip'!C10</f>
        <v>arya</v>
      </c>
      <c r="N35" t="str">
        <f>'salary slip'!E10</f>
        <v>Production</v>
      </c>
      <c r="O35" t="str">
        <f>'salary slip'!D10</f>
        <v>employe</v>
      </c>
    </row>
    <row r="36" spans="1:15" x14ac:dyDescent="0.25">
      <c r="A36" s="290"/>
      <c r="B36" s="288"/>
      <c r="C36" s="288"/>
      <c r="D36" s="288"/>
      <c r="E36" s="262"/>
      <c r="F36" s="262"/>
      <c r="G36" s="262"/>
      <c r="H36" s="289"/>
      <c r="K36" t="str">
        <f>'salary slip'!B11&amp;" - "&amp;'salary slip'!C11</f>
        <v>1008 - mayank</v>
      </c>
      <c r="L36">
        <f>'salary slip'!B11</f>
        <v>1008</v>
      </c>
      <c r="M36" t="str">
        <f>'salary slip'!C11</f>
        <v>mayank</v>
      </c>
      <c r="N36" t="str">
        <f>'salary slip'!E11</f>
        <v>Finance</v>
      </c>
      <c r="O36" t="str">
        <f>'salary slip'!D11</f>
        <v>employe</v>
      </c>
    </row>
    <row r="37" spans="1:15" ht="21.95" customHeight="1" x14ac:dyDescent="0.25">
      <c r="A37" s="555" t="s">
        <v>1929</v>
      </c>
      <c r="B37" s="556"/>
      <c r="C37" s="556"/>
      <c r="D37" s="288"/>
      <c r="E37" s="288"/>
      <c r="F37" s="288"/>
      <c r="G37" s="288"/>
      <c r="H37" s="289"/>
      <c r="K37" t="str">
        <f>'salary slip'!B12&amp;" - "&amp;'salary slip'!C12</f>
        <v>1009 - amit</v>
      </c>
      <c r="L37">
        <f>'salary slip'!B12</f>
        <v>1009</v>
      </c>
      <c r="M37" t="str">
        <f>'salary slip'!C12</f>
        <v>amit</v>
      </c>
      <c r="N37" t="str">
        <f>'salary slip'!E12</f>
        <v>HR</v>
      </c>
      <c r="O37" t="str">
        <f>'salary slip'!D12</f>
        <v>employe</v>
      </c>
    </row>
    <row r="38" spans="1:15" x14ac:dyDescent="0.25">
      <c r="A38" s="274" t="s">
        <v>1905</v>
      </c>
      <c r="B38" s="285" t="str">
        <f>$E$18</f>
        <v>July 2025</v>
      </c>
      <c r="C38" s="276" t="s">
        <v>1930</v>
      </c>
      <c r="D38" s="288"/>
      <c r="E38" s="288"/>
      <c r="F38" s="288"/>
      <c r="G38" s="288"/>
      <c r="H38" s="289"/>
      <c r="K38" t="str">
        <f>'salary slip'!B13&amp;" - "&amp;'salary slip'!C13</f>
        <v>1010 - daksh</v>
      </c>
      <c r="L38">
        <f>'salary slip'!B13</f>
        <v>1010</v>
      </c>
      <c r="M38" t="str">
        <f>'salary slip'!C13</f>
        <v>daksh</v>
      </c>
      <c r="N38" t="str">
        <f>'salary slip'!E13</f>
        <v>Operations</v>
      </c>
      <c r="O38" t="str">
        <f>'salary slip'!D13</f>
        <v>employe</v>
      </c>
    </row>
    <row r="39" spans="1:15" x14ac:dyDescent="0.25">
      <c r="A39" s="261" t="s">
        <v>1906</v>
      </c>
      <c r="B39" s="286">
        <f>$E$19</f>
        <v>31</v>
      </c>
      <c r="C39" s="279" t="s">
        <v>1931</v>
      </c>
      <c r="D39" s="288"/>
      <c r="E39" s="288"/>
      <c r="F39" s="288"/>
      <c r="G39" s="288"/>
      <c r="H39" s="289"/>
      <c r="K39" t="str">
        <f>'salary slip'!B14&amp;" - "&amp;'salary slip'!C14</f>
        <v>1011 - deepak</v>
      </c>
      <c r="L39">
        <f>'salary slip'!B14</f>
        <v>1011</v>
      </c>
      <c r="M39" t="str">
        <f>'salary slip'!C14</f>
        <v>deepak</v>
      </c>
      <c r="N39" t="str">
        <f>'salary slip'!E14</f>
        <v>IT</v>
      </c>
      <c r="O39" t="str">
        <f>'salary slip'!D14</f>
        <v>employe</v>
      </c>
    </row>
    <row r="40" spans="1:15" x14ac:dyDescent="0.25">
      <c r="A40" s="274" t="s">
        <v>1201</v>
      </c>
      <c r="B40" s="285">
        <f ca="1">$E$20</f>
        <v>28</v>
      </c>
      <c r="C40" s="276" t="s">
        <v>1932</v>
      </c>
      <c r="D40" s="288"/>
      <c r="E40" s="288"/>
      <c r="F40" s="288"/>
      <c r="G40" s="288"/>
      <c r="H40" s="289"/>
      <c r="K40" t="str">
        <f>'salary slip'!B15&amp;" - "&amp;'salary slip'!C15</f>
        <v>1012 - rohit</v>
      </c>
      <c r="L40">
        <f>'salary slip'!B15</f>
        <v>1012</v>
      </c>
      <c r="M40" t="str">
        <f>'salary slip'!C15</f>
        <v>rohit</v>
      </c>
      <c r="N40" t="str">
        <f>'salary slip'!E15</f>
        <v>Marketing</v>
      </c>
      <c r="O40" t="str">
        <f>'salary slip'!D15</f>
        <v>employe</v>
      </c>
    </row>
    <row r="41" spans="1:15" x14ac:dyDescent="0.25">
      <c r="A41" s="261" t="s">
        <v>1907</v>
      </c>
      <c r="B41" s="286">
        <f ca="1">$E$21</f>
        <v>3</v>
      </c>
      <c r="C41" s="279" t="s">
        <v>1933</v>
      </c>
      <c r="D41" s="288"/>
      <c r="E41" s="288"/>
      <c r="F41" s="288"/>
      <c r="G41" s="288"/>
      <c r="H41" s="289"/>
      <c r="K41" t="str">
        <f>'salary slip'!B16&amp;" - "&amp;'salary slip'!C16</f>
        <v>1013 - bhawesh</v>
      </c>
      <c r="L41">
        <f>'salary slip'!B16</f>
        <v>1013</v>
      </c>
      <c r="M41" t="str">
        <f>'salary slip'!C16</f>
        <v>bhawesh</v>
      </c>
      <c r="N41" t="str">
        <f>'salary slip'!E16</f>
        <v>Admin</v>
      </c>
      <c r="O41" t="str">
        <f>'salary slip'!D16</f>
        <v>employe</v>
      </c>
    </row>
    <row r="42" spans="1:15" x14ac:dyDescent="0.25">
      <c r="A42" s="281" t="s">
        <v>1908</v>
      </c>
      <c r="B42" s="287">
        <f ca="1">$E$22</f>
        <v>0.90322580645161288</v>
      </c>
      <c r="C42" s="283" t="s">
        <v>1934</v>
      </c>
      <c r="D42" s="288"/>
      <c r="E42" s="288"/>
      <c r="F42" s="288"/>
      <c r="G42" s="288"/>
      <c r="H42" s="289"/>
      <c r="K42" t="str">
        <f>'salary slip'!B17&amp;" - "&amp;'salary slip'!C17</f>
        <v>1014 - chirag</v>
      </c>
      <c r="L42">
        <f>'salary slip'!B17</f>
        <v>1014</v>
      </c>
      <c r="M42" t="str">
        <f>'salary slip'!C17</f>
        <v>chirag</v>
      </c>
      <c r="N42" t="str">
        <f>'salary slip'!E17</f>
        <v>Procurement</v>
      </c>
      <c r="O42" t="str">
        <f>'salary slip'!D17</f>
        <v>employe</v>
      </c>
    </row>
    <row r="43" spans="1:15" x14ac:dyDescent="0.25">
      <c r="A43" s="290"/>
      <c r="B43" s="288"/>
      <c r="C43" s="288"/>
      <c r="D43" s="288"/>
      <c r="E43" s="288"/>
      <c r="F43" s="288"/>
      <c r="G43" s="288"/>
      <c r="H43" s="289"/>
      <c r="K43" t="str">
        <f>'salary slip'!B18&amp;" - "&amp;'salary slip'!C18</f>
        <v>1015 - ramesh</v>
      </c>
      <c r="L43">
        <f>'salary slip'!B18</f>
        <v>1015</v>
      </c>
      <c r="M43" t="str">
        <f>'salary slip'!C18</f>
        <v>ramesh</v>
      </c>
      <c r="N43" t="str">
        <f>'salary slip'!E18</f>
        <v>Quality</v>
      </c>
      <c r="O43" t="str">
        <f>'salary slip'!D18</f>
        <v>employe</v>
      </c>
    </row>
    <row r="44" spans="1:15" ht="20.100000000000001" customHeight="1" x14ac:dyDescent="0.25">
      <c r="A44" s="563" t="s">
        <v>1935</v>
      </c>
      <c r="B44" s="564"/>
      <c r="C44" s="564"/>
      <c r="D44" s="564"/>
      <c r="E44" s="564"/>
      <c r="F44" s="564"/>
      <c r="G44" s="564"/>
      <c r="H44" s="565"/>
      <c r="K44" t="str">
        <f>'salary slip'!B19&amp;" - "&amp;'salary slip'!C19</f>
        <v>1016 - suresh</v>
      </c>
      <c r="L44">
        <f>'salary slip'!B19</f>
        <v>1016</v>
      </c>
      <c r="M44" t="str">
        <f>'salary slip'!C19</f>
        <v>suresh</v>
      </c>
      <c r="N44" t="str">
        <f>'salary slip'!E19</f>
        <v>Sales</v>
      </c>
      <c r="O44" t="str">
        <f>'salary slip'!D19</f>
        <v>employe</v>
      </c>
    </row>
    <row r="45" spans="1:15" ht="27.95" customHeight="1" x14ac:dyDescent="0.25">
      <c r="A45" s="566" t="s">
        <v>1941</v>
      </c>
      <c r="B45" s="567"/>
      <c r="C45" s="567"/>
      <c r="D45" s="567"/>
      <c r="E45" s="567"/>
      <c r="F45" s="567"/>
      <c r="G45" s="567"/>
      <c r="H45" s="568"/>
      <c r="K45" t="str">
        <f>'salary slip'!B20&amp;" - "&amp;'salary slip'!C20</f>
        <v>1017 - rc sharma</v>
      </c>
      <c r="L45">
        <f>'salary slip'!B20</f>
        <v>1017</v>
      </c>
      <c r="M45" t="str">
        <f>'salary slip'!C20</f>
        <v>rc sharma</v>
      </c>
      <c r="N45" t="str">
        <f>'salary slip'!E20</f>
        <v>Production</v>
      </c>
      <c r="O45" t="str">
        <f>'salary slip'!D20</f>
        <v>employe</v>
      </c>
    </row>
    <row r="46" spans="1:15" ht="21.95" customHeight="1" x14ac:dyDescent="0.25">
      <c r="A46" s="569" t="s">
        <v>1942</v>
      </c>
      <c r="B46" s="570"/>
      <c r="C46" s="570"/>
      <c r="D46" s="570"/>
      <c r="E46" s="570"/>
      <c r="F46" s="570"/>
      <c r="G46" s="570"/>
      <c r="H46" s="571"/>
      <c r="K46" t="str">
        <f>'salary slip'!B22&amp;" - "&amp;'salary slip'!C22</f>
        <v>1019 - mukesh</v>
      </c>
      <c r="L46">
        <f>'salary slip'!B22</f>
        <v>1019</v>
      </c>
      <c r="M46" t="str">
        <f>'salary slip'!C22</f>
        <v>mukesh</v>
      </c>
      <c r="N46" t="str">
        <f>'salary slip'!E22</f>
        <v>HR</v>
      </c>
      <c r="O46" t="str">
        <f>'salary slip'!D22</f>
        <v>employe</v>
      </c>
    </row>
    <row r="47" spans="1:15" x14ac:dyDescent="0.25">
      <c r="K47" t="str">
        <f>'salary slip'!B24&amp;" - "&amp;'salary slip'!C24</f>
        <v>1021 - rakesh</v>
      </c>
      <c r="L47">
        <f>'salary slip'!B24</f>
        <v>1021</v>
      </c>
      <c r="M47" t="str">
        <f>'salary slip'!C24</f>
        <v>rakesh</v>
      </c>
      <c r="N47" t="str">
        <f>'salary slip'!E24</f>
        <v>IT</v>
      </c>
      <c r="O47" t="str">
        <f>'salary slip'!D24</f>
        <v>employe</v>
      </c>
    </row>
    <row r="48" spans="1:15" ht="21.95" customHeight="1" thickBot="1" x14ac:dyDescent="0.3">
      <c r="A48" s="557" t="s">
        <v>1938</v>
      </c>
      <c r="B48" s="557"/>
      <c r="C48" s="557"/>
      <c r="D48" s="557"/>
      <c r="E48" s="557"/>
      <c r="F48" s="557"/>
      <c r="G48" s="557"/>
      <c r="H48" s="557"/>
      <c r="K48" t="str">
        <f>'salary slip'!B25&amp;" - "&amp;'salary slip'!C25</f>
        <v>1022 - ram</v>
      </c>
      <c r="L48">
        <f>'salary slip'!B25</f>
        <v>1022</v>
      </c>
      <c r="M48" t="str">
        <f>'salary slip'!C25</f>
        <v>ram</v>
      </c>
      <c r="N48" t="str">
        <f>'salary slip'!E25</f>
        <v>Marketing</v>
      </c>
      <c r="O48" t="str">
        <f>'salary slip'!D25</f>
        <v>employe</v>
      </c>
    </row>
    <row r="49" spans="1:15" ht="21.95" customHeight="1" thickBot="1" x14ac:dyDescent="0.3">
      <c r="A49" s="558" t="s">
        <v>1944</v>
      </c>
      <c r="B49" s="559"/>
      <c r="C49" s="291"/>
      <c r="D49" s="560" t="s">
        <v>1945</v>
      </c>
      <c r="E49" s="561"/>
      <c r="F49" s="291"/>
      <c r="G49" s="291"/>
      <c r="H49" s="291"/>
      <c r="K49" t="str">
        <f>'salary slip'!B26&amp;" - "&amp;'salary slip'!C26</f>
        <v>1023 - lokesh</v>
      </c>
      <c r="L49">
        <f>'salary slip'!B26</f>
        <v>1023</v>
      </c>
      <c r="M49" t="str">
        <f>'salary slip'!C26</f>
        <v>lokesh</v>
      </c>
      <c r="N49" t="str">
        <f>'salary slip'!E26</f>
        <v>Admin</v>
      </c>
      <c r="O49" t="str">
        <f>'salary slip'!D26</f>
        <v>employe</v>
      </c>
    </row>
    <row r="50" spans="1:15" ht="27.95" customHeight="1" x14ac:dyDescent="0.25">
      <c r="A50" s="562" t="s">
        <v>1943</v>
      </c>
      <c r="B50" s="562"/>
      <c r="C50" s="562"/>
      <c r="D50" s="562"/>
      <c r="E50" s="562"/>
      <c r="F50" s="562"/>
      <c r="G50" s="562"/>
      <c r="H50" s="562"/>
      <c r="K50" t="str">
        <f>'salary slip'!B27&amp;" - "&amp;'salary slip'!C27</f>
        <v>1024 - kuldeep</v>
      </c>
      <c r="L50">
        <f>'salary slip'!B27</f>
        <v>1024</v>
      </c>
      <c r="M50" t="str">
        <f>'salary slip'!C27</f>
        <v>kuldeep</v>
      </c>
      <c r="N50" t="str">
        <f>'salary slip'!E27</f>
        <v>Procurement</v>
      </c>
      <c r="O50" t="str">
        <f>'salary slip'!D27</f>
        <v>employe</v>
      </c>
    </row>
    <row r="51" spans="1:15" x14ac:dyDescent="0.25">
      <c r="K51" t="str">
        <f>'salary slip'!B28&amp;" - "&amp;'salary slip'!C28</f>
        <v>1025 - daksh</v>
      </c>
      <c r="L51">
        <f>'salary slip'!B28</f>
        <v>1025</v>
      </c>
      <c r="M51" t="str">
        <f>'salary slip'!C28</f>
        <v>daksh</v>
      </c>
      <c r="N51" t="str">
        <f>'salary slip'!E28</f>
        <v>Quality</v>
      </c>
      <c r="O51" t="str">
        <f>'salary slip'!D28</f>
        <v>employe</v>
      </c>
    </row>
    <row r="52" spans="1:15" x14ac:dyDescent="0.25">
      <c r="K52" t="str">
        <f>'salary slip'!B29&amp;" - "&amp;'salary slip'!C29</f>
        <v>1026 - manish</v>
      </c>
      <c r="L52">
        <f>'salary slip'!B29</f>
        <v>1026</v>
      </c>
      <c r="M52" t="str">
        <f>'salary slip'!C29</f>
        <v>manish</v>
      </c>
      <c r="N52" t="str">
        <f>'salary slip'!E29</f>
        <v>Sales</v>
      </c>
      <c r="O52" t="str">
        <f>'salary slip'!D29</f>
        <v>employe</v>
      </c>
    </row>
    <row r="53" spans="1:15" x14ac:dyDescent="0.25">
      <c r="K53" t="str">
        <f>'salary slip'!B30&amp;" - "&amp;'salary slip'!C30</f>
        <v>1027 - rahul</v>
      </c>
      <c r="L53">
        <f>'salary slip'!B30</f>
        <v>1027</v>
      </c>
      <c r="M53" t="str">
        <f>'salary slip'!C30</f>
        <v>rahul</v>
      </c>
      <c r="N53" t="str">
        <f>'salary slip'!E30</f>
        <v>Production</v>
      </c>
      <c r="O53" t="str">
        <f>'salary slip'!D30</f>
        <v>employe</v>
      </c>
    </row>
    <row r="54" spans="1:15" x14ac:dyDescent="0.25">
      <c r="K54" t="str">
        <f>'salary slip'!B31&amp;" - "&amp;'salary slip'!C31</f>
        <v>1028 - karan</v>
      </c>
      <c r="L54">
        <f>'salary slip'!B31</f>
        <v>1028</v>
      </c>
      <c r="M54" t="str">
        <f>'salary slip'!C31</f>
        <v>karan</v>
      </c>
      <c r="N54" t="str">
        <f>'salary slip'!E31</f>
        <v>Finance</v>
      </c>
      <c r="O54" t="str">
        <f>'salary slip'!D31</f>
        <v>employe</v>
      </c>
    </row>
    <row r="55" spans="1:15" x14ac:dyDescent="0.25">
      <c r="K55" t="str">
        <f>'salary slip'!B32&amp;" - "&amp;'salary slip'!C32</f>
        <v>1029 - shubhu</v>
      </c>
      <c r="L55">
        <f>'salary slip'!B32</f>
        <v>1029</v>
      </c>
      <c r="M55" t="str">
        <f>'salary slip'!C32</f>
        <v>shubhu</v>
      </c>
      <c r="N55" t="str">
        <f>'salary slip'!E32</f>
        <v>HR</v>
      </c>
      <c r="O55" t="str">
        <f>'salary slip'!D32</f>
        <v>employe</v>
      </c>
    </row>
    <row r="56" spans="1:15" x14ac:dyDescent="0.25">
      <c r="K56" t="str">
        <f>'salary slip'!B33&amp;" - "&amp;'salary slip'!C33</f>
        <v>1030 - dhruv</v>
      </c>
      <c r="L56">
        <f>'salary slip'!B33</f>
        <v>1030</v>
      </c>
      <c r="M56" t="str">
        <f>'salary slip'!C33</f>
        <v>dhruv</v>
      </c>
      <c r="N56" t="str">
        <f>'salary slip'!E33</f>
        <v>Operations</v>
      </c>
      <c r="O56" t="str">
        <f>'salary slip'!D33</f>
        <v>employe</v>
      </c>
    </row>
    <row r="57" spans="1:15" x14ac:dyDescent="0.25">
      <c r="K57" t="str">
        <f>'salary slip'!B34&amp;" - "&amp;'salary slip'!C34</f>
        <v>1031 - hement</v>
      </c>
      <c r="L57">
        <f>'salary slip'!B34</f>
        <v>1031</v>
      </c>
      <c r="M57" t="str">
        <f>'salary slip'!C34</f>
        <v>hement</v>
      </c>
      <c r="N57" t="str">
        <f>'salary slip'!E34</f>
        <v>IT</v>
      </c>
      <c r="O57" t="str">
        <f>'salary slip'!D34</f>
        <v>employe</v>
      </c>
    </row>
    <row r="58" spans="1:15" x14ac:dyDescent="0.25">
      <c r="K58" t="str">
        <f>'salary slip'!B35&amp;" - "&amp;'salary slip'!C35</f>
        <v>1032 - arjun</v>
      </c>
      <c r="L58">
        <f>'salary slip'!B35</f>
        <v>1032</v>
      </c>
      <c r="M58" t="str">
        <f>'salary slip'!C35</f>
        <v>arjun</v>
      </c>
      <c r="N58" t="str">
        <f>'salary slip'!E35</f>
        <v>Marketing</v>
      </c>
      <c r="O58" t="str">
        <f>'salary slip'!D35</f>
        <v>employe</v>
      </c>
    </row>
    <row r="59" spans="1:15" x14ac:dyDescent="0.25">
      <c r="K59" t="str">
        <f>'salary slip'!B36&amp;" - "&amp;'salary slip'!C36</f>
        <v>1033 - dinesh</v>
      </c>
      <c r="L59">
        <f>'salary slip'!B36</f>
        <v>1033</v>
      </c>
      <c r="M59" t="str">
        <f>'salary slip'!C36</f>
        <v>dinesh</v>
      </c>
      <c r="N59" t="str">
        <f>'salary slip'!E36</f>
        <v>Admin</v>
      </c>
      <c r="O59" t="str">
        <f>'salary slip'!D36</f>
        <v>employe</v>
      </c>
    </row>
    <row r="60" spans="1:15" x14ac:dyDescent="0.25">
      <c r="K60" t="str">
        <f>'salary slip'!B37&amp;" - "&amp;'salary slip'!C37</f>
        <v>1034 - sudeep</v>
      </c>
      <c r="L60">
        <f>'salary slip'!B37</f>
        <v>1034</v>
      </c>
      <c r="M60" t="str">
        <f>'salary slip'!C37</f>
        <v>sudeep</v>
      </c>
      <c r="N60" t="str">
        <f>'salary slip'!E37</f>
        <v>Procurement</v>
      </c>
      <c r="O60" t="str">
        <f>'salary slip'!D37</f>
        <v>employe</v>
      </c>
    </row>
    <row r="61" spans="1:15" x14ac:dyDescent="0.25">
      <c r="K61" t="str">
        <f>'salary slip'!B38&amp;" - "&amp;'salary slip'!C38</f>
        <v>1035 - gorev</v>
      </c>
      <c r="L61">
        <f>'salary slip'!B38</f>
        <v>1035</v>
      </c>
      <c r="M61" t="str">
        <f>'salary slip'!C38</f>
        <v>gorev</v>
      </c>
      <c r="N61" t="str">
        <f>'salary slip'!E38</f>
        <v>Quality</v>
      </c>
      <c r="O61" t="str">
        <f>'salary slip'!D38</f>
        <v>employe</v>
      </c>
    </row>
    <row r="62" spans="1:15" x14ac:dyDescent="0.25">
      <c r="K62" t="str">
        <f>'salary slip'!B39&amp;" - "&amp;'salary slip'!C39</f>
        <v>1036 - ushank</v>
      </c>
      <c r="L62">
        <f>'salary slip'!B39</f>
        <v>1036</v>
      </c>
      <c r="M62" t="str">
        <f>'salary slip'!C39</f>
        <v>ushank</v>
      </c>
      <c r="N62" t="str">
        <f>'salary slip'!E39</f>
        <v>Sales</v>
      </c>
      <c r="O62" t="str">
        <f>'salary slip'!D39</f>
        <v>employe</v>
      </c>
    </row>
    <row r="63" spans="1:15" x14ac:dyDescent="0.25">
      <c r="K63" t="str">
        <f>'salary slip'!B40&amp;" - "&amp;'salary slip'!C40</f>
        <v>1037 - ashu</v>
      </c>
      <c r="L63">
        <f>'salary slip'!B40</f>
        <v>1037</v>
      </c>
      <c r="M63" t="str">
        <f>'salary slip'!C40</f>
        <v>ashu</v>
      </c>
      <c r="N63" t="str">
        <f>'salary slip'!E40</f>
        <v>Production</v>
      </c>
      <c r="O63" t="str">
        <f>'salary slip'!D40</f>
        <v>employe</v>
      </c>
    </row>
    <row r="64" spans="1:15" x14ac:dyDescent="0.25">
      <c r="K64" t="str">
        <f>'salary slip'!B41&amp;" - "&amp;'salary slip'!C41</f>
        <v>1038 - anshu</v>
      </c>
      <c r="L64">
        <f>'salary slip'!B41</f>
        <v>1038</v>
      </c>
      <c r="M64" t="str">
        <f>'salary slip'!C41</f>
        <v>anshu</v>
      </c>
      <c r="N64" t="str">
        <f>'salary slip'!E41</f>
        <v>Finance</v>
      </c>
      <c r="O64" t="str">
        <f>'salary slip'!D41</f>
        <v>employe</v>
      </c>
    </row>
    <row r="65" spans="11:15" x14ac:dyDescent="0.25">
      <c r="K65" t="str">
        <f>'salary slip'!B42&amp;" - "&amp;'salary slip'!C42</f>
        <v>1039 - arman</v>
      </c>
      <c r="L65">
        <f>'salary slip'!B42</f>
        <v>1039</v>
      </c>
      <c r="M65" t="str">
        <f>'salary slip'!C42</f>
        <v>arman</v>
      </c>
      <c r="N65" t="str">
        <f>'salary slip'!E42</f>
        <v>HR</v>
      </c>
      <c r="O65" t="str">
        <f>'salary slip'!D42</f>
        <v>employe</v>
      </c>
    </row>
    <row r="66" spans="11:15" x14ac:dyDescent="0.25">
      <c r="K66" t="str">
        <f>'salary slip'!B43&amp;" - "&amp;'salary slip'!C43</f>
        <v>1040 - prakash</v>
      </c>
      <c r="L66">
        <f>'salary slip'!B43</f>
        <v>1040</v>
      </c>
      <c r="M66" t="str">
        <f>'salary slip'!C43</f>
        <v>prakash</v>
      </c>
      <c r="N66" t="str">
        <f>'salary slip'!E43</f>
        <v>Operations</v>
      </c>
      <c r="O66" t="str">
        <f>'salary slip'!D43</f>
        <v>employe</v>
      </c>
    </row>
    <row r="67" spans="11:15" x14ac:dyDescent="0.25">
      <c r="K67" t="str">
        <f>'salary slip'!B44&amp;" - "&amp;'salary slip'!C44</f>
        <v>1041 - harsh</v>
      </c>
      <c r="L67">
        <f>'salary slip'!B44</f>
        <v>1041</v>
      </c>
      <c r="M67" t="str">
        <f>'salary slip'!C44</f>
        <v>harsh</v>
      </c>
      <c r="N67" t="str">
        <f>'salary slip'!E44</f>
        <v>IT</v>
      </c>
      <c r="O67" t="str">
        <f>'salary slip'!D44</f>
        <v>employe</v>
      </c>
    </row>
    <row r="68" spans="11:15" x14ac:dyDescent="0.25">
      <c r="K68" t="str">
        <f>'salary slip'!B45&amp;" - "&amp;'salary slip'!C45</f>
        <v>1042 - shivam</v>
      </c>
      <c r="L68">
        <f>'salary slip'!B45</f>
        <v>1042</v>
      </c>
      <c r="M68" t="str">
        <f>'salary slip'!C45</f>
        <v>shivam</v>
      </c>
      <c r="N68" t="str">
        <f>'salary slip'!E45</f>
        <v>Marketing</v>
      </c>
      <c r="O68" t="str">
        <f>'salary slip'!D45</f>
        <v>employe</v>
      </c>
    </row>
    <row r="69" spans="11:15" x14ac:dyDescent="0.25">
      <c r="K69" t="str">
        <f>'salary slip'!B46&amp;" - "&amp;'salary slip'!C46</f>
        <v>1043 - jatin</v>
      </c>
      <c r="L69">
        <f>'salary slip'!B46</f>
        <v>1043</v>
      </c>
      <c r="M69" t="str">
        <f>'salary slip'!C46</f>
        <v>jatin</v>
      </c>
      <c r="N69" t="str">
        <f>'salary slip'!E46</f>
        <v>Admin</v>
      </c>
      <c r="O69" t="str">
        <f>'salary slip'!D46</f>
        <v>employe</v>
      </c>
    </row>
    <row r="70" spans="11:15" x14ac:dyDescent="0.25">
      <c r="K70" t="str">
        <f>'salary slip'!B47&amp;" - "&amp;'salary slip'!C47</f>
        <v>1044 - bhawesh</v>
      </c>
      <c r="L70">
        <f>'salary slip'!B47</f>
        <v>1044</v>
      </c>
      <c r="M70" t="str">
        <f>'salary slip'!C47</f>
        <v>bhawesh</v>
      </c>
      <c r="N70" t="str">
        <f>'salary slip'!E47</f>
        <v>Procurement</v>
      </c>
      <c r="O70" t="str">
        <f>'salary slip'!D47</f>
        <v>employe</v>
      </c>
    </row>
    <row r="71" spans="11:15" x14ac:dyDescent="0.25">
      <c r="K71" t="str">
        <f>'salary slip'!B48&amp;" - "&amp;'salary slip'!C48</f>
        <v>1045 - ashish</v>
      </c>
      <c r="L71">
        <f>'salary slip'!B48</f>
        <v>1045</v>
      </c>
      <c r="M71" t="str">
        <f>'salary slip'!C48</f>
        <v>ashish</v>
      </c>
      <c r="N71" t="str">
        <f>'salary slip'!E48</f>
        <v>Quality</v>
      </c>
      <c r="O71" t="str">
        <f>'salary slip'!D48</f>
        <v>employe</v>
      </c>
    </row>
    <row r="72" spans="11:15" x14ac:dyDescent="0.25">
      <c r="K72" t="str">
        <f>'salary slip'!B49&amp;" - "&amp;'salary slip'!C49</f>
        <v>1046 - vishal</v>
      </c>
      <c r="L72">
        <f>'salary slip'!B49</f>
        <v>1046</v>
      </c>
      <c r="M72" t="str">
        <f>'salary slip'!C49</f>
        <v>vishal</v>
      </c>
      <c r="N72" t="str">
        <f>'salary slip'!E49</f>
        <v>Sales</v>
      </c>
      <c r="O72" t="str">
        <f>'salary slip'!D49</f>
        <v>employe</v>
      </c>
    </row>
    <row r="73" spans="11:15" x14ac:dyDescent="0.25">
      <c r="K73" t="str">
        <f>'salary slip'!B50&amp;" - "&amp;'salary slip'!C50</f>
        <v>1047 - zishan</v>
      </c>
      <c r="L73">
        <f>'salary slip'!B50</f>
        <v>1047</v>
      </c>
      <c r="M73" t="str">
        <f>'salary slip'!C50</f>
        <v>zishan</v>
      </c>
      <c r="N73" t="str">
        <f>'salary slip'!E50</f>
        <v>Production</v>
      </c>
      <c r="O73" t="str">
        <f>'salary slip'!D50</f>
        <v>employe</v>
      </c>
    </row>
    <row r="74" spans="11:15" x14ac:dyDescent="0.25">
      <c r="K74" t="str">
        <f>'salary slip'!B51&amp;" - "&amp;'salary slip'!C51</f>
        <v>1048 - akash</v>
      </c>
      <c r="L74">
        <f>'salary slip'!B51</f>
        <v>1048</v>
      </c>
      <c r="M74" t="str">
        <f>'salary slip'!C51</f>
        <v>akash</v>
      </c>
      <c r="N74" t="str">
        <f>'salary slip'!E51</f>
        <v>Finance</v>
      </c>
      <c r="O74" t="str">
        <f>'salary slip'!D51</f>
        <v>employe</v>
      </c>
    </row>
    <row r="75" spans="11:15" x14ac:dyDescent="0.25">
      <c r="K75" t="str">
        <f>'salary slip'!B52&amp;" - "&amp;'salary slip'!C52</f>
        <v>1049 - vivek</v>
      </c>
      <c r="L75">
        <f>'salary slip'!B52</f>
        <v>1049</v>
      </c>
      <c r="M75" t="str">
        <f>'salary slip'!C52</f>
        <v>vivek</v>
      </c>
      <c r="N75" t="str">
        <f>'salary slip'!E52</f>
        <v>HR</v>
      </c>
      <c r="O75" t="str">
        <f>'salary slip'!D52</f>
        <v>employe</v>
      </c>
    </row>
    <row r="76" spans="11:15" x14ac:dyDescent="0.25">
      <c r="K76" t="str">
        <f>'salary slip'!B53&amp;" - "&amp;'salary slip'!C53</f>
        <v>1050 - tushar</v>
      </c>
      <c r="L76">
        <f>'salary slip'!B53</f>
        <v>1050</v>
      </c>
      <c r="M76" t="str">
        <f>'salary slip'!C53</f>
        <v>tushar</v>
      </c>
      <c r="N76" t="str">
        <f>'salary slip'!E53</f>
        <v>Operations</v>
      </c>
      <c r="O76" t="str">
        <f>'salary slip'!D53</f>
        <v>employe</v>
      </c>
    </row>
    <row r="77" spans="11:15" x14ac:dyDescent="0.25">
      <c r="K77" t="str">
        <f>'salary slip'!B54&amp;" - "&amp;'salary slip'!C54</f>
        <v>1051 - sahil</v>
      </c>
      <c r="L77">
        <f>'salary slip'!B54</f>
        <v>1051</v>
      </c>
      <c r="M77" t="str">
        <f>'salary slip'!C54</f>
        <v>sahil</v>
      </c>
      <c r="N77" t="str">
        <f>'salary slip'!E54</f>
        <v>IT</v>
      </c>
      <c r="O77" t="str">
        <f>'salary slip'!D54</f>
        <v>employe</v>
      </c>
    </row>
    <row r="78" spans="11:15" x14ac:dyDescent="0.25">
      <c r="K78" t="str">
        <f>'salary slip'!B55&amp;" - "&amp;'salary slip'!C55</f>
        <v>1052 - prakash</v>
      </c>
      <c r="L78">
        <f>'salary slip'!B55</f>
        <v>1052</v>
      </c>
      <c r="M78" t="str">
        <f>'salary slip'!C55</f>
        <v>prakash</v>
      </c>
      <c r="N78" t="str">
        <f>'salary slip'!E55</f>
        <v>Marketing</v>
      </c>
      <c r="O78" t="str">
        <f>'salary slip'!D55</f>
        <v>employe</v>
      </c>
    </row>
    <row r="79" spans="11:15" x14ac:dyDescent="0.25">
      <c r="K79" t="str">
        <f>'salary slip'!B56&amp;" - "&amp;'salary slip'!C56</f>
        <v>1053 - chirag</v>
      </c>
      <c r="L79">
        <f>'salary slip'!B56</f>
        <v>1053</v>
      </c>
      <c r="M79" t="str">
        <f>'salary slip'!C56</f>
        <v>chirag</v>
      </c>
      <c r="N79" t="str">
        <f>'salary slip'!E56</f>
        <v>Admin</v>
      </c>
      <c r="O79" t="str">
        <f>'salary slip'!D56</f>
        <v>employe</v>
      </c>
    </row>
    <row r="80" spans="11:15" x14ac:dyDescent="0.25">
      <c r="K80" t="str">
        <f>'salary slip'!B57&amp;" - "&amp;'salary slip'!C57</f>
        <v>1054 - Aarav</v>
      </c>
      <c r="L80">
        <f>'salary slip'!B57</f>
        <v>1054</v>
      </c>
      <c r="M80" t="str">
        <f>'salary slip'!C57</f>
        <v>Aarav</v>
      </c>
      <c r="N80" t="str">
        <f>'salary slip'!E57</f>
        <v>Procurement</v>
      </c>
      <c r="O80" t="str">
        <f>'salary slip'!D57</f>
        <v>employe</v>
      </c>
    </row>
    <row r="81" spans="11:15" x14ac:dyDescent="0.25">
      <c r="K81" t="str">
        <f>'salary slip'!B58&amp;" - "&amp;'salary slip'!C58</f>
        <v>1055 - Vivaan</v>
      </c>
      <c r="L81">
        <f>'salary slip'!B58</f>
        <v>1055</v>
      </c>
      <c r="M81" t="str">
        <f>'salary slip'!C58</f>
        <v>Vivaan</v>
      </c>
      <c r="N81" t="str">
        <f>'salary slip'!E58</f>
        <v>Quality</v>
      </c>
      <c r="O81" t="str">
        <f>'salary slip'!D58</f>
        <v>employe</v>
      </c>
    </row>
    <row r="82" spans="11:15" x14ac:dyDescent="0.25">
      <c r="K82" t="str">
        <f>'salary slip'!B59&amp;" - "&amp;'salary slip'!C59</f>
        <v>1056 - Aditya</v>
      </c>
      <c r="L82">
        <f>'salary slip'!B59</f>
        <v>1056</v>
      </c>
      <c r="M82" t="str">
        <f>'salary slip'!C59</f>
        <v>Aditya</v>
      </c>
      <c r="N82" t="str">
        <f>'salary slip'!E59</f>
        <v>Sales</v>
      </c>
      <c r="O82" t="str">
        <f>'salary slip'!D59</f>
        <v>employe</v>
      </c>
    </row>
    <row r="83" spans="11:15" x14ac:dyDescent="0.25">
      <c r="K83" t="str">
        <f>'salary slip'!B60&amp;" - "&amp;'salary slip'!C60</f>
        <v>1057 - Arjun</v>
      </c>
      <c r="L83">
        <f>'salary slip'!B60</f>
        <v>1057</v>
      </c>
      <c r="M83" t="str">
        <f>'salary slip'!C60</f>
        <v>Arjun</v>
      </c>
      <c r="N83" t="str">
        <f>'salary slip'!E60</f>
        <v>Production</v>
      </c>
      <c r="O83" t="str">
        <f>'salary slip'!D60</f>
        <v>employe</v>
      </c>
    </row>
    <row r="84" spans="11:15" x14ac:dyDescent="0.25">
      <c r="K84" t="str">
        <f>'salary slip'!B61&amp;" - "&amp;'salary slip'!C61</f>
        <v>1058 - Krishna</v>
      </c>
      <c r="L84">
        <f>'salary slip'!B61</f>
        <v>1058</v>
      </c>
      <c r="M84" t="str">
        <f>'salary slip'!C61</f>
        <v>Krishna</v>
      </c>
      <c r="N84" t="str">
        <f>'salary slip'!E61</f>
        <v>Finance</v>
      </c>
      <c r="O84" t="str">
        <f>'salary slip'!D61</f>
        <v>employe</v>
      </c>
    </row>
    <row r="85" spans="11:15" x14ac:dyDescent="0.25">
      <c r="K85" t="str">
        <f>'salary slip'!B62&amp;" - "&amp;'salary slip'!C62</f>
        <v>1059 - Rohan</v>
      </c>
      <c r="L85">
        <f>'salary slip'!B62</f>
        <v>1059</v>
      </c>
      <c r="M85" t="str">
        <f>'salary slip'!C62</f>
        <v>Rohan</v>
      </c>
      <c r="N85" t="str">
        <f>'salary slip'!E62</f>
        <v>HR</v>
      </c>
      <c r="O85" t="str">
        <f>'salary slip'!D62</f>
        <v>employe</v>
      </c>
    </row>
    <row r="86" spans="11:15" x14ac:dyDescent="0.25">
      <c r="K86" t="str">
        <f>'salary slip'!B63&amp;" - "&amp;'salary slip'!C63</f>
        <v>1060 - Rahul</v>
      </c>
      <c r="L86">
        <f>'salary slip'!B63</f>
        <v>1060</v>
      </c>
      <c r="M86" t="str">
        <f>'salary slip'!C63</f>
        <v>Rahul</v>
      </c>
      <c r="N86" t="str">
        <f>'salary slip'!E63</f>
        <v>Operations</v>
      </c>
      <c r="O86" t="str">
        <f>'salary slip'!D63</f>
        <v>employe</v>
      </c>
    </row>
    <row r="87" spans="11:15" x14ac:dyDescent="0.25">
      <c r="K87" t="str">
        <f>'salary slip'!B64&amp;" - "&amp;'salary slip'!C64</f>
        <v>1061 - Aman</v>
      </c>
      <c r="L87">
        <f>'salary slip'!B64</f>
        <v>1061</v>
      </c>
      <c r="M87" t="str">
        <f>'salary slip'!C64</f>
        <v>Aman</v>
      </c>
      <c r="N87" t="str">
        <f>'salary slip'!E64</f>
        <v>IT</v>
      </c>
      <c r="O87" t="str">
        <f>'salary slip'!D64</f>
        <v>employe</v>
      </c>
    </row>
    <row r="88" spans="11:15" x14ac:dyDescent="0.25">
      <c r="K88" t="str">
        <f>'salary slip'!B65&amp;" - "&amp;'salary slip'!C65</f>
        <v>1062 - Karan</v>
      </c>
      <c r="L88">
        <f>'salary slip'!B65</f>
        <v>1062</v>
      </c>
      <c r="M88" t="str">
        <f>'salary slip'!C65</f>
        <v>Karan</v>
      </c>
      <c r="N88" t="str">
        <f>'salary slip'!E65</f>
        <v>Marketing</v>
      </c>
      <c r="O88" t="str">
        <f>'salary slip'!D65</f>
        <v>employe</v>
      </c>
    </row>
    <row r="89" spans="11:15" x14ac:dyDescent="0.25">
      <c r="K89" t="str">
        <f>'salary slip'!B66&amp;" - "&amp;'salary slip'!C66</f>
        <v>1063 - Varun</v>
      </c>
      <c r="L89">
        <f>'salary slip'!B66</f>
        <v>1063</v>
      </c>
      <c r="M89" t="str">
        <f>'salary slip'!C66</f>
        <v>Varun</v>
      </c>
      <c r="N89" t="str">
        <f>'salary slip'!E66</f>
        <v>Admin</v>
      </c>
      <c r="O89" t="str">
        <f>'salary slip'!D66</f>
        <v>employe</v>
      </c>
    </row>
    <row r="90" spans="11:15" x14ac:dyDescent="0.25">
      <c r="K90" t="str">
        <f>'salary slip'!B67&amp;" - "&amp;'salary slip'!C67</f>
        <v>1064 - Vikram</v>
      </c>
      <c r="L90">
        <f>'salary slip'!B67</f>
        <v>1064</v>
      </c>
      <c r="M90" t="str">
        <f>'salary slip'!C67</f>
        <v>Vikram</v>
      </c>
      <c r="N90" t="str">
        <f>'salary slip'!E67</f>
        <v>Procurement</v>
      </c>
      <c r="O90" t="str">
        <f>'salary slip'!D67</f>
        <v>employe</v>
      </c>
    </row>
    <row r="91" spans="11:15" x14ac:dyDescent="0.25">
      <c r="K91" t="str">
        <f>'salary slip'!B68&amp;" - "&amp;'salary slip'!C68</f>
        <v>1065 - Ankit</v>
      </c>
      <c r="L91">
        <f>'salary slip'!B68</f>
        <v>1065</v>
      </c>
      <c r="M91" t="str">
        <f>'salary slip'!C68</f>
        <v>Ankit</v>
      </c>
      <c r="N91" t="str">
        <f>'salary slip'!E68</f>
        <v>Quality</v>
      </c>
      <c r="O91" t="str">
        <f>'salary slip'!D68</f>
        <v>employe</v>
      </c>
    </row>
    <row r="92" spans="11:15" x14ac:dyDescent="0.25">
      <c r="K92" t="str">
        <f>'salary slip'!B69&amp;" - "&amp;'salary slip'!C69</f>
        <v>1066 - Akash</v>
      </c>
      <c r="L92">
        <f>'salary slip'!B69</f>
        <v>1066</v>
      </c>
      <c r="M92" t="str">
        <f>'salary slip'!C69</f>
        <v>Akash</v>
      </c>
      <c r="N92" t="str">
        <f>'salary slip'!E69</f>
        <v>Sales</v>
      </c>
      <c r="O92" t="str">
        <f>'salary slip'!D69</f>
        <v>employe</v>
      </c>
    </row>
    <row r="93" spans="11:15" x14ac:dyDescent="0.25">
      <c r="K93" t="str">
        <f>'salary slip'!B70&amp;" - "&amp;'salary slip'!C70</f>
        <v>1067 - Deepak</v>
      </c>
      <c r="L93">
        <f>'salary slip'!B70</f>
        <v>1067</v>
      </c>
      <c r="M93" t="str">
        <f>'salary slip'!C70</f>
        <v>Deepak</v>
      </c>
      <c r="N93" t="str">
        <f>'salary slip'!E70</f>
        <v>Production</v>
      </c>
      <c r="O93" t="str">
        <f>'salary slip'!D70</f>
        <v>employe</v>
      </c>
    </row>
    <row r="94" spans="11:15" x14ac:dyDescent="0.25">
      <c r="K94" t="str">
        <f>'salary slip'!B71&amp;" - "&amp;'salary slip'!C71</f>
        <v>1068 - Rakesh</v>
      </c>
      <c r="L94">
        <f>'salary slip'!B71</f>
        <v>1068</v>
      </c>
      <c r="M94" t="str">
        <f>'salary slip'!C71</f>
        <v>Rakesh</v>
      </c>
      <c r="N94" t="str">
        <f>'salary slip'!E71</f>
        <v>Finance</v>
      </c>
      <c r="O94" t="str">
        <f>'salary slip'!D71</f>
        <v>employe</v>
      </c>
    </row>
    <row r="95" spans="11:15" x14ac:dyDescent="0.25">
      <c r="K95" t="str">
        <f>'salary slip'!B72&amp;" - "&amp;'salary slip'!C72</f>
        <v>1069 - Suresh</v>
      </c>
      <c r="L95">
        <f>'salary slip'!B72</f>
        <v>1069</v>
      </c>
      <c r="M95" t="str">
        <f>'salary slip'!C72</f>
        <v>Suresh</v>
      </c>
      <c r="N95" t="str">
        <f>'salary slip'!E72</f>
        <v>HR</v>
      </c>
      <c r="O95" t="str">
        <f>'salary slip'!D72</f>
        <v>employe</v>
      </c>
    </row>
    <row r="96" spans="11:15" x14ac:dyDescent="0.25">
      <c r="K96" t="str">
        <f>'salary slip'!B73&amp;" - "&amp;'salary slip'!C73</f>
        <v>1070 - Mahesh</v>
      </c>
      <c r="L96">
        <f>'salary slip'!B73</f>
        <v>1070</v>
      </c>
      <c r="M96" t="str">
        <f>'salary slip'!C73</f>
        <v>Mahesh</v>
      </c>
      <c r="N96" t="str">
        <f>'salary slip'!E73</f>
        <v>Operations</v>
      </c>
      <c r="O96" t="str">
        <f>'salary slip'!D73</f>
        <v>employe</v>
      </c>
    </row>
    <row r="97" spans="11:15" x14ac:dyDescent="0.25">
      <c r="K97" t="str">
        <f>'salary slip'!B74&amp;" - "&amp;'salary slip'!C74</f>
        <v>1071 - Rajesh</v>
      </c>
      <c r="L97">
        <f>'salary slip'!B74</f>
        <v>1071</v>
      </c>
      <c r="M97" t="str">
        <f>'salary slip'!C74</f>
        <v>Rajesh</v>
      </c>
      <c r="N97" t="str">
        <f>'salary slip'!E74</f>
        <v>IT</v>
      </c>
      <c r="O97" t="str">
        <f>'salary slip'!D74</f>
        <v>employe</v>
      </c>
    </row>
    <row r="98" spans="11:15" x14ac:dyDescent="0.25">
      <c r="K98" t="str">
        <f>'salary slip'!B75&amp;" - "&amp;'salary slip'!C75</f>
        <v>1072 - Mukesh</v>
      </c>
      <c r="L98">
        <f>'salary slip'!B75</f>
        <v>1072</v>
      </c>
      <c r="M98" t="str">
        <f>'salary slip'!C75</f>
        <v>Mukesh</v>
      </c>
      <c r="N98" t="str">
        <f>'salary slip'!E75</f>
        <v>Marketing</v>
      </c>
      <c r="O98" t="str">
        <f>'salary slip'!D75</f>
        <v>employe</v>
      </c>
    </row>
    <row r="99" spans="11:15" x14ac:dyDescent="0.25">
      <c r="K99" t="str">
        <f>'salary slip'!B76&amp;" - "&amp;'salary slip'!C76</f>
        <v>1073 - Nitin</v>
      </c>
      <c r="L99">
        <f>'salary slip'!B76</f>
        <v>1073</v>
      </c>
      <c r="M99" t="str">
        <f>'salary slip'!C76</f>
        <v>Nitin</v>
      </c>
      <c r="N99" t="str">
        <f>'salary slip'!E76</f>
        <v>Admin</v>
      </c>
      <c r="O99" t="str">
        <f>'salary slip'!D76</f>
        <v>employe</v>
      </c>
    </row>
    <row r="100" spans="11:15" x14ac:dyDescent="0.25">
      <c r="K100" t="str">
        <f>'salary slip'!B77&amp;" - "&amp;'salary slip'!C77</f>
        <v>1074 - Sumit</v>
      </c>
      <c r="L100">
        <f>'salary slip'!B77</f>
        <v>1074</v>
      </c>
      <c r="M100" t="str">
        <f>'salary slip'!C77</f>
        <v>Sumit</v>
      </c>
      <c r="N100" t="str">
        <f>'salary slip'!E77</f>
        <v>Procurement</v>
      </c>
      <c r="O100" t="str">
        <f>'salary slip'!D77</f>
        <v>employe</v>
      </c>
    </row>
    <row r="101" spans="11:15" x14ac:dyDescent="0.25">
      <c r="K101" t="str">
        <f>'salary slip'!B78&amp;" - "&amp;'salary slip'!C78</f>
        <v>1075 - Ravi</v>
      </c>
      <c r="L101">
        <f>'salary slip'!B78</f>
        <v>1075</v>
      </c>
      <c r="M101" t="str">
        <f>'salary slip'!C78</f>
        <v>Ravi</v>
      </c>
      <c r="N101" t="str">
        <f>'salary slip'!E78</f>
        <v>Quality</v>
      </c>
      <c r="O101" t="str">
        <f>'salary slip'!D78</f>
        <v>employe</v>
      </c>
    </row>
    <row r="102" spans="11:15" x14ac:dyDescent="0.25">
      <c r="K102" t="str">
        <f>'salary slip'!B79&amp;" - "&amp;'salary slip'!C79</f>
        <v>1076 - Ajay</v>
      </c>
      <c r="L102">
        <f>'salary slip'!B79</f>
        <v>1076</v>
      </c>
      <c r="M102" t="str">
        <f>'salary slip'!C79</f>
        <v>Ajay</v>
      </c>
      <c r="N102" t="str">
        <f>'salary slip'!E79</f>
        <v>Sales</v>
      </c>
      <c r="O102" t="str">
        <f>'salary slip'!D79</f>
        <v>employe</v>
      </c>
    </row>
    <row r="103" spans="11:15" x14ac:dyDescent="0.25">
      <c r="K103" t="str">
        <f>'salary slip'!B80&amp;" - "&amp;'salary slip'!C80</f>
        <v>1077 - Vijay</v>
      </c>
      <c r="L103">
        <f>'salary slip'!B80</f>
        <v>1077</v>
      </c>
      <c r="M103" t="str">
        <f>'salary slip'!C80</f>
        <v>Vijay</v>
      </c>
      <c r="N103" t="str">
        <f>'salary slip'!E80</f>
        <v>Production</v>
      </c>
      <c r="O103" t="str">
        <f>'salary slip'!D80</f>
        <v>employe</v>
      </c>
    </row>
    <row r="104" spans="11:15" x14ac:dyDescent="0.25">
      <c r="K104" t="str">
        <f>'salary slip'!B81&amp;" - "&amp;'salary slip'!C81</f>
        <v>1078 - Sanjay</v>
      </c>
      <c r="L104">
        <f>'salary slip'!B81</f>
        <v>1078</v>
      </c>
      <c r="M104" t="str">
        <f>'salary slip'!C81</f>
        <v>Sanjay</v>
      </c>
      <c r="N104" t="str">
        <f>'salary slip'!E81</f>
        <v>Finance</v>
      </c>
      <c r="O104" t="str">
        <f>'salary slip'!D81</f>
        <v>employe</v>
      </c>
    </row>
    <row r="105" spans="11:15" x14ac:dyDescent="0.25">
      <c r="K105" t="str">
        <f>'salary slip'!B82&amp;" - "&amp;'salary slip'!C82</f>
        <v>1079 - Manoj</v>
      </c>
      <c r="L105">
        <f>'salary slip'!B82</f>
        <v>1079</v>
      </c>
      <c r="M105" t="str">
        <f>'salary slip'!C82</f>
        <v>Manoj</v>
      </c>
      <c r="N105" t="str">
        <f>'salary slip'!E82</f>
        <v>HR</v>
      </c>
      <c r="O105" t="str">
        <f>'salary slip'!D82</f>
        <v>employe</v>
      </c>
    </row>
    <row r="106" spans="11:15" x14ac:dyDescent="0.25">
      <c r="K106" t="str">
        <f>'salary slip'!B83&amp;" - "&amp;'salary slip'!C83</f>
        <v>1080 - Pankaj</v>
      </c>
      <c r="L106">
        <f>'salary slip'!B83</f>
        <v>1080</v>
      </c>
      <c r="M106" t="str">
        <f>'salary slip'!C83</f>
        <v>Pankaj</v>
      </c>
      <c r="N106" t="str">
        <f>'salary slip'!E83</f>
        <v>Operations</v>
      </c>
      <c r="O106" t="str">
        <f>'salary slip'!D83</f>
        <v>employe</v>
      </c>
    </row>
    <row r="107" spans="11:15" x14ac:dyDescent="0.25">
      <c r="K107" t="str">
        <f>'salary slip'!B84&amp;" - "&amp;'salary slip'!C84</f>
        <v>1081 - Pradeep</v>
      </c>
      <c r="L107">
        <f>'salary slip'!B84</f>
        <v>1081</v>
      </c>
      <c r="M107" t="str">
        <f>'salary slip'!C84</f>
        <v>Pradeep</v>
      </c>
      <c r="N107" t="str">
        <f>'salary slip'!E84</f>
        <v>IT</v>
      </c>
      <c r="O107" t="str">
        <f>'salary slip'!D84</f>
        <v>employe</v>
      </c>
    </row>
    <row r="108" spans="11:15" x14ac:dyDescent="0.25">
      <c r="K108" t="str">
        <f>'salary slip'!B85&amp;" - "&amp;'salary slip'!C85</f>
        <v>1082 - Ashok</v>
      </c>
      <c r="L108">
        <f>'salary slip'!B85</f>
        <v>1082</v>
      </c>
      <c r="M108" t="str">
        <f>'salary slip'!C85</f>
        <v>Ashok</v>
      </c>
      <c r="N108" t="str">
        <f>'salary slip'!E85</f>
        <v>Marketing</v>
      </c>
      <c r="O108" t="str">
        <f>'salary slip'!D85</f>
        <v>employe</v>
      </c>
    </row>
    <row r="109" spans="11:15" x14ac:dyDescent="0.25">
      <c r="K109" t="str">
        <f>'salary slip'!B86&amp;" - "&amp;'salary slip'!C86</f>
        <v>1083 - Sunil</v>
      </c>
      <c r="L109">
        <f>'salary slip'!B86</f>
        <v>1083</v>
      </c>
      <c r="M109" t="str">
        <f>'salary slip'!C86</f>
        <v>Sunil</v>
      </c>
      <c r="N109" t="str">
        <f>'salary slip'!E86</f>
        <v>Admin</v>
      </c>
      <c r="O109" t="str">
        <f>'salary slip'!D86</f>
        <v>employe</v>
      </c>
    </row>
    <row r="110" spans="11:15" x14ac:dyDescent="0.25">
      <c r="K110" t="str">
        <f>'salary slip'!B87&amp;" - "&amp;'salary slip'!C87</f>
        <v>1084 - Anil</v>
      </c>
      <c r="L110">
        <f>'salary slip'!B87</f>
        <v>1084</v>
      </c>
      <c r="M110" t="str">
        <f>'salary slip'!C87</f>
        <v>Anil</v>
      </c>
      <c r="N110" t="str">
        <f>'salary slip'!E87</f>
        <v>Procurement</v>
      </c>
      <c r="O110" t="str">
        <f>'salary slip'!D87</f>
        <v>employe</v>
      </c>
    </row>
    <row r="111" spans="11:15" x14ac:dyDescent="0.25">
      <c r="K111" t="str">
        <f>'salary slip'!B88&amp;" - "&amp;'salary slip'!C88</f>
        <v>1085 - Sachin</v>
      </c>
      <c r="L111">
        <f>'salary slip'!B88</f>
        <v>1085</v>
      </c>
      <c r="M111" t="str">
        <f>'salary slip'!C88</f>
        <v>Sachin</v>
      </c>
      <c r="N111" t="str">
        <f>'salary slip'!E88</f>
        <v>Quality</v>
      </c>
      <c r="O111" t="str">
        <f>'salary slip'!D88</f>
        <v>employe</v>
      </c>
    </row>
    <row r="112" spans="11:15" x14ac:dyDescent="0.25">
      <c r="K112" t="str">
        <f>'salary slip'!B89&amp;" - "&amp;'salary slip'!C89</f>
        <v>1086 - Rohit</v>
      </c>
      <c r="L112">
        <f>'salary slip'!B89</f>
        <v>1086</v>
      </c>
      <c r="M112" t="str">
        <f>'salary slip'!C89</f>
        <v>Rohit</v>
      </c>
      <c r="N112" t="str">
        <f>'salary slip'!E89</f>
        <v>Sales</v>
      </c>
      <c r="O112" t="str">
        <f>'salary slip'!D89</f>
        <v>employe</v>
      </c>
    </row>
    <row r="113" spans="11:15" x14ac:dyDescent="0.25">
      <c r="K113" t="str">
        <f>'salary slip'!B90&amp;" - "&amp;'salary slip'!C90</f>
        <v>1087 - Abhishek</v>
      </c>
      <c r="L113">
        <f>'salary slip'!B90</f>
        <v>1087</v>
      </c>
      <c r="M113" t="str">
        <f>'salary slip'!C90</f>
        <v>Abhishek</v>
      </c>
      <c r="N113" t="str">
        <f>'salary slip'!E90</f>
        <v>Production</v>
      </c>
      <c r="O113" t="str">
        <f>'salary slip'!D90</f>
        <v>employe</v>
      </c>
    </row>
    <row r="114" spans="11:15" x14ac:dyDescent="0.25">
      <c r="K114" t="str">
        <f>'salary slip'!B91&amp;" - "&amp;'salary slip'!C91</f>
        <v>1088 - Harsh</v>
      </c>
      <c r="L114">
        <f>'salary slip'!B91</f>
        <v>1088</v>
      </c>
      <c r="M114" t="str">
        <f>'salary slip'!C91</f>
        <v>Harsh</v>
      </c>
      <c r="N114" t="str">
        <f>'salary slip'!E91</f>
        <v>Finance</v>
      </c>
      <c r="O114" t="str">
        <f>'salary slip'!D91</f>
        <v>employe</v>
      </c>
    </row>
    <row r="115" spans="11:15" x14ac:dyDescent="0.25">
      <c r="K115" t="str">
        <f>'salary slip'!B92&amp;" - "&amp;'salary slip'!C92</f>
        <v>1089 - Naveen</v>
      </c>
      <c r="L115">
        <f>'salary slip'!B92</f>
        <v>1089</v>
      </c>
      <c r="M115" t="str">
        <f>'salary slip'!C92</f>
        <v>Naveen</v>
      </c>
      <c r="N115" t="str">
        <f>'salary slip'!E92</f>
        <v>HR</v>
      </c>
      <c r="O115" t="str">
        <f>'salary slip'!D92</f>
        <v>employe</v>
      </c>
    </row>
    <row r="116" spans="11:15" x14ac:dyDescent="0.25">
      <c r="K116" t="str">
        <f>'salary slip'!B93&amp;" - "&amp;'salary slip'!C93</f>
        <v>1090 - Gaurav</v>
      </c>
      <c r="L116">
        <f>'salary slip'!B93</f>
        <v>1090</v>
      </c>
      <c r="M116" t="str">
        <f>'salary slip'!C93</f>
        <v>Gaurav</v>
      </c>
      <c r="N116" t="str">
        <f>'salary slip'!E93</f>
        <v>Operations</v>
      </c>
      <c r="O116" t="str">
        <f>'salary slip'!D93</f>
        <v>employe</v>
      </c>
    </row>
    <row r="117" spans="11:15" x14ac:dyDescent="0.25">
      <c r="K117" t="str">
        <f>'salary slip'!B94&amp;" - "&amp;'salary slip'!C94</f>
        <v>1091 - Tarun</v>
      </c>
      <c r="L117">
        <f>'salary slip'!B94</f>
        <v>1091</v>
      </c>
      <c r="M117" t="str">
        <f>'salary slip'!C94</f>
        <v>Tarun</v>
      </c>
      <c r="N117" t="str">
        <f>'salary slip'!E94</f>
        <v>IT</v>
      </c>
      <c r="O117" t="str">
        <f>'salary slip'!D94</f>
        <v>employe</v>
      </c>
    </row>
    <row r="118" spans="11:15" x14ac:dyDescent="0.25">
      <c r="K118" t="str">
        <f>'salary slip'!B95&amp;" - "&amp;'salary slip'!C95</f>
        <v>1092 - Yash</v>
      </c>
      <c r="L118">
        <f>'salary slip'!B95</f>
        <v>1092</v>
      </c>
      <c r="M118" t="str">
        <f>'salary slip'!C95</f>
        <v>Yash</v>
      </c>
      <c r="N118" t="str">
        <f>'salary slip'!E95</f>
        <v>Marketing</v>
      </c>
      <c r="O118" t="str">
        <f>'salary slip'!D95</f>
        <v>employe</v>
      </c>
    </row>
    <row r="119" spans="11:15" x14ac:dyDescent="0.25">
      <c r="K119" t="str">
        <f>'salary slip'!B96&amp;" - "&amp;'salary slip'!C96</f>
        <v>1093 - Shubham</v>
      </c>
      <c r="L119">
        <f>'salary slip'!B96</f>
        <v>1093</v>
      </c>
      <c r="M119" t="str">
        <f>'salary slip'!C96</f>
        <v>Shubham</v>
      </c>
      <c r="N119" t="str">
        <f>'salary slip'!E96</f>
        <v>Admin</v>
      </c>
      <c r="O119" t="str">
        <f>'salary slip'!D96</f>
        <v>employe</v>
      </c>
    </row>
    <row r="120" spans="11:15" x14ac:dyDescent="0.25">
      <c r="K120" t="str">
        <f>'salary slip'!B97&amp;" - "&amp;'salary slip'!C97</f>
        <v>1094 - Tushar</v>
      </c>
      <c r="L120">
        <f>'salary slip'!B97</f>
        <v>1094</v>
      </c>
      <c r="M120" t="str">
        <f>'salary slip'!C97</f>
        <v>Tushar</v>
      </c>
      <c r="N120" t="str">
        <f>'salary slip'!E97</f>
        <v>Procurement</v>
      </c>
      <c r="O120" t="str">
        <f>'salary slip'!D97</f>
        <v>employe</v>
      </c>
    </row>
    <row r="121" spans="11:15" x14ac:dyDescent="0.25">
      <c r="K121" t="str">
        <f>'salary slip'!B98&amp;" - "&amp;'salary slip'!C98</f>
        <v>1095 - Nikhil</v>
      </c>
      <c r="L121">
        <f>'salary slip'!B98</f>
        <v>1095</v>
      </c>
      <c r="M121" t="str">
        <f>'salary slip'!C98</f>
        <v>Nikhil</v>
      </c>
      <c r="N121" t="str">
        <f>'salary slip'!E98</f>
        <v>Quality</v>
      </c>
      <c r="O121" t="str">
        <f>'salary slip'!D98</f>
        <v>employe</v>
      </c>
    </row>
    <row r="122" spans="11:15" x14ac:dyDescent="0.25">
      <c r="K122" t="str">
        <f>'salary slip'!B99&amp;" - "&amp;'salary slip'!C99</f>
        <v>1096 - Aayush</v>
      </c>
      <c r="L122">
        <f>'salary slip'!B99</f>
        <v>1096</v>
      </c>
      <c r="M122" t="str">
        <f>'salary slip'!C99</f>
        <v>Aayush</v>
      </c>
      <c r="N122" t="str">
        <f>'salary slip'!E99</f>
        <v>Sales</v>
      </c>
      <c r="O122" t="str">
        <f>'salary slip'!D99</f>
        <v>employe</v>
      </c>
    </row>
    <row r="123" spans="11:15" x14ac:dyDescent="0.25">
      <c r="K123" t="str">
        <f>'salary slip'!B100&amp;" - "&amp;'salary slip'!C100</f>
        <v>1097 - Mohit</v>
      </c>
      <c r="L123">
        <f>'salary slip'!B100</f>
        <v>1097</v>
      </c>
      <c r="M123" t="str">
        <f>'salary slip'!C100</f>
        <v>Mohit</v>
      </c>
      <c r="N123" t="str">
        <f>'salary slip'!E100</f>
        <v>Production</v>
      </c>
      <c r="O123" t="str">
        <f>'salary slip'!D100</f>
        <v>employe</v>
      </c>
    </row>
    <row r="124" spans="11:15" x14ac:dyDescent="0.25">
      <c r="K124" t="str">
        <f>'salary slip'!B101&amp;" - "&amp;'salary slip'!C101</f>
        <v>1098 - Hemant</v>
      </c>
      <c r="L124">
        <f>'salary slip'!B101</f>
        <v>1098</v>
      </c>
      <c r="M124" t="str">
        <f>'salary slip'!C101</f>
        <v>Hemant</v>
      </c>
      <c r="N124" t="str">
        <f>'salary slip'!E101</f>
        <v>Finance</v>
      </c>
      <c r="O124" t="str">
        <f>'salary slip'!D101</f>
        <v>employe</v>
      </c>
    </row>
    <row r="125" spans="11:15" x14ac:dyDescent="0.25">
      <c r="K125" t="str">
        <f>'salary slip'!B102&amp;" - "&amp;'salary slip'!C102</f>
        <v>1099 - Dinesh</v>
      </c>
      <c r="L125">
        <f>'salary slip'!B102</f>
        <v>1099</v>
      </c>
      <c r="M125" t="str">
        <f>'salary slip'!C102</f>
        <v>Dinesh</v>
      </c>
      <c r="N125" t="str">
        <f>'salary slip'!E102</f>
        <v>HR</v>
      </c>
      <c r="O125" t="str">
        <f>'salary slip'!D102</f>
        <v>employe</v>
      </c>
    </row>
  </sheetData>
  <mergeCells count="16">
    <mergeCell ref="A48:H48"/>
    <mergeCell ref="A49:B49"/>
    <mergeCell ref="D49:E49"/>
    <mergeCell ref="A50:H50"/>
    <mergeCell ref="A25:C25"/>
    <mergeCell ref="E25:G25"/>
    <mergeCell ref="A37:C37"/>
    <mergeCell ref="A44:H44"/>
    <mergeCell ref="A45:H45"/>
    <mergeCell ref="A46:H46"/>
    <mergeCell ref="A1:H1"/>
    <mergeCell ref="A2:F2"/>
    <mergeCell ref="B3:F3"/>
    <mergeCell ref="B7:H7"/>
    <mergeCell ref="A9:B9"/>
    <mergeCell ref="D9:E9"/>
  </mergeCells>
  <conditionalFormatting sqref="B7:H7">
    <cfRule type="containsText" dxfId="4" priority="1" operator="containsText" text="Ready to generate">
      <formula>NOT(ISERROR(SEARCH("Ready to generate",B7)))</formula>
    </cfRule>
    <cfRule type="containsText" dxfId="3" priority="2" operator="containsText" text="Ready -">
      <formula>NOT(ISERROR(SEARCH("Ready -",B7)))</formula>
    </cfRule>
    <cfRule type="containsText" dxfId="2" priority="3" operator="containsText" text="Please">
      <formula>NOT(ISERROR(SEARCH("Please",B7)))</formula>
    </cfRule>
    <cfRule type="containsText" dxfId="1" priority="4" operator="containsText" text="does not">
      <formula>NOT(ISERROR(SEARCH("does not",B7)))</formula>
    </cfRule>
    <cfRule type="containsText" dxfId="0" priority="5" operator="containsText" text="not in">
      <formula>NOT(ISERROR(SEARCH("not in",B7)))</formula>
    </cfRule>
  </conditionalFormatting>
  <dataValidations count="3">
    <dataValidation type="list" allowBlank="1" showInputMessage="1" showErrorMessage="1" sqref="B4" xr:uid="{7319A178-6738-4272-9715-05340BFF71BC}">
      <formula1>EmployeeList</formula1>
    </dataValidation>
    <dataValidation type="list" allowBlank="1" showInputMessage="1" showErrorMessage="1" sqref="B5" xr:uid="{63FCD0BE-5EA3-4170-B9E2-FB7AAD891F2B}">
      <formula1>DepartmentList</formula1>
    </dataValidation>
    <dataValidation type="list" allowBlank="1" showInputMessage="1" showErrorMessage="1" sqref="B6" xr:uid="{550EFA39-2BBB-4D28-8900-B887EEBA966D}">
      <formula1>MonthList</formula1>
    </dataValidation>
  </dataValidations>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EB5B7-FF0A-45A4-8065-6DABE76D035F}">
  <sheetPr codeName="Sheet26"/>
  <dimension ref="A1:G30"/>
  <sheetViews>
    <sheetView topLeftCell="A3" workbookViewId="0">
      <selection activeCell="E7" sqref="E7"/>
    </sheetView>
  </sheetViews>
  <sheetFormatPr defaultRowHeight="15" x14ac:dyDescent="0.25"/>
  <cols>
    <col min="1" max="1" width="21.42578125" bestFit="1" customWidth="1"/>
    <col min="2" max="2" width="30.42578125" customWidth="1"/>
    <col min="4" max="4" width="9.85546875" customWidth="1"/>
    <col min="5" max="5" width="30.42578125" customWidth="1"/>
    <col min="6" max="6" width="21.28515625" customWidth="1"/>
    <col min="7" max="7" width="16.7109375" customWidth="1"/>
  </cols>
  <sheetData>
    <row r="1" spans="1:7" ht="27.95" customHeight="1" x14ac:dyDescent="0.35">
      <c r="A1" s="573" t="s">
        <v>1948</v>
      </c>
      <c r="B1" s="573"/>
      <c r="C1" s="573"/>
      <c r="D1" s="573"/>
      <c r="E1" s="573"/>
      <c r="F1" s="573"/>
      <c r="G1" s="573"/>
    </row>
    <row r="2" spans="1:7" x14ac:dyDescent="0.25">
      <c r="A2" s="574" t="s">
        <v>1949</v>
      </c>
      <c r="B2" s="574"/>
      <c r="C2" s="574"/>
      <c r="D2" s="574"/>
      <c r="E2" s="574"/>
      <c r="F2" s="574"/>
      <c r="G2" s="574"/>
    </row>
    <row r="4" spans="1:7" x14ac:dyDescent="0.25">
      <c r="A4" s="442" t="s">
        <v>1950</v>
      </c>
      <c r="B4" s="442"/>
      <c r="D4" s="442" t="s">
        <v>1963</v>
      </c>
      <c r="E4" s="442"/>
      <c r="F4" s="442"/>
      <c r="G4" s="442"/>
    </row>
    <row r="5" spans="1:7" ht="15.75" x14ac:dyDescent="0.25">
      <c r="A5" s="314" t="s">
        <v>1951</v>
      </c>
      <c r="B5" s="315">
        <f>COUNTA('data velidation'!A3:A118)</f>
        <v>116</v>
      </c>
      <c r="D5" s="323" t="s">
        <v>1964</v>
      </c>
      <c r="E5" s="322" t="s">
        <v>1010</v>
      </c>
      <c r="F5" s="324" t="s">
        <v>1965</v>
      </c>
      <c r="G5" s="324" t="s">
        <v>619</v>
      </c>
    </row>
    <row r="6" spans="1:7" ht="15.75" x14ac:dyDescent="0.25">
      <c r="A6" s="314" t="s">
        <v>1952</v>
      </c>
      <c r="B6" s="315">
        <f>COUNTA('data velidation'!N3:N57)</f>
        <v>55</v>
      </c>
      <c r="D6" s="325">
        <v>1</v>
      </c>
      <c r="E6" s="313" t="str">
        <f>INDEX('data velidation'!$N$3:$N$57,MATCH(F6,'data velidation'!$P$3:$P$57,0))</f>
        <v>Moniter</v>
      </c>
      <c r="F6" s="327">
        <f>LARGE('data velidation'!$P$3:$P$57,D6)</f>
        <v>34124101</v>
      </c>
      <c r="G6" s="329">
        <f>INDEX('data velidation'!$O$3:$O$57,MATCH(F6,'data velidation'!$P$3:$P$57,0))</f>
        <v>2698</v>
      </c>
    </row>
    <row r="7" spans="1:7" ht="15.75" x14ac:dyDescent="0.25">
      <c r="A7" s="314" t="s">
        <v>1953</v>
      </c>
      <c r="B7" s="316">
        <f>B5-B6</f>
        <v>61</v>
      </c>
      <c r="D7" s="330">
        <v>2</v>
      </c>
      <c r="E7" s="331" t="str">
        <f>INDEX('data velidation'!$N$3:$N$57,MATCH(F7,'data velidation'!$P$3:$P$57,0))</f>
        <v>Laptop</v>
      </c>
      <c r="F7" s="332">
        <f>LARGE('data velidation'!$P$3:$P$57,D7)</f>
        <v>26514653</v>
      </c>
      <c r="G7" s="333">
        <f>INDEX('data velidation'!$O$3:$O$57,MATCH(F7,'data velidation'!$P$3:$P$57,0))</f>
        <v>2611</v>
      </c>
    </row>
    <row r="8" spans="1:7" ht="15.75" x14ac:dyDescent="0.25">
      <c r="A8" s="314" t="s">
        <v>1954</v>
      </c>
      <c r="B8" s="317">
        <f>IF(B5=0,"",B7/B5)</f>
        <v>0.52586206896551724</v>
      </c>
      <c r="D8" s="325">
        <v>3</v>
      </c>
      <c r="E8" s="313" t="str">
        <f>INDEX('data velidation'!$N$3:$N$57,MATCH(F8,'data velidation'!$P$3:$P$57,0))</f>
        <v>Mouse</v>
      </c>
      <c r="F8" s="326">
        <f>LARGE('data velidation'!$P$3:$P$57,D8)</f>
        <v>23839610</v>
      </c>
      <c r="G8" s="328">
        <f>INDEX('data velidation'!$O$3:$O$57,MATCH(F8,'data velidation'!$P$3:$P$57,0))</f>
        <v>1658</v>
      </c>
    </row>
    <row r="9" spans="1:7" ht="15.75" x14ac:dyDescent="0.25">
      <c r="A9" s="314" t="s">
        <v>1955</v>
      </c>
      <c r="B9" s="318">
        <f>'data velidation'!O58</f>
        <v>72666</v>
      </c>
      <c r="D9" s="330">
        <v>4</v>
      </c>
      <c r="E9" s="331" t="str">
        <f>INDEX('data velidation'!$N$3:$N$57,MATCH(F9,'data velidation'!$P$3:$P$57,0))</f>
        <v>Dollo</v>
      </c>
      <c r="F9" s="332">
        <f>LARGE('data velidation'!$P$3:$P$57,D9)</f>
        <v>17418089</v>
      </c>
      <c r="G9" s="333">
        <f>INDEX('data velidation'!$O$3:$O$57,MATCH(F9,'data velidation'!$P$3:$P$57,0))</f>
        <v>1175</v>
      </c>
    </row>
    <row r="10" spans="1:7" ht="15.75" x14ac:dyDescent="0.25">
      <c r="A10" s="314" t="s">
        <v>1956</v>
      </c>
      <c r="B10" s="319">
        <f>'data velidation'!P58</f>
        <v>740826306</v>
      </c>
      <c r="D10" s="325">
        <v>5</v>
      </c>
      <c r="E10" s="313" t="str">
        <f>INDEX('data velidation'!$N$3:$N$57,MATCH(F10,'data velidation'!$P$3:$P$57,0))</f>
        <v>Sunsscreen</v>
      </c>
      <c r="F10" s="326">
        <f>LARGE('data velidation'!$P$3:$P$57,D10)</f>
        <v>17136413</v>
      </c>
      <c r="G10" s="328">
        <f>INDEX('data velidation'!$O$3:$O$57,MATCH(F10,'data velidation'!$P$3:$P$57,0))</f>
        <v>895</v>
      </c>
    </row>
    <row r="11" spans="1:7" ht="15.75" x14ac:dyDescent="0.25">
      <c r="A11" s="314" t="s">
        <v>1957</v>
      </c>
      <c r="B11" s="319">
        <f>SUM('data velidation'!D3:D118)</f>
        <v>473068532979</v>
      </c>
      <c r="D11" s="330">
        <v>6</v>
      </c>
      <c r="E11" s="331" t="str">
        <f>INDEX('data velidation'!$N$3:$N$57,MATCH(F11,'data velidation'!$P$3:$P$57,0))</f>
        <v>Auto</v>
      </c>
      <c r="F11" s="332">
        <f>LARGE('data velidation'!$P$3:$P$57,D11)</f>
        <v>17135453</v>
      </c>
      <c r="G11" s="333">
        <f>INDEX('data velidation'!$O$3:$O$57,MATCH(F11,'data velidation'!$P$3:$P$57,0))</f>
        <v>1545</v>
      </c>
    </row>
    <row r="12" spans="1:7" ht="15.75" x14ac:dyDescent="0.25">
      <c r="A12" s="314" t="s">
        <v>1958</v>
      </c>
      <c r="B12" s="320">
        <f>IF(B6=0,"",B9/B6)</f>
        <v>1321.2</v>
      </c>
      <c r="D12" s="325">
        <v>7</v>
      </c>
      <c r="E12" s="313" t="str">
        <f>INDEX('data velidation'!$N$3:$N$57,MATCH(F12,'data velidation'!$P$3:$P$57,0))</f>
        <v>B.Com(Hons) Set</v>
      </c>
      <c r="F12" s="326">
        <f>LARGE('data velidation'!$P$3:$P$57,D12)</f>
        <v>17121731</v>
      </c>
      <c r="G12" s="328">
        <f>INDEX('data velidation'!$O$3:$O$57,MATCH(F12,'data velidation'!$P$3:$P$57,0))</f>
        <v>959</v>
      </c>
    </row>
    <row r="13" spans="1:7" ht="15.75" x14ac:dyDescent="0.25">
      <c r="A13" s="314" t="s">
        <v>1959</v>
      </c>
      <c r="B13" s="319">
        <f>IF(B6=0,"",B10/B6)</f>
        <v>13469569.199999999</v>
      </c>
      <c r="D13" s="330">
        <v>8</v>
      </c>
      <c r="E13" s="331" t="str">
        <f>INDEX('data velidation'!$N$3:$N$57,MATCH(F13,'data velidation'!$P$3:$P$57,0))</f>
        <v>Maths</v>
      </c>
      <c r="F13" s="332">
        <f>LARGE('data velidation'!$P$3:$P$57,D13)</f>
        <v>15982485</v>
      </c>
      <c r="G13" s="333">
        <f>INDEX('data velidation'!$O$3:$O$57,MATCH(F13,'data velidation'!$P$3:$P$57,0))</f>
        <v>1283</v>
      </c>
    </row>
    <row r="14" spans="1:7" ht="15.75" x14ac:dyDescent="0.25">
      <c r="A14" s="314" t="s">
        <v>1976</v>
      </c>
      <c r="B14" s="316">
        <f>COUNTIF('data velidation'!O3:O57,"&lt;1000")</f>
        <v>15</v>
      </c>
      <c r="D14" s="325">
        <v>9</v>
      </c>
      <c r="E14" s="313" t="str">
        <f>INDEX('data velidation'!$N$3:$N$57,MATCH(F14,'data velidation'!$P$3:$P$57,0))</f>
        <v>Mobile Phone</v>
      </c>
      <c r="F14" s="326">
        <f>LARGE('data velidation'!$P$3:$P$57,D14)</f>
        <v>15971827</v>
      </c>
      <c r="G14" s="328">
        <f>INDEX('data velidation'!$O$3:$O$57,MATCH(F14,'data velidation'!$P$3:$P$57,0))</f>
        <v>1408</v>
      </c>
    </row>
    <row r="15" spans="1:7" x14ac:dyDescent="0.25">
      <c r="A15" s="314" t="s">
        <v>1960</v>
      </c>
      <c r="B15" s="292" t="str">
        <f>INDEX('data velidation'!N3:N57,MATCH(MAX('data velidation'!P3:P57),'data velidation'!P3:P57,0))</f>
        <v>Moniter</v>
      </c>
      <c r="D15" s="330">
        <v>10</v>
      </c>
      <c r="E15" s="331" t="str">
        <f>INDEX('data velidation'!$N$3:$N$57,MATCH(F15,'data velidation'!$P$3:$P$57,0))</f>
        <v>Pencils</v>
      </c>
      <c r="F15" s="332">
        <f>LARGE('data velidation'!$P$3:$P$57,D15)</f>
        <v>15782096</v>
      </c>
      <c r="G15" s="333">
        <f>INDEX('data velidation'!$O$3:$O$57,MATCH(F15,'data velidation'!$P$3:$P$57,0))</f>
        <v>1300</v>
      </c>
    </row>
    <row r="16" spans="1:7" ht="15.75" x14ac:dyDescent="0.25">
      <c r="A16" s="314" t="s">
        <v>1961</v>
      </c>
      <c r="B16" s="321">
        <f>MAX('data velidation'!P3:P57)</f>
        <v>34124101</v>
      </c>
    </row>
    <row r="17" spans="1:7" ht="15.75" x14ac:dyDescent="0.25">
      <c r="A17" s="314" t="s">
        <v>1962</v>
      </c>
      <c r="B17" s="317">
        <f>IF(B10=0,"",B16/B10)</f>
        <v>4.6062215560687715E-2</v>
      </c>
    </row>
    <row r="19" spans="1:7" x14ac:dyDescent="0.25">
      <c r="A19" s="575" t="s">
        <v>1966</v>
      </c>
      <c r="B19" s="575"/>
      <c r="C19" s="575"/>
      <c r="D19" s="575"/>
      <c r="E19" s="575"/>
      <c r="F19" s="575"/>
      <c r="G19" s="575"/>
    </row>
    <row r="20" spans="1:7" ht="33.950000000000003" customHeight="1" x14ac:dyDescent="0.25">
      <c r="A20" s="572" t="s">
        <v>1967</v>
      </c>
      <c r="B20" s="572"/>
      <c r="C20" s="572"/>
      <c r="D20" s="572"/>
      <c r="E20" s="572"/>
      <c r="F20" s="572"/>
      <c r="G20" s="572"/>
    </row>
    <row r="21" spans="1:7" ht="33.950000000000003" customHeight="1" x14ac:dyDescent="0.25">
      <c r="A21" s="572"/>
      <c r="B21" s="572"/>
      <c r="C21" s="572"/>
      <c r="D21" s="572"/>
      <c r="E21" s="572"/>
      <c r="F21" s="572"/>
      <c r="G21" s="572"/>
    </row>
    <row r="22" spans="1:7" ht="33.950000000000003" customHeight="1" x14ac:dyDescent="0.25">
      <c r="A22" s="433" t="s">
        <v>1968</v>
      </c>
      <c r="B22" s="433"/>
      <c r="C22" s="433"/>
      <c r="D22" s="433"/>
      <c r="E22" s="433"/>
      <c r="F22" s="433"/>
      <c r="G22" s="433"/>
    </row>
    <row r="23" spans="1:7" ht="33.950000000000003" customHeight="1" x14ac:dyDescent="0.25">
      <c r="A23" s="433"/>
      <c r="B23" s="433"/>
      <c r="C23" s="433"/>
      <c r="D23" s="433"/>
      <c r="E23" s="433"/>
      <c r="F23" s="433"/>
      <c r="G23" s="433"/>
    </row>
    <row r="24" spans="1:7" x14ac:dyDescent="0.25">
      <c r="A24" s="436" t="s">
        <v>1969</v>
      </c>
      <c r="B24" s="436"/>
      <c r="C24" s="436"/>
      <c r="D24" s="436"/>
      <c r="E24" s="436"/>
      <c r="F24" s="436"/>
      <c r="G24" s="436"/>
    </row>
    <row r="25" spans="1:7" ht="27.95" customHeight="1" x14ac:dyDescent="0.25">
      <c r="A25" s="433" t="s">
        <v>1970</v>
      </c>
      <c r="B25" s="433"/>
      <c r="C25" s="433"/>
      <c r="D25" s="433"/>
      <c r="E25" s="433"/>
      <c r="F25" s="433"/>
      <c r="G25" s="433"/>
    </row>
    <row r="26" spans="1:7" ht="27.95" customHeight="1" x14ac:dyDescent="0.25">
      <c r="A26" s="433" t="s">
        <v>1971</v>
      </c>
      <c r="B26" s="433"/>
      <c r="C26" s="433"/>
      <c r="D26" s="433"/>
      <c r="E26" s="433"/>
      <c r="F26" s="433"/>
      <c r="G26" s="433"/>
    </row>
    <row r="27" spans="1:7" ht="27.95" customHeight="1" x14ac:dyDescent="0.25">
      <c r="A27" s="433" t="s">
        <v>1972</v>
      </c>
      <c r="B27" s="433"/>
      <c r="C27" s="433"/>
      <c r="D27" s="433"/>
      <c r="E27" s="433"/>
      <c r="F27" s="433"/>
      <c r="G27" s="433"/>
    </row>
    <row r="28" spans="1:7" ht="27.95" customHeight="1" x14ac:dyDescent="0.25">
      <c r="A28" s="433" t="s">
        <v>1973</v>
      </c>
      <c r="B28" s="433"/>
      <c r="C28" s="433"/>
      <c r="D28" s="433"/>
      <c r="E28" s="433"/>
      <c r="F28" s="433"/>
      <c r="G28" s="433"/>
    </row>
    <row r="29" spans="1:7" ht="27.95" customHeight="1" x14ac:dyDescent="0.25">
      <c r="A29" s="433" t="s">
        <v>1974</v>
      </c>
      <c r="B29" s="433"/>
      <c r="C29" s="433"/>
      <c r="D29" s="433"/>
      <c r="E29" s="433"/>
      <c r="F29" s="433"/>
      <c r="G29" s="433"/>
    </row>
    <row r="30" spans="1:7" ht="27.95" customHeight="1" x14ac:dyDescent="0.25">
      <c r="A30" s="433" t="s">
        <v>1975</v>
      </c>
      <c r="B30" s="433"/>
      <c r="C30" s="433"/>
      <c r="D30" s="433"/>
      <c r="E30" s="433"/>
      <c r="F30" s="433"/>
      <c r="G30" s="433"/>
    </row>
  </sheetData>
  <mergeCells count="14">
    <mergeCell ref="A29:G29"/>
    <mergeCell ref="A30:G30"/>
    <mergeCell ref="A22:G23"/>
    <mergeCell ref="A24:G24"/>
    <mergeCell ref="A25:G25"/>
    <mergeCell ref="A26:G26"/>
    <mergeCell ref="A27:G27"/>
    <mergeCell ref="A28:G28"/>
    <mergeCell ref="A20:G21"/>
    <mergeCell ref="A1:G1"/>
    <mergeCell ref="A2:G2"/>
    <mergeCell ref="A4:B4"/>
    <mergeCell ref="D4:G4"/>
    <mergeCell ref="A19:G19"/>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9471A-C0E8-4CCE-93AF-B6F0851BC60C}">
  <sheetPr codeName="Sheet27"/>
  <dimension ref="A1:G12"/>
  <sheetViews>
    <sheetView workbookViewId="0">
      <selection activeCell="C4" sqref="C4"/>
    </sheetView>
  </sheetViews>
  <sheetFormatPr defaultRowHeight="15" x14ac:dyDescent="0.25"/>
  <cols>
    <col min="2" max="4" width="10.7109375" customWidth="1"/>
  </cols>
  <sheetData>
    <row r="1" spans="1:7" ht="32.1" customHeight="1" thickBot="1" x14ac:dyDescent="0.5">
      <c r="A1" s="576" t="s">
        <v>2262</v>
      </c>
      <c r="B1" s="577"/>
      <c r="C1" s="577"/>
      <c r="D1" s="577"/>
      <c r="E1" s="577"/>
      <c r="F1" s="577"/>
      <c r="G1" s="577"/>
    </row>
    <row r="2" spans="1:7" ht="42" customHeight="1" x14ac:dyDescent="0.25">
      <c r="B2" s="401"/>
      <c r="C2" s="396"/>
      <c r="D2" s="403"/>
      <c r="F2" s="579" t="s">
        <v>2264</v>
      </c>
      <c r="G2" s="577"/>
    </row>
    <row r="3" spans="1:7" ht="42" customHeight="1" x14ac:dyDescent="0.25">
      <c r="B3" s="399"/>
      <c r="C3" s="402"/>
      <c r="D3" s="398"/>
      <c r="F3" t="s">
        <v>2265</v>
      </c>
      <c r="G3" s="56">
        <v>2</v>
      </c>
    </row>
    <row r="4" spans="1:7" ht="42" customHeight="1" thickBot="1" x14ac:dyDescent="0.3">
      <c r="B4" s="400"/>
      <c r="C4" s="397"/>
      <c r="D4" s="395"/>
      <c r="F4" t="s">
        <v>2266</v>
      </c>
      <c r="G4" s="56">
        <v>1</v>
      </c>
    </row>
    <row r="5" spans="1:7" x14ac:dyDescent="0.25">
      <c r="F5" t="s">
        <v>2267</v>
      </c>
      <c r="G5" s="56">
        <v>1</v>
      </c>
    </row>
    <row r="6" spans="1:7" ht="15.75" x14ac:dyDescent="0.25">
      <c r="B6" s="578" t="s">
        <v>2274</v>
      </c>
      <c r="C6" s="577"/>
      <c r="D6" s="577"/>
    </row>
    <row r="7" spans="1:7" x14ac:dyDescent="0.25">
      <c r="F7" t="s">
        <v>2275</v>
      </c>
    </row>
    <row r="8" spans="1:7" ht="24" customHeight="1" x14ac:dyDescent="0.25">
      <c r="B8" s="43" t="s">
        <v>2268</v>
      </c>
      <c r="F8" s="580" t="s">
        <v>2273</v>
      </c>
      <c r="G8" s="577"/>
    </row>
    <row r="9" spans="1:7" x14ac:dyDescent="0.25">
      <c r="B9" s="394" t="s">
        <v>2269</v>
      </c>
    </row>
    <row r="10" spans="1:7" x14ac:dyDescent="0.25">
      <c r="B10" s="394" t="s">
        <v>2270</v>
      </c>
    </row>
    <row r="11" spans="1:7" x14ac:dyDescent="0.25">
      <c r="B11" s="394" t="s">
        <v>2271</v>
      </c>
    </row>
    <row r="12" spans="1:7" x14ac:dyDescent="0.25">
      <c r="B12" s="394" t="s">
        <v>2272</v>
      </c>
    </row>
  </sheetData>
  <mergeCells count="4">
    <mergeCell ref="A1:G1"/>
    <mergeCell ref="B6:D6"/>
    <mergeCell ref="F2:G2"/>
    <mergeCell ref="F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Game">
                <anchor moveWithCells="1" sizeWithCells="1">
                  <from>
                    <xdr:col>4</xdr:col>
                    <xdr:colOff>600075</xdr:colOff>
                    <xdr:row>7</xdr:row>
                    <xdr:rowOff>0</xdr:rowOff>
                  </from>
                  <to>
                    <xdr:col>7</xdr:col>
                    <xdr:colOff>9525</xdr:colOff>
                    <xdr:row>8</xdr:row>
                    <xdr:rowOff>38100</xdr:rowOff>
                  </to>
                </anchor>
              </controlPr>
            </control>
          </mc:Choice>
        </mc:AlternateContent>
        <mc:AlternateContent xmlns:mc="http://schemas.openxmlformats.org/markup-compatibility/2006">
          <mc:Choice Requires="x14">
            <control shapeId="41986" r:id="rId5" name="Button 2">
              <controlPr defaultSize="0" print="0" autoFill="0" autoPict="0" macro="[0]!PlayTwoPlayers">
                <anchor moveWithCells="1" sizeWithCells="1">
                  <from>
                    <xdr:col>7</xdr:col>
                    <xdr:colOff>600075</xdr:colOff>
                    <xdr:row>6</xdr:row>
                    <xdr:rowOff>171450</xdr:rowOff>
                  </from>
                  <to>
                    <xdr:col>10</xdr:col>
                    <xdr:colOff>104775</xdr:colOff>
                    <xdr:row>8</xdr:row>
                    <xdr:rowOff>38100</xdr:rowOff>
                  </to>
                </anchor>
              </controlPr>
            </control>
          </mc:Choice>
        </mc:AlternateContent>
        <mc:AlternateContent xmlns:mc="http://schemas.openxmlformats.org/markup-compatibility/2006">
          <mc:Choice Requires="x14">
            <control shapeId="41987" r:id="rId6" name="Button 3">
              <controlPr defaultSize="0" print="0" autoFill="0" autoPict="0" macro="[0]!PlayVsComputer">
                <anchor moveWithCells="1" sizeWithCells="1">
                  <from>
                    <xdr:col>11</xdr:col>
                    <xdr:colOff>0</xdr:colOff>
                    <xdr:row>6</xdr:row>
                    <xdr:rowOff>180975</xdr:rowOff>
                  </from>
                  <to>
                    <xdr:col>13</xdr:col>
                    <xdr:colOff>28575</xdr:colOff>
                    <xdr:row>8</xdr:row>
                    <xdr:rowOff>28575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AEC9-827F-4E9B-9209-06A090D0C367}">
  <sheetPr codeName="Sheet29"/>
  <dimension ref="A1:Q21"/>
  <sheetViews>
    <sheetView workbookViewId="0">
      <selection activeCell="A12" sqref="A12"/>
    </sheetView>
  </sheetViews>
  <sheetFormatPr defaultRowHeight="15" x14ac:dyDescent="0.25"/>
  <cols>
    <col min="1" max="1" width="14.140625" bestFit="1" customWidth="1"/>
    <col min="2" max="2" width="17.7109375" bestFit="1" customWidth="1"/>
    <col min="3" max="3" width="10" bestFit="1" customWidth="1"/>
    <col min="4" max="4" width="6.7109375" bestFit="1" customWidth="1"/>
    <col min="5" max="5" width="13.140625" bestFit="1" customWidth="1"/>
    <col min="6" max="6" width="12.7109375" bestFit="1" customWidth="1"/>
    <col min="7" max="7" width="12.28515625" bestFit="1" customWidth="1"/>
    <col min="8" max="8" width="12.42578125" bestFit="1" customWidth="1"/>
    <col min="9" max="9" width="15.28515625" bestFit="1" customWidth="1"/>
    <col min="10" max="10" width="14.42578125" bestFit="1" customWidth="1"/>
    <col min="11" max="11" width="25.140625" bestFit="1" customWidth="1"/>
    <col min="12" max="12" width="18.28515625" bestFit="1" customWidth="1"/>
    <col min="13" max="13" width="11" bestFit="1" customWidth="1"/>
    <col min="14" max="14" width="10.42578125" bestFit="1" customWidth="1"/>
    <col min="15" max="15" width="7.140625" bestFit="1" customWidth="1"/>
    <col min="16" max="16" width="8.28515625" bestFit="1" customWidth="1"/>
    <col min="17" max="17" width="47.5703125" bestFit="1" customWidth="1"/>
  </cols>
  <sheetData>
    <row r="1" spans="1:17" s="43" customFormat="1" x14ac:dyDescent="0.25">
      <c r="A1" s="43" t="s">
        <v>2441</v>
      </c>
      <c r="B1" s="43" t="s">
        <v>2442</v>
      </c>
      <c r="C1" s="43" t="s">
        <v>2443</v>
      </c>
      <c r="D1" s="43" t="s">
        <v>1379</v>
      </c>
      <c r="E1" s="43" t="s">
        <v>2444</v>
      </c>
      <c r="F1" s="43" t="s">
        <v>1095</v>
      </c>
      <c r="G1" s="43" t="s">
        <v>1456</v>
      </c>
      <c r="H1" s="43" t="s">
        <v>1299</v>
      </c>
      <c r="I1" s="43" t="s">
        <v>1010</v>
      </c>
      <c r="J1" s="43" t="s">
        <v>2445</v>
      </c>
      <c r="K1" s="43" t="s">
        <v>2446</v>
      </c>
      <c r="L1" s="43" t="s">
        <v>2447</v>
      </c>
      <c r="M1" s="43" t="s">
        <v>619</v>
      </c>
      <c r="N1" s="43" t="s">
        <v>620</v>
      </c>
      <c r="O1" s="43" t="s">
        <v>2448</v>
      </c>
      <c r="P1" s="43" t="s">
        <v>2449</v>
      </c>
      <c r="Q1" s="43" t="s">
        <v>2450</v>
      </c>
    </row>
    <row r="2" spans="1:17" x14ac:dyDescent="0.25">
      <c r="A2" t="s">
        <v>2451</v>
      </c>
      <c r="B2" t="s">
        <v>2452</v>
      </c>
      <c r="C2" t="s">
        <v>2304</v>
      </c>
      <c r="E2" t="s">
        <v>2453</v>
      </c>
      <c r="F2" t="s">
        <v>2279</v>
      </c>
      <c r="G2" t="s">
        <v>2280</v>
      </c>
      <c r="H2" t="s">
        <v>2281</v>
      </c>
      <c r="I2" t="s">
        <v>2454</v>
      </c>
      <c r="J2" t="s">
        <v>2455</v>
      </c>
      <c r="K2" t="s">
        <v>2284</v>
      </c>
      <c r="Q2" t="s">
        <v>2456</v>
      </c>
    </row>
    <row r="3" spans="1:17" x14ac:dyDescent="0.25">
      <c r="A3" t="s">
        <v>2293</v>
      </c>
      <c r="B3" t="s">
        <v>2457</v>
      </c>
      <c r="C3" t="s">
        <v>2330</v>
      </c>
      <c r="F3" t="s">
        <v>2458</v>
      </c>
      <c r="G3" t="s">
        <v>2280</v>
      </c>
      <c r="H3" t="s">
        <v>2290</v>
      </c>
      <c r="I3" t="s">
        <v>625</v>
      </c>
      <c r="J3" t="s">
        <v>2459</v>
      </c>
      <c r="K3" t="s">
        <v>2460</v>
      </c>
      <c r="Q3" t="s">
        <v>2461</v>
      </c>
    </row>
    <row r="4" spans="1:17" x14ac:dyDescent="0.25">
      <c r="A4" t="s">
        <v>2302</v>
      </c>
      <c r="B4" t="s">
        <v>2455</v>
      </c>
      <c r="C4" t="s">
        <v>2304</v>
      </c>
      <c r="E4" t="s">
        <v>2462</v>
      </c>
      <c r="F4" t="s">
        <v>2462</v>
      </c>
      <c r="G4" t="s">
        <v>2297</v>
      </c>
      <c r="H4" t="s">
        <v>2463</v>
      </c>
      <c r="I4" t="s">
        <v>2464</v>
      </c>
      <c r="J4" t="s">
        <v>2465</v>
      </c>
      <c r="K4" t="s">
        <v>2301</v>
      </c>
      <c r="Q4" t="s">
        <v>2466</v>
      </c>
    </row>
    <row r="5" spans="1:17" x14ac:dyDescent="0.25">
      <c r="A5" t="s">
        <v>750</v>
      </c>
      <c r="B5" t="s">
        <v>2335</v>
      </c>
      <c r="C5" t="s">
        <v>2330</v>
      </c>
      <c r="E5" t="s">
        <v>2467</v>
      </c>
      <c r="F5" t="s">
        <v>2468</v>
      </c>
      <c r="G5" t="s">
        <v>2297</v>
      </c>
      <c r="H5" t="s">
        <v>2308</v>
      </c>
      <c r="I5" t="s">
        <v>2469</v>
      </c>
      <c r="J5" t="s">
        <v>2312</v>
      </c>
      <c r="K5" t="s">
        <v>2311</v>
      </c>
      <c r="Q5" t="s">
        <v>2470</v>
      </c>
    </row>
    <row r="6" spans="1:17" x14ac:dyDescent="0.25">
      <c r="A6" t="s">
        <v>2471</v>
      </c>
      <c r="B6" t="s">
        <v>2455</v>
      </c>
      <c r="C6" t="s">
        <v>2304</v>
      </c>
      <c r="F6" t="s">
        <v>2472</v>
      </c>
      <c r="G6" t="s">
        <v>2280</v>
      </c>
      <c r="H6" t="s">
        <v>2315</v>
      </c>
      <c r="I6" t="s">
        <v>2473</v>
      </c>
      <c r="J6" t="s">
        <v>2474</v>
      </c>
      <c r="K6" t="s">
        <v>2318</v>
      </c>
      <c r="Q6" t="s">
        <v>2475</v>
      </c>
    </row>
    <row r="7" spans="1:17" x14ac:dyDescent="0.25">
      <c r="A7" t="s">
        <v>2328</v>
      </c>
      <c r="B7" t="s">
        <v>2457</v>
      </c>
      <c r="C7" t="s">
        <v>2330</v>
      </c>
      <c r="E7" t="s">
        <v>2331</v>
      </c>
      <c r="F7" t="s">
        <v>2332</v>
      </c>
      <c r="G7" t="s">
        <v>2323</v>
      </c>
      <c r="H7" t="s">
        <v>2324</v>
      </c>
      <c r="I7" t="s">
        <v>2476</v>
      </c>
      <c r="J7" t="s">
        <v>2329</v>
      </c>
      <c r="K7" t="s">
        <v>2327</v>
      </c>
      <c r="Q7" t="s">
        <v>2477</v>
      </c>
    </row>
    <row r="8" spans="1:17" x14ac:dyDescent="0.25">
      <c r="A8" t="s">
        <v>2337</v>
      </c>
      <c r="B8" t="s">
        <v>2335</v>
      </c>
      <c r="C8" t="s">
        <v>2304</v>
      </c>
      <c r="F8" t="s">
        <v>2478</v>
      </c>
      <c r="G8" t="s">
        <v>2323</v>
      </c>
      <c r="H8" t="s">
        <v>2333</v>
      </c>
      <c r="I8" t="s">
        <v>2479</v>
      </c>
      <c r="J8" t="s">
        <v>2480</v>
      </c>
      <c r="K8" t="s">
        <v>2336</v>
      </c>
      <c r="Q8" t="s">
        <v>2481</v>
      </c>
    </row>
    <row r="9" spans="1:17" x14ac:dyDescent="0.25">
      <c r="A9" t="s">
        <v>2343</v>
      </c>
      <c r="B9" t="s">
        <v>2482</v>
      </c>
      <c r="C9" t="s">
        <v>2330</v>
      </c>
      <c r="E9" t="s">
        <v>2346</v>
      </c>
      <c r="F9" t="s">
        <v>2483</v>
      </c>
      <c r="G9" t="s">
        <v>2280</v>
      </c>
      <c r="H9" t="s">
        <v>2348</v>
      </c>
      <c r="I9" t="s">
        <v>657</v>
      </c>
      <c r="J9" t="s">
        <v>2344</v>
      </c>
      <c r="K9" t="s">
        <v>2342</v>
      </c>
      <c r="Q9" t="s">
        <v>2484</v>
      </c>
    </row>
    <row r="10" spans="1:17" x14ac:dyDescent="0.25">
      <c r="A10" t="s">
        <v>2485</v>
      </c>
      <c r="B10" t="s">
        <v>2352</v>
      </c>
      <c r="C10" t="s">
        <v>2304</v>
      </c>
      <c r="E10" t="s">
        <v>2486</v>
      </c>
      <c r="H10" t="s">
        <v>2355</v>
      </c>
      <c r="J10" t="s">
        <v>2353</v>
      </c>
      <c r="K10" t="s">
        <v>2350</v>
      </c>
      <c r="Q10" t="s">
        <v>2487</v>
      </c>
    </row>
    <row r="11" spans="1:17" x14ac:dyDescent="0.25">
      <c r="A11" t="s">
        <v>2358</v>
      </c>
      <c r="B11" t="s">
        <v>2488</v>
      </c>
      <c r="C11" t="s">
        <v>2330</v>
      </c>
      <c r="E11" t="s">
        <v>2361</v>
      </c>
      <c r="H11" t="s">
        <v>2364</v>
      </c>
      <c r="K11" t="s">
        <v>2357</v>
      </c>
      <c r="Q11" t="s">
        <v>2489</v>
      </c>
    </row>
    <row r="12" spans="1:17" x14ac:dyDescent="0.25">
      <c r="A12" t="s">
        <v>2366</v>
      </c>
      <c r="B12" t="s">
        <v>2490</v>
      </c>
      <c r="C12" t="s">
        <v>2304</v>
      </c>
      <c r="E12" t="s">
        <v>2369</v>
      </c>
      <c r="H12" t="s">
        <v>2371</v>
      </c>
      <c r="K12" t="s">
        <v>2373</v>
      </c>
      <c r="Q12" t="s">
        <v>2491</v>
      </c>
    </row>
    <row r="13" spans="1:17" x14ac:dyDescent="0.25">
      <c r="A13" t="s">
        <v>2380</v>
      </c>
      <c r="B13" t="s">
        <v>2492</v>
      </c>
      <c r="C13" t="s">
        <v>2330</v>
      </c>
      <c r="G13" t="s">
        <v>2323</v>
      </c>
      <c r="H13" t="s">
        <v>2377</v>
      </c>
      <c r="K13" t="s">
        <v>2379</v>
      </c>
      <c r="Q13" t="s">
        <v>2493</v>
      </c>
    </row>
    <row r="14" spans="1:17" x14ac:dyDescent="0.25">
      <c r="A14" t="s">
        <v>2388</v>
      </c>
      <c r="B14" t="s">
        <v>2030</v>
      </c>
      <c r="C14" t="s">
        <v>2304</v>
      </c>
      <c r="E14" t="s">
        <v>2382</v>
      </c>
      <c r="H14" t="s">
        <v>2385</v>
      </c>
      <c r="K14" t="s">
        <v>2387</v>
      </c>
      <c r="Q14" t="s">
        <v>2494</v>
      </c>
    </row>
    <row r="15" spans="1:17" x14ac:dyDescent="0.25">
      <c r="A15" t="s">
        <v>2395</v>
      </c>
      <c r="B15" t="s">
        <v>2389</v>
      </c>
      <c r="C15" t="s">
        <v>2330</v>
      </c>
      <c r="H15" t="s">
        <v>2392</v>
      </c>
      <c r="J15" t="s">
        <v>2396</v>
      </c>
      <c r="K15" t="s">
        <v>2394</v>
      </c>
      <c r="Q15" t="s">
        <v>2495</v>
      </c>
    </row>
    <row r="16" spans="1:17" x14ac:dyDescent="0.25">
      <c r="A16" t="s">
        <v>2402</v>
      </c>
      <c r="B16" t="s">
        <v>676</v>
      </c>
      <c r="C16" t="s">
        <v>2304</v>
      </c>
      <c r="E16" t="s">
        <v>2397</v>
      </c>
      <c r="G16" t="s">
        <v>2399</v>
      </c>
      <c r="H16" t="s">
        <v>2400</v>
      </c>
      <c r="J16" t="s">
        <v>2028</v>
      </c>
      <c r="K16" t="s">
        <v>2401</v>
      </c>
      <c r="Q16" t="s">
        <v>2496</v>
      </c>
    </row>
    <row r="17" spans="1:17" x14ac:dyDescent="0.25">
      <c r="A17" t="s">
        <v>2408</v>
      </c>
      <c r="B17" t="s">
        <v>2409</v>
      </c>
      <c r="C17" t="s">
        <v>2330</v>
      </c>
      <c r="F17" t="s">
        <v>2404</v>
      </c>
      <c r="H17" t="s">
        <v>2405</v>
      </c>
      <c r="J17" t="s">
        <v>2410</v>
      </c>
      <c r="K17" t="s">
        <v>2407</v>
      </c>
      <c r="Q17" t="s">
        <v>2497</v>
      </c>
    </row>
    <row r="18" spans="1:17" x14ac:dyDescent="0.25">
      <c r="A18" t="s">
        <v>2413</v>
      </c>
      <c r="B18" t="s">
        <v>2498</v>
      </c>
      <c r="C18" t="s">
        <v>2304</v>
      </c>
      <c r="E18" t="s">
        <v>2415</v>
      </c>
      <c r="H18" t="s">
        <v>2411</v>
      </c>
      <c r="J18" t="s">
        <v>2414</v>
      </c>
      <c r="K18" t="s">
        <v>2412</v>
      </c>
      <c r="Q18" t="s">
        <v>2499</v>
      </c>
    </row>
    <row r="19" spans="1:17" x14ac:dyDescent="0.25">
      <c r="A19" t="s">
        <v>2420</v>
      </c>
      <c r="B19" t="s">
        <v>2500</v>
      </c>
      <c r="C19" t="s">
        <v>2330</v>
      </c>
      <c r="E19" t="s">
        <v>2423</v>
      </c>
      <c r="H19" t="s">
        <v>2417</v>
      </c>
      <c r="J19" t="s">
        <v>2421</v>
      </c>
      <c r="K19" t="s">
        <v>2419</v>
      </c>
      <c r="Q19" t="s">
        <v>2501</v>
      </c>
    </row>
    <row r="20" spans="1:17" x14ac:dyDescent="0.25">
      <c r="A20" t="s">
        <v>2428</v>
      </c>
      <c r="B20" t="s">
        <v>2502</v>
      </c>
      <c r="C20" t="s">
        <v>2304</v>
      </c>
      <c r="G20" t="s">
        <v>2280</v>
      </c>
      <c r="H20" t="s">
        <v>2432</v>
      </c>
      <c r="J20" t="s">
        <v>2455</v>
      </c>
      <c r="K20" t="s">
        <v>2427</v>
      </c>
      <c r="Q20" t="s">
        <v>2503</v>
      </c>
    </row>
    <row r="21" spans="1:17" x14ac:dyDescent="0.25">
      <c r="A21" t="s">
        <v>2435</v>
      </c>
      <c r="B21" t="s">
        <v>2457</v>
      </c>
      <c r="C21" t="s">
        <v>2330</v>
      </c>
      <c r="G21" t="s">
        <v>2297</v>
      </c>
      <c r="H21" t="s">
        <v>2439</v>
      </c>
      <c r="J21" t="s">
        <v>2436</v>
      </c>
      <c r="K21" t="s">
        <v>2434</v>
      </c>
      <c r="Q21" t="s">
        <v>2504</v>
      </c>
    </row>
  </sheetData>
  <autoFilter ref="A1:Q1" xr:uid="{C6F4AEC9-827F-4E9B-9209-06A090D0C367}"/>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866EB-9CB2-4E0A-AF67-C1D4DB004C98}">
  <sheetPr codeName="Sheet28"/>
  <dimension ref="A1:L21"/>
  <sheetViews>
    <sheetView workbookViewId="0">
      <selection activeCell="B6" sqref="B6"/>
    </sheetView>
  </sheetViews>
  <sheetFormatPr defaultRowHeight="15" x14ac:dyDescent="0.25"/>
  <cols>
    <col min="1" max="1" width="22" bestFit="1" customWidth="1"/>
    <col min="2" max="3" width="23.85546875" bestFit="1" customWidth="1"/>
    <col min="4" max="4" width="22.7109375" bestFit="1" customWidth="1"/>
    <col min="5" max="5" width="25.140625" bestFit="1" customWidth="1"/>
    <col min="6" max="6" width="21.7109375" bestFit="1" customWidth="1"/>
    <col min="7" max="7" width="23.28515625" bestFit="1" customWidth="1"/>
    <col min="8" max="8" width="21.42578125" bestFit="1" customWidth="1"/>
    <col min="9" max="9" width="22.5703125" bestFit="1" customWidth="1"/>
    <col min="10" max="10" width="22.7109375" bestFit="1" customWidth="1"/>
    <col min="11" max="11" width="14.7109375" bestFit="1" customWidth="1"/>
    <col min="12" max="12" width="21.85546875" bestFit="1" customWidth="1"/>
  </cols>
  <sheetData>
    <row r="1" spans="1:12" x14ac:dyDescent="0.25">
      <c r="A1" s="21" t="s">
        <v>1378</v>
      </c>
      <c r="B1" s="21" t="s">
        <v>48</v>
      </c>
      <c r="C1" s="21" t="s">
        <v>552</v>
      </c>
      <c r="D1" s="21" t="s">
        <v>1379</v>
      </c>
      <c r="E1" s="21" t="s">
        <v>49</v>
      </c>
      <c r="F1" s="21" t="s">
        <v>50</v>
      </c>
      <c r="G1" s="21" t="s">
        <v>51</v>
      </c>
      <c r="H1" s="21" t="s">
        <v>1299</v>
      </c>
      <c r="I1" s="21" t="s">
        <v>52</v>
      </c>
      <c r="J1" s="21" t="s">
        <v>53</v>
      </c>
      <c r="K1" s="21" t="s">
        <v>54</v>
      </c>
      <c r="L1" s="229" t="s">
        <v>1203</v>
      </c>
    </row>
    <row r="2" spans="1:12" x14ac:dyDescent="0.25">
      <c r="A2" t="s">
        <v>2276</v>
      </c>
      <c r="B2" t="s">
        <v>2277</v>
      </c>
      <c r="C2">
        <v>29</v>
      </c>
      <c r="D2" t="s">
        <v>2278</v>
      </c>
      <c r="E2" t="s">
        <v>2279</v>
      </c>
      <c r="F2" t="s">
        <v>2280</v>
      </c>
      <c r="G2" t="s">
        <v>2281</v>
      </c>
      <c r="H2" t="s">
        <v>2282</v>
      </c>
      <c r="I2" t="s">
        <v>2283</v>
      </c>
      <c r="J2" t="s">
        <v>2284</v>
      </c>
      <c r="K2">
        <v>25</v>
      </c>
      <c r="L2" t="s">
        <v>2285</v>
      </c>
    </row>
    <row r="3" spans="1:12" x14ac:dyDescent="0.25">
      <c r="A3" t="s">
        <v>2286</v>
      </c>
      <c r="B3">
        <v>31</v>
      </c>
      <c r="C3" t="s">
        <v>2287</v>
      </c>
      <c r="D3" t="s">
        <v>2288</v>
      </c>
      <c r="E3" t="s">
        <v>2289</v>
      </c>
      <c r="F3" t="s">
        <v>2290</v>
      </c>
      <c r="G3" t="s">
        <v>232</v>
      </c>
      <c r="H3" t="s">
        <v>2291</v>
      </c>
      <c r="I3" t="s">
        <v>2292</v>
      </c>
      <c r="J3">
        <v>1200</v>
      </c>
      <c r="K3" t="s">
        <v>2293</v>
      </c>
      <c r="L3" t="s">
        <v>2294</v>
      </c>
    </row>
    <row r="4" spans="1:12" x14ac:dyDescent="0.25">
      <c r="A4">
        <v>42</v>
      </c>
      <c r="B4" t="s">
        <v>2295</v>
      </c>
      <c r="C4" t="s">
        <v>2296</v>
      </c>
      <c r="D4" t="s">
        <v>2297</v>
      </c>
      <c r="E4" t="s">
        <v>2298</v>
      </c>
      <c r="F4" t="s">
        <v>2299</v>
      </c>
      <c r="G4" t="s">
        <v>2300</v>
      </c>
      <c r="H4" t="s">
        <v>2301</v>
      </c>
      <c r="I4">
        <v>49.99</v>
      </c>
      <c r="J4" t="s">
        <v>2302</v>
      </c>
      <c r="K4" t="s">
        <v>2303</v>
      </c>
      <c r="L4" t="s">
        <v>2304</v>
      </c>
    </row>
    <row r="5" spans="1:12" x14ac:dyDescent="0.25">
      <c r="A5" t="s">
        <v>2305</v>
      </c>
      <c r="B5" t="s">
        <v>2306</v>
      </c>
      <c r="C5" t="s">
        <v>2307</v>
      </c>
      <c r="D5" t="s">
        <v>2308</v>
      </c>
      <c r="E5" t="s">
        <v>2309</v>
      </c>
      <c r="F5" t="s">
        <v>2310</v>
      </c>
      <c r="G5" t="s">
        <v>2311</v>
      </c>
      <c r="H5">
        <v>89.5</v>
      </c>
      <c r="I5" t="s">
        <v>750</v>
      </c>
      <c r="J5" t="s">
        <v>2312</v>
      </c>
      <c r="K5" t="s">
        <v>2056</v>
      </c>
      <c r="L5">
        <v>27</v>
      </c>
    </row>
    <row r="6" spans="1:12" x14ac:dyDescent="0.25">
      <c r="A6" t="s">
        <v>2313</v>
      </c>
      <c r="B6" t="s">
        <v>2314</v>
      </c>
      <c r="C6" t="s">
        <v>2315</v>
      </c>
      <c r="D6" t="s">
        <v>2316</v>
      </c>
      <c r="E6" t="s">
        <v>2317</v>
      </c>
      <c r="F6" t="s">
        <v>2318</v>
      </c>
      <c r="G6">
        <v>5</v>
      </c>
      <c r="H6" t="s">
        <v>2319</v>
      </c>
      <c r="I6" t="s">
        <v>2320</v>
      </c>
      <c r="J6" t="s">
        <v>2321</v>
      </c>
      <c r="K6">
        <v>35</v>
      </c>
      <c r="L6" t="s">
        <v>2322</v>
      </c>
    </row>
    <row r="7" spans="1:12" x14ac:dyDescent="0.25">
      <c r="A7" t="s">
        <v>2323</v>
      </c>
      <c r="B7" t="s">
        <v>2324</v>
      </c>
      <c r="C7" t="s">
        <v>2325</v>
      </c>
      <c r="D7" t="s">
        <v>2326</v>
      </c>
      <c r="E7" t="s">
        <v>2327</v>
      </c>
      <c r="F7">
        <v>12</v>
      </c>
      <c r="G7" t="s">
        <v>2328</v>
      </c>
      <c r="H7" t="s">
        <v>2329</v>
      </c>
      <c r="I7" t="s">
        <v>2330</v>
      </c>
      <c r="J7">
        <v>24</v>
      </c>
      <c r="K7" t="s">
        <v>2331</v>
      </c>
      <c r="L7" t="s">
        <v>2332</v>
      </c>
    </row>
    <row r="8" spans="1:12" x14ac:dyDescent="0.25">
      <c r="A8" t="s">
        <v>2333</v>
      </c>
      <c r="B8" t="s">
        <v>2334</v>
      </c>
      <c r="C8" t="s">
        <v>2335</v>
      </c>
      <c r="D8" t="s">
        <v>2336</v>
      </c>
      <c r="E8">
        <v>15</v>
      </c>
      <c r="F8" t="s">
        <v>2337</v>
      </c>
      <c r="G8" t="s">
        <v>2338</v>
      </c>
      <c r="H8" t="s">
        <v>2277</v>
      </c>
      <c r="I8">
        <v>39</v>
      </c>
      <c r="J8" t="s">
        <v>2339</v>
      </c>
      <c r="K8" t="s">
        <v>2340</v>
      </c>
      <c r="L8" t="s">
        <v>118</v>
      </c>
    </row>
    <row r="9" spans="1:12" x14ac:dyDescent="0.25">
      <c r="A9" t="s">
        <v>657</v>
      </c>
      <c r="B9" t="s">
        <v>2341</v>
      </c>
      <c r="C9" t="s">
        <v>2342</v>
      </c>
      <c r="D9">
        <v>799</v>
      </c>
      <c r="E9" t="s">
        <v>2343</v>
      </c>
      <c r="F9" t="s">
        <v>2344</v>
      </c>
      <c r="G9" t="s">
        <v>2345</v>
      </c>
      <c r="H9">
        <v>22</v>
      </c>
      <c r="I9" t="s">
        <v>2346</v>
      </c>
      <c r="J9" t="s">
        <v>2347</v>
      </c>
      <c r="K9" t="s">
        <v>2280</v>
      </c>
      <c r="L9" t="s">
        <v>2348</v>
      </c>
    </row>
    <row r="10" spans="1:12" x14ac:dyDescent="0.25">
      <c r="A10" t="s">
        <v>2349</v>
      </c>
      <c r="B10" t="s">
        <v>2350</v>
      </c>
      <c r="C10">
        <v>3490</v>
      </c>
      <c r="D10" t="s">
        <v>2351</v>
      </c>
      <c r="E10" t="s">
        <v>2352</v>
      </c>
      <c r="F10" t="s">
        <v>2304</v>
      </c>
      <c r="G10">
        <v>44</v>
      </c>
      <c r="H10" t="s">
        <v>58</v>
      </c>
      <c r="I10" t="s">
        <v>2353</v>
      </c>
      <c r="J10" t="s">
        <v>2354</v>
      </c>
      <c r="K10" t="s">
        <v>2355</v>
      </c>
      <c r="L10" t="s">
        <v>2356</v>
      </c>
    </row>
    <row r="11" spans="1:12" x14ac:dyDescent="0.25">
      <c r="A11" t="s">
        <v>2357</v>
      </c>
      <c r="B11">
        <v>499</v>
      </c>
      <c r="C11" t="s">
        <v>2358</v>
      </c>
      <c r="D11" t="s">
        <v>2359</v>
      </c>
      <c r="E11" t="s">
        <v>2360</v>
      </c>
      <c r="F11">
        <v>33</v>
      </c>
      <c r="G11" t="s">
        <v>2361</v>
      </c>
      <c r="H11" t="s">
        <v>2362</v>
      </c>
      <c r="I11" t="s">
        <v>2363</v>
      </c>
      <c r="J11" t="s">
        <v>2364</v>
      </c>
      <c r="K11" t="s">
        <v>2365</v>
      </c>
      <c r="L11" t="s">
        <v>1236</v>
      </c>
    </row>
    <row r="12" spans="1:12" x14ac:dyDescent="0.25">
      <c r="A12">
        <v>450</v>
      </c>
      <c r="B12" t="s">
        <v>2366</v>
      </c>
      <c r="C12" t="s">
        <v>2367</v>
      </c>
      <c r="D12" t="s">
        <v>2368</v>
      </c>
      <c r="E12">
        <v>51</v>
      </c>
      <c r="F12" t="s">
        <v>2369</v>
      </c>
      <c r="G12" t="s">
        <v>1211</v>
      </c>
      <c r="H12" t="s">
        <v>2370</v>
      </c>
      <c r="I12" t="s">
        <v>2371</v>
      </c>
      <c r="J12" t="s">
        <v>2372</v>
      </c>
      <c r="K12" t="s">
        <v>75</v>
      </c>
      <c r="L12" t="s">
        <v>2373</v>
      </c>
    </row>
    <row r="13" spans="1:12" x14ac:dyDescent="0.25">
      <c r="A13" t="s">
        <v>2374</v>
      </c>
      <c r="B13" t="s">
        <v>1099</v>
      </c>
      <c r="C13">
        <v>26</v>
      </c>
      <c r="D13" t="s">
        <v>2375</v>
      </c>
      <c r="E13" t="s">
        <v>2376</v>
      </c>
      <c r="F13" t="s">
        <v>2323</v>
      </c>
      <c r="G13" t="s">
        <v>2377</v>
      </c>
      <c r="H13" t="s">
        <v>2378</v>
      </c>
      <c r="I13" t="s">
        <v>1231</v>
      </c>
      <c r="J13" t="s">
        <v>2379</v>
      </c>
      <c r="K13">
        <v>380</v>
      </c>
      <c r="L13" t="s">
        <v>2380</v>
      </c>
    </row>
    <row r="14" spans="1:12" x14ac:dyDescent="0.25">
      <c r="A14" t="s">
        <v>2381</v>
      </c>
      <c r="B14">
        <v>37</v>
      </c>
      <c r="C14" t="s">
        <v>2382</v>
      </c>
      <c r="D14" t="s">
        <v>2383</v>
      </c>
      <c r="E14" t="s">
        <v>2384</v>
      </c>
      <c r="F14" t="s">
        <v>2385</v>
      </c>
      <c r="G14" t="s">
        <v>80</v>
      </c>
      <c r="H14" t="s">
        <v>2386</v>
      </c>
      <c r="I14" t="s">
        <v>2387</v>
      </c>
      <c r="J14">
        <v>74990</v>
      </c>
      <c r="K14" t="s">
        <v>2388</v>
      </c>
      <c r="L14" t="s">
        <v>2030</v>
      </c>
    </row>
    <row r="15" spans="1:12" x14ac:dyDescent="0.25">
      <c r="A15">
        <v>29</v>
      </c>
      <c r="B15" t="s">
        <v>2389</v>
      </c>
      <c r="C15" t="s">
        <v>2390</v>
      </c>
      <c r="D15" t="s">
        <v>2391</v>
      </c>
      <c r="E15" t="s">
        <v>2392</v>
      </c>
      <c r="F15" t="s">
        <v>2393</v>
      </c>
      <c r="G15" t="s">
        <v>1216</v>
      </c>
      <c r="H15" t="s">
        <v>2394</v>
      </c>
      <c r="I15">
        <v>240</v>
      </c>
      <c r="J15" t="s">
        <v>2395</v>
      </c>
      <c r="K15" t="s">
        <v>2396</v>
      </c>
      <c r="L15" t="s">
        <v>2056</v>
      </c>
    </row>
    <row r="16" spans="1:12" x14ac:dyDescent="0.25">
      <c r="A16" t="s">
        <v>2397</v>
      </c>
      <c r="B16" t="s">
        <v>2398</v>
      </c>
      <c r="C16" t="s">
        <v>2399</v>
      </c>
      <c r="D16" t="s">
        <v>2400</v>
      </c>
      <c r="E16" t="s">
        <v>113</v>
      </c>
      <c r="F16" t="s">
        <v>1221</v>
      </c>
      <c r="G16" t="s">
        <v>2401</v>
      </c>
      <c r="H16">
        <v>350</v>
      </c>
      <c r="I16" t="s">
        <v>2402</v>
      </c>
      <c r="J16" t="s">
        <v>2403</v>
      </c>
      <c r="K16" t="s">
        <v>2277</v>
      </c>
      <c r="L16">
        <v>41</v>
      </c>
    </row>
    <row r="17" spans="1:12" x14ac:dyDescent="0.25">
      <c r="A17" t="s">
        <v>2404</v>
      </c>
      <c r="B17" t="s">
        <v>2354</v>
      </c>
      <c r="C17" t="s">
        <v>2405</v>
      </c>
      <c r="D17" t="s">
        <v>2406</v>
      </c>
      <c r="E17" t="s">
        <v>79</v>
      </c>
      <c r="F17" t="s">
        <v>2407</v>
      </c>
      <c r="G17">
        <v>1890</v>
      </c>
      <c r="H17" t="s">
        <v>2408</v>
      </c>
      <c r="I17" t="s">
        <v>2409</v>
      </c>
      <c r="J17" t="s">
        <v>1099</v>
      </c>
      <c r="K17">
        <v>23</v>
      </c>
      <c r="L17" t="s">
        <v>2410</v>
      </c>
    </row>
    <row r="18" spans="1:12" x14ac:dyDescent="0.25">
      <c r="A18" t="s">
        <v>2363</v>
      </c>
      <c r="B18" t="s">
        <v>2411</v>
      </c>
      <c r="C18" t="s">
        <v>167</v>
      </c>
      <c r="D18" t="s">
        <v>168</v>
      </c>
      <c r="E18" t="s">
        <v>2412</v>
      </c>
      <c r="F18">
        <v>1299</v>
      </c>
      <c r="G18" t="s">
        <v>2413</v>
      </c>
      <c r="H18" t="s">
        <v>2414</v>
      </c>
      <c r="I18" t="s">
        <v>2321</v>
      </c>
      <c r="J18">
        <v>48</v>
      </c>
      <c r="K18" t="s">
        <v>2415</v>
      </c>
      <c r="L18" t="s">
        <v>2416</v>
      </c>
    </row>
    <row r="19" spans="1:12" x14ac:dyDescent="0.25">
      <c r="A19" t="s">
        <v>2417</v>
      </c>
      <c r="B19" t="s">
        <v>1376</v>
      </c>
      <c r="C19" t="s">
        <v>2418</v>
      </c>
      <c r="D19" t="s">
        <v>2419</v>
      </c>
      <c r="E19">
        <v>2200</v>
      </c>
      <c r="F19" t="s">
        <v>2420</v>
      </c>
      <c r="G19" t="s">
        <v>2421</v>
      </c>
      <c r="H19" t="s">
        <v>2422</v>
      </c>
      <c r="I19">
        <v>34</v>
      </c>
      <c r="J19" t="s">
        <v>2423</v>
      </c>
      <c r="K19" t="s">
        <v>2424</v>
      </c>
      <c r="L19" t="s">
        <v>2425</v>
      </c>
    </row>
    <row r="20" spans="1:12" x14ac:dyDescent="0.25">
      <c r="A20" t="s">
        <v>2426</v>
      </c>
      <c r="B20" t="s">
        <v>2317</v>
      </c>
      <c r="C20" t="s">
        <v>2427</v>
      </c>
      <c r="D20">
        <v>18.5</v>
      </c>
      <c r="E20" t="s">
        <v>2428</v>
      </c>
      <c r="F20" t="s">
        <v>2429</v>
      </c>
      <c r="G20" t="s">
        <v>2277</v>
      </c>
      <c r="H20">
        <v>21</v>
      </c>
      <c r="I20" t="s">
        <v>2430</v>
      </c>
      <c r="J20" t="s">
        <v>2431</v>
      </c>
      <c r="K20" t="s">
        <v>2280</v>
      </c>
      <c r="L20" t="s">
        <v>2432</v>
      </c>
    </row>
    <row r="21" spans="1:12" x14ac:dyDescent="0.25">
      <c r="A21" t="s">
        <v>2433</v>
      </c>
      <c r="B21" t="s">
        <v>2434</v>
      </c>
      <c r="C21">
        <v>45</v>
      </c>
      <c r="D21" t="s">
        <v>2435</v>
      </c>
      <c r="E21" t="s">
        <v>2436</v>
      </c>
      <c r="F21" t="s">
        <v>2345</v>
      </c>
      <c r="G21">
        <v>30</v>
      </c>
      <c r="H21" t="s">
        <v>2437</v>
      </c>
      <c r="I21" t="s">
        <v>2438</v>
      </c>
      <c r="J21" t="s">
        <v>2297</v>
      </c>
      <c r="K21" t="s">
        <v>2439</v>
      </c>
      <c r="L21" t="s">
        <v>2440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DF8C3-E5F5-42D8-8848-64A12D0356DF}">
  <dimension ref="A1:C90"/>
  <sheetViews>
    <sheetView workbookViewId="0"/>
  </sheetViews>
  <sheetFormatPr defaultRowHeight="15" x14ac:dyDescent="0.25"/>
  <cols>
    <col min="1" max="1" width="9.5703125" bestFit="1" customWidth="1"/>
    <col min="2" max="2" width="9.42578125" bestFit="1" customWidth="1"/>
    <col min="3" max="3" width="20.7109375" bestFit="1" customWidth="1"/>
  </cols>
  <sheetData>
    <row r="1" spans="1:3" x14ac:dyDescent="0.25">
      <c r="A1" s="353" t="s">
        <v>2513</v>
      </c>
      <c r="B1" s="353" t="s">
        <v>552</v>
      </c>
      <c r="C1" s="353" t="s">
        <v>2514</v>
      </c>
    </row>
    <row r="2" spans="1:3" x14ac:dyDescent="0.25">
      <c r="A2" t="s">
        <v>364</v>
      </c>
      <c r="B2" t="s">
        <v>2304</v>
      </c>
      <c r="C2" t="s">
        <v>2515</v>
      </c>
    </row>
    <row r="3" spans="1:3" x14ac:dyDescent="0.25">
      <c r="A3" t="s">
        <v>1247</v>
      </c>
      <c r="B3" t="s">
        <v>2330</v>
      </c>
      <c r="C3" t="s">
        <v>2516</v>
      </c>
    </row>
    <row r="4" spans="1:3" x14ac:dyDescent="0.25">
      <c r="A4" t="s">
        <v>396</v>
      </c>
      <c r="B4" t="s">
        <v>2304</v>
      </c>
      <c r="C4" t="s">
        <v>2515</v>
      </c>
    </row>
    <row r="5" spans="1:3" x14ac:dyDescent="0.25">
      <c r="A5" t="s">
        <v>389</v>
      </c>
      <c r="B5" t="s">
        <v>2304</v>
      </c>
      <c r="C5" t="s">
        <v>2515</v>
      </c>
    </row>
    <row r="6" spans="1:3" x14ac:dyDescent="0.25">
      <c r="A6" t="s">
        <v>366</v>
      </c>
      <c r="B6" t="s">
        <v>2304</v>
      </c>
      <c r="C6" t="s">
        <v>2515</v>
      </c>
    </row>
    <row r="7" spans="1:3" x14ac:dyDescent="0.25">
      <c r="A7" t="s">
        <v>379</v>
      </c>
      <c r="B7" t="s">
        <v>2304</v>
      </c>
      <c r="C7" t="s">
        <v>2515</v>
      </c>
    </row>
    <row r="8" spans="1:3" x14ac:dyDescent="0.25">
      <c r="A8" t="s">
        <v>1548</v>
      </c>
      <c r="B8" t="s">
        <v>2330</v>
      </c>
      <c r="C8" t="s">
        <v>2516</v>
      </c>
    </row>
    <row r="9" spans="1:3" x14ac:dyDescent="0.25">
      <c r="A9" t="s">
        <v>1733</v>
      </c>
      <c r="B9" t="s">
        <v>2304</v>
      </c>
      <c r="C9" t="s">
        <v>2515</v>
      </c>
    </row>
    <row r="10" spans="1:3" x14ac:dyDescent="0.25">
      <c r="A10" t="s">
        <v>2517</v>
      </c>
      <c r="B10" t="s">
        <v>2304</v>
      </c>
      <c r="C10" t="s">
        <v>2515</v>
      </c>
    </row>
    <row r="11" spans="1:3" x14ac:dyDescent="0.25">
      <c r="A11" t="s">
        <v>120</v>
      </c>
      <c r="B11" t="s">
        <v>2304</v>
      </c>
      <c r="C11" t="s">
        <v>2515</v>
      </c>
    </row>
    <row r="12" spans="1:3" x14ac:dyDescent="0.25">
      <c r="A12" t="s">
        <v>1214</v>
      </c>
      <c r="B12" t="s">
        <v>2330</v>
      </c>
      <c r="C12" t="s">
        <v>2516</v>
      </c>
    </row>
    <row r="13" spans="1:3" x14ac:dyDescent="0.25">
      <c r="A13" t="s">
        <v>374</v>
      </c>
      <c r="B13" t="s">
        <v>2304</v>
      </c>
      <c r="C13" t="s">
        <v>2515</v>
      </c>
    </row>
    <row r="14" spans="1:3" x14ac:dyDescent="0.25">
      <c r="A14" t="s">
        <v>258</v>
      </c>
      <c r="B14" t="s">
        <v>2304</v>
      </c>
      <c r="C14" t="s">
        <v>2515</v>
      </c>
    </row>
    <row r="15" spans="1:3" x14ac:dyDescent="0.25">
      <c r="A15" t="s">
        <v>336</v>
      </c>
      <c r="B15" t="s">
        <v>2304</v>
      </c>
      <c r="C15" t="s">
        <v>2515</v>
      </c>
    </row>
    <row r="16" spans="1:3" x14ac:dyDescent="0.25">
      <c r="A16" t="s">
        <v>385</v>
      </c>
      <c r="B16" t="s">
        <v>2304</v>
      </c>
      <c r="C16" t="s">
        <v>2515</v>
      </c>
    </row>
    <row r="17" spans="1:3" x14ac:dyDescent="0.25">
      <c r="A17" t="s">
        <v>1254</v>
      </c>
      <c r="B17" t="s">
        <v>2330</v>
      </c>
      <c r="C17" t="s">
        <v>2516</v>
      </c>
    </row>
    <row r="18" spans="1:3" x14ac:dyDescent="0.25">
      <c r="A18" t="s">
        <v>131</v>
      </c>
      <c r="B18" t="s">
        <v>2304</v>
      </c>
      <c r="C18" t="s">
        <v>2515</v>
      </c>
    </row>
    <row r="19" spans="1:3" x14ac:dyDescent="0.25">
      <c r="A19" t="s">
        <v>1251</v>
      </c>
      <c r="B19" t="s">
        <v>2330</v>
      </c>
      <c r="C19" t="s">
        <v>2516</v>
      </c>
    </row>
    <row r="20" spans="1:3" x14ac:dyDescent="0.25">
      <c r="A20" t="s">
        <v>391</v>
      </c>
      <c r="B20" t="s">
        <v>2304</v>
      </c>
      <c r="C20" t="s">
        <v>2515</v>
      </c>
    </row>
    <row r="21" spans="1:3" x14ac:dyDescent="0.25">
      <c r="A21" t="s">
        <v>1712</v>
      </c>
      <c r="B21" t="s">
        <v>2304</v>
      </c>
      <c r="C21" t="s">
        <v>2515</v>
      </c>
    </row>
    <row r="22" spans="1:3" x14ac:dyDescent="0.25">
      <c r="A22" t="s">
        <v>313</v>
      </c>
      <c r="B22" t="s">
        <v>2304</v>
      </c>
      <c r="C22" t="s">
        <v>2515</v>
      </c>
    </row>
    <row r="23" spans="1:3" x14ac:dyDescent="0.25">
      <c r="A23" t="s">
        <v>398</v>
      </c>
      <c r="B23" t="s">
        <v>2304</v>
      </c>
      <c r="C23" t="s">
        <v>2515</v>
      </c>
    </row>
    <row r="24" spans="1:3" x14ac:dyDescent="0.25">
      <c r="A24" t="s">
        <v>1312</v>
      </c>
      <c r="B24" t="s">
        <v>2330</v>
      </c>
      <c r="C24" t="s">
        <v>2516</v>
      </c>
    </row>
    <row r="25" spans="1:3" x14ac:dyDescent="0.25">
      <c r="A25" t="s">
        <v>1284</v>
      </c>
      <c r="B25" t="s">
        <v>2330</v>
      </c>
      <c r="C25" t="s">
        <v>2516</v>
      </c>
    </row>
    <row r="26" spans="1:3" x14ac:dyDescent="0.25">
      <c r="A26" t="s">
        <v>1547</v>
      </c>
      <c r="B26" t="s">
        <v>2330</v>
      </c>
      <c r="C26" t="s">
        <v>2516</v>
      </c>
    </row>
    <row r="27" spans="1:3" x14ac:dyDescent="0.25">
      <c r="A27" t="s">
        <v>233</v>
      </c>
      <c r="B27" t="s">
        <v>2304</v>
      </c>
      <c r="C27" t="s">
        <v>2515</v>
      </c>
    </row>
    <row r="28" spans="1:3" x14ac:dyDescent="0.25">
      <c r="A28" t="s">
        <v>1345</v>
      </c>
      <c r="B28" t="s">
        <v>2330</v>
      </c>
      <c r="C28" t="s">
        <v>2516</v>
      </c>
    </row>
    <row r="29" spans="1:3" x14ac:dyDescent="0.25">
      <c r="A29" t="s">
        <v>1233</v>
      </c>
      <c r="B29" t="s">
        <v>2330</v>
      </c>
      <c r="C29" t="s">
        <v>2516</v>
      </c>
    </row>
    <row r="30" spans="1:3" x14ac:dyDescent="0.25">
      <c r="A30" t="s">
        <v>1306</v>
      </c>
      <c r="B30" t="s">
        <v>2518</v>
      </c>
      <c r="C30" t="s">
        <v>2519</v>
      </c>
    </row>
    <row r="31" spans="1:3" x14ac:dyDescent="0.25">
      <c r="A31" t="s">
        <v>554</v>
      </c>
      <c r="B31" t="s">
        <v>2330</v>
      </c>
      <c r="C31" t="s">
        <v>2516</v>
      </c>
    </row>
    <row r="32" spans="1:3" x14ac:dyDescent="0.25">
      <c r="A32" t="s">
        <v>1722</v>
      </c>
      <c r="B32" t="s">
        <v>2330</v>
      </c>
      <c r="C32" t="s">
        <v>2516</v>
      </c>
    </row>
    <row r="33" spans="1:3" x14ac:dyDescent="0.25">
      <c r="A33" t="s">
        <v>186</v>
      </c>
      <c r="B33" t="s">
        <v>2304</v>
      </c>
      <c r="C33" t="s">
        <v>2515</v>
      </c>
    </row>
    <row r="34" spans="1:3" x14ac:dyDescent="0.25">
      <c r="A34" t="s">
        <v>221</v>
      </c>
      <c r="B34" t="s">
        <v>2304</v>
      </c>
      <c r="C34" t="s">
        <v>2515</v>
      </c>
    </row>
    <row r="35" spans="1:3" x14ac:dyDescent="0.25">
      <c r="A35" t="s">
        <v>382</v>
      </c>
      <c r="B35" t="s">
        <v>2304</v>
      </c>
      <c r="C35" t="s">
        <v>2515</v>
      </c>
    </row>
    <row r="36" spans="1:3" x14ac:dyDescent="0.25">
      <c r="A36" t="s">
        <v>1729</v>
      </c>
      <c r="B36" t="s">
        <v>2330</v>
      </c>
      <c r="C36" t="s">
        <v>2516</v>
      </c>
    </row>
    <row r="37" spans="1:3" x14ac:dyDescent="0.25">
      <c r="A37" t="s">
        <v>1279</v>
      </c>
      <c r="B37" t="s">
        <v>2330</v>
      </c>
      <c r="C37" t="s">
        <v>2516</v>
      </c>
    </row>
    <row r="38" spans="1:3" x14ac:dyDescent="0.25">
      <c r="A38" t="s">
        <v>1629</v>
      </c>
      <c r="B38" t="s">
        <v>2330</v>
      </c>
      <c r="C38" t="s">
        <v>2516</v>
      </c>
    </row>
    <row r="39" spans="1:3" x14ac:dyDescent="0.25">
      <c r="A39" t="s">
        <v>1319</v>
      </c>
      <c r="B39" t="s">
        <v>2304</v>
      </c>
      <c r="C39" t="s">
        <v>2515</v>
      </c>
    </row>
    <row r="40" spans="1:3" x14ac:dyDescent="0.25">
      <c r="A40" t="s">
        <v>397</v>
      </c>
      <c r="B40" t="s">
        <v>2304</v>
      </c>
      <c r="C40" t="s">
        <v>2515</v>
      </c>
    </row>
    <row r="41" spans="1:3" x14ac:dyDescent="0.25">
      <c r="A41" t="s">
        <v>1289</v>
      </c>
      <c r="B41" t="s">
        <v>2330</v>
      </c>
      <c r="C41" t="s">
        <v>2516</v>
      </c>
    </row>
    <row r="42" spans="1:3" x14ac:dyDescent="0.25">
      <c r="A42" t="s">
        <v>390</v>
      </c>
      <c r="B42" t="s">
        <v>2304</v>
      </c>
      <c r="C42" t="s">
        <v>2515</v>
      </c>
    </row>
    <row r="43" spans="1:3" x14ac:dyDescent="0.25">
      <c r="A43" t="s">
        <v>1241</v>
      </c>
      <c r="B43" t="s">
        <v>2330</v>
      </c>
      <c r="C43" t="s">
        <v>2516</v>
      </c>
    </row>
    <row r="44" spans="1:3" x14ac:dyDescent="0.25">
      <c r="A44" t="s">
        <v>1209</v>
      </c>
      <c r="B44" t="s">
        <v>2330</v>
      </c>
      <c r="C44" t="s">
        <v>2516</v>
      </c>
    </row>
    <row r="45" spans="1:3" x14ac:dyDescent="0.25">
      <c r="A45" t="s">
        <v>1752</v>
      </c>
      <c r="B45" t="s">
        <v>2330</v>
      </c>
      <c r="C45" t="s">
        <v>2516</v>
      </c>
    </row>
    <row r="46" spans="1:3" x14ac:dyDescent="0.25">
      <c r="A46" t="s">
        <v>395</v>
      </c>
      <c r="B46" t="s">
        <v>2304</v>
      </c>
      <c r="C46" t="s">
        <v>2515</v>
      </c>
    </row>
    <row r="47" spans="1:3" x14ac:dyDescent="0.25">
      <c r="A47" t="s">
        <v>1243</v>
      </c>
      <c r="B47" t="s">
        <v>2330</v>
      </c>
      <c r="C47" t="s">
        <v>2516</v>
      </c>
    </row>
    <row r="48" spans="1:3" x14ac:dyDescent="0.25">
      <c r="A48" t="s">
        <v>376</v>
      </c>
      <c r="B48" t="s">
        <v>2304</v>
      </c>
      <c r="C48" t="s">
        <v>2515</v>
      </c>
    </row>
    <row r="49" spans="1:3" x14ac:dyDescent="0.25">
      <c r="A49" t="s">
        <v>383</v>
      </c>
      <c r="B49" t="s">
        <v>2304</v>
      </c>
      <c r="C49" t="s">
        <v>2515</v>
      </c>
    </row>
    <row r="50" spans="1:3" x14ac:dyDescent="0.25">
      <c r="A50" t="s">
        <v>1216</v>
      </c>
      <c r="B50" t="s">
        <v>2330</v>
      </c>
      <c r="C50" t="s">
        <v>2516</v>
      </c>
    </row>
    <row r="51" spans="1:3" x14ac:dyDescent="0.25">
      <c r="A51" t="s">
        <v>1223</v>
      </c>
      <c r="B51" t="s">
        <v>2330</v>
      </c>
      <c r="C51" t="s">
        <v>2516</v>
      </c>
    </row>
    <row r="52" spans="1:3" x14ac:dyDescent="0.25">
      <c r="A52" t="s">
        <v>73</v>
      </c>
      <c r="B52" t="s">
        <v>2304</v>
      </c>
      <c r="C52" t="s">
        <v>2515</v>
      </c>
    </row>
    <row r="53" spans="1:3" x14ac:dyDescent="0.25">
      <c r="A53" t="s">
        <v>1294</v>
      </c>
      <c r="B53" t="s">
        <v>2330</v>
      </c>
      <c r="C53" t="s">
        <v>2516</v>
      </c>
    </row>
    <row r="54" spans="1:3" x14ac:dyDescent="0.25">
      <c r="A54" t="s">
        <v>1204</v>
      </c>
      <c r="B54" t="s">
        <v>2330</v>
      </c>
      <c r="C54" t="s">
        <v>2516</v>
      </c>
    </row>
    <row r="55" spans="1:3" x14ac:dyDescent="0.25">
      <c r="A55" t="s">
        <v>227</v>
      </c>
      <c r="B55" t="s">
        <v>2304</v>
      </c>
      <c r="C55" t="s">
        <v>2515</v>
      </c>
    </row>
    <row r="56" spans="1:3" x14ac:dyDescent="0.25">
      <c r="A56" t="s">
        <v>1748</v>
      </c>
      <c r="B56" t="s">
        <v>2304</v>
      </c>
      <c r="C56" t="s">
        <v>2515</v>
      </c>
    </row>
    <row r="57" spans="1:3" x14ac:dyDescent="0.25">
      <c r="A57" t="s">
        <v>375</v>
      </c>
      <c r="B57" t="s">
        <v>2304</v>
      </c>
      <c r="C57" t="s">
        <v>2515</v>
      </c>
    </row>
    <row r="58" spans="1:3" x14ac:dyDescent="0.25">
      <c r="A58" t="s">
        <v>193</v>
      </c>
      <c r="B58" t="s">
        <v>2304</v>
      </c>
      <c r="C58" t="s">
        <v>2515</v>
      </c>
    </row>
    <row r="59" spans="1:3" x14ac:dyDescent="0.25">
      <c r="A59" t="s">
        <v>378</v>
      </c>
      <c r="B59" t="s">
        <v>2304</v>
      </c>
      <c r="C59" t="s">
        <v>2515</v>
      </c>
    </row>
    <row r="60" spans="1:3" x14ac:dyDescent="0.25">
      <c r="A60" t="s">
        <v>1737</v>
      </c>
      <c r="B60" t="s">
        <v>2330</v>
      </c>
      <c r="C60" t="s">
        <v>2516</v>
      </c>
    </row>
    <row r="61" spans="1:3" x14ac:dyDescent="0.25">
      <c r="A61" t="s">
        <v>1228</v>
      </c>
      <c r="B61" t="s">
        <v>2330</v>
      </c>
      <c r="C61" t="s">
        <v>2516</v>
      </c>
    </row>
    <row r="62" spans="1:3" x14ac:dyDescent="0.25">
      <c r="A62" t="s">
        <v>1270</v>
      </c>
      <c r="B62" t="s">
        <v>2330</v>
      </c>
      <c r="C62" t="s">
        <v>2516</v>
      </c>
    </row>
    <row r="63" spans="1:3" x14ac:dyDescent="0.25">
      <c r="A63" t="s">
        <v>369</v>
      </c>
      <c r="B63" t="s">
        <v>2304</v>
      </c>
      <c r="C63" t="s">
        <v>2515</v>
      </c>
    </row>
    <row r="64" spans="1:3" x14ac:dyDescent="0.25">
      <c r="A64" t="s">
        <v>138</v>
      </c>
      <c r="B64" t="s">
        <v>2304</v>
      </c>
      <c r="C64" t="s">
        <v>2515</v>
      </c>
    </row>
    <row r="65" spans="1:3" x14ac:dyDescent="0.25">
      <c r="A65" t="s">
        <v>388</v>
      </c>
      <c r="B65" t="s">
        <v>2304</v>
      </c>
      <c r="C65" t="s">
        <v>2515</v>
      </c>
    </row>
    <row r="66" spans="1:3" x14ac:dyDescent="0.25">
      <c r="A66" t="s">
        <v>66</v>
      </c>
      <c r="B66" t="s">
        <v>2304</v>
      </c>
      <c r="C66" t="s">
        <v>2515</v>
      </c>
    </row>
    <row r="67" spans="1:3" x14ac:dyDescent="0.25">
      <c r="A67" t="s">
        <v>1265</v>
      </c>
      <c r="B67" t="s">
        <v>2330</v>
      </c>
      <c r="C67" t="s">
        <v>2516</v>
      </c>
    </row>
    <row r="68" spans="1:3" x14ac:dyDescent="0.25">
      <c r="A68" t="s">
        <v>381</v>
      </c>
      <c r="B68" t="s">
        <v>2304</v>
      </c>
      <c r="C68" t="s">
        <v>2515</v>
      </c>
    </row>
    <row r="69" spans="1:3" x14ac:dyDescent="0.25">
      <c r="A69" t="s">
        <v>1256</v>
      </c>
      <c r="B69" t="s">
        <v>2330</v>
      </c>
      <c r="C69" t="s">
        <v>2516</v>
      </c>
    </row>
    <row r="70" spans="1:3" x14ac:dyDescent="0.25">
      <c r="A70" t="s">
        <v>1245</v>
      </c>
      <c r="B70" t="s">
        <v>2330</v>
      </c>
      <c r="C70" t="s">
        <v>2516</v>
      </c>
    </row>
    <row r="71" spans="1:3" x14ac:dyDescent="0.25">
      <c r="A71" t="s">
        <v>1327</v>
      </c>
      <c r="B71" t="s">
        <v>2330</v>
      </c>
      <c r="C71" t="s">
        <v>2516</v>
      </c>
    </row>
    <row r="72" spans="1:3" x14ac:dyDescent="0.25">
      <c r="A72" t="s">
        <v>1238</v>
      </c>
      <c r="B72" t="s">
        <v>2330</v>
      </c>
      <c r="C72" t="s">
        <v>2516</v>
      </c>
    </row>
    <row r="73" spans="1:3" x14ac:dyDescent="0.25">
      <c r="A73" t="s">
        <v>1218</v>
      </c>
      <c r="B73" t="s">
        <v>2330</v>
      </c>
      <c r="C73" t="s">
        <v>2516</v>
      </c>
    </row>
    <row r="74" spans="1:3" x14ac:dyDescent="0.25">
      <c r="A74" t="s">
        <v>1744</v>
      </c>
      <c r="B74" t="s">
        <v>2518</v>
      </c>
      <c r="C74" t="s">
        <v>2519</v>
      </c>
    </row>
    <row r="75" spans="1:3" x14ac:dyDescent="0.25">
      <c r="A75" t="s">
        <v>377</v>
      </c>
      <c r="B75" t="s">
        <v>2304</v>
      </c>
      <c r="C75" t="s">
        <v>2515</v>
      </c>
    </row>
    <row r="76" spans="1:3" x14ac:dyDescent="0.25">
      <c r="A76" t="s">
        <v>386</v>
      </c>
      <c r="B76" t="s">
        <v>2304</v>
      </c>
      <c r="C76" t="s">
        <v>2515</v>
      </c>
    </row>
    <row r="77" spans="1:3" x14ac:dyDescent="0.25">
      <c r="A77" t="s">
        <v>162</v>
      </c>
      <c r="B77" t="s">
        <v>2304</v>
      </c>
      <c r="C77" t="s">
        <v>2515</v>
      </c>
    </row>
    <row r="78" spans="1:3" x14ac:dyDescent="0.25">
      <c r="A78" t="s">
        <v>1236</v>
      </c>
      <c r="B78" t="s">
        <v>2330</v>
      </c>
      <c r="C78" t="s">
        <v>2516</v>
      </c>
    </row>
    <row r="79" spans="1:3" x14ac:dyDescent="0.25">
      <c r="A79" t="s">
        <v>1322</v>
      </c>
      <c r="B79" t="s">
        <v>2330</v>
      </c>
      <c r="C79" t="s">
        <v>2516</v>
      </c>
    </row>
    <row r="80" spans="1:3" x14ac:dyDescent="0.25">
      <c r="A80" t="s">
        <v>1678</v>
      </c>
      <c r="B80" t="s">
        <v>2330</v>
      </c>
      <c r="C80" t="s">
        <v>2516</v>
      </c>
    </row>
    <row r="81" spans="1:3" x14ac:dyDescent="0.25">
      <c r="A81" t="s">
        <v>1275</v>
      </c>
      <c r="B81" t="s">
        <v>2330</v>
      </c>
      <c r="C81" t="s">
        <v>2516</v>
      </c>
    </row>
    <row r="82" spans="1:3" x14ac:dyDescent="0.25">
      <c r="A82" t="s">
        <v>57</v>
      </c>
      <c r="B82" t="s">
        <v>2304</v>
      </c>
      <c r="C82" t="s">
        <v>2515</v>
      </c>
    </row>
    <row r="83" spans="1:3" x14ac:dyDescent="0.25">
      <c r="A83" t="s">
        <v>372</v>
      </c>
      <c r="B83" t="s">
        <v>2304</v>
      </c>
      <c r="C83" t="s">
        <v>2515</v>
      </c>
    </row>
    <row r="84" spans="1:3" x14ac:dyDescent="0.25">
      <c r="A84" t="s">
        <v>380</v>
      </c>
      <c r="B84" t="s">
        <v>2304</v>
      </c>
      <c r="C84" t="s">
        <v>2515</v>
      </c>
    </row>
    <row r="85" spans="1:3" x14ac:dyDescent="0.25">
      <c r="A85" t="s">
        <v>1338</v>
      </c>
      <c r="B85" t="s">
        <v>2304</v>
      </c>
      <c r="C85" t="s">
        <v>2515</v>
      </c>
    </row>
    <row r="86" spans="1:3" x14ac:dyDescent="0.25">
      <c r="A86" t="s">
        <v>373</v>
      </c>
      <c r="B86" t="s">
        <v>2304</v>
      </c>
      <c r="C86" t="s">
        <v>2515</v>
      </c>
    </row>
    <row r="87" spans="1:3" x14ac:dyDescent="0.25">
      <c r="A87" t="s">
        <v>342</v>
      </c>
      <c r="B87" t="s">
        <v>2304</v>
      </c>
      <c r="C87" t="s">
        <v>2515</v>
      </c>
    </row>
    <row r="88" spans="1:3" x14ac:dyDescent="0.25">
      <c r="A88" t="s">
        <v>365</v>
      </c>
      <c r="B88" t="s">
        <v>2304</v>
      </c>
      <c r="C88" t="s">
        <v>2515</v>
      </c>
    </row>
    <row r="89" spans="1:3" x14ac:dyDescent="0.25">
      <c r="A89" t="s">
        <v>360</v>
      </c>
      <c r="B89" t="s">
        <v>2304</v>
      </c>
      <c r="C89" t="s">
        <v>2515</v>
      </c>
    </row>
    <row r="90" spans="1:3" x14ac:dyDescent="0.25">
      <c r="A90" t="s">
        <v>393</v>
      </c>
      <c r="B90" t="s">
        <v>2304</v>
      </c>
      <c r="C90" t="s">
        <v>2515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4D2F6AB8DFBDD4F97A2877F444A2698" ma:contentTypeVersion="3" ma:contentTypeDescription="Create a new document." ma:contentTypeScope="" ma:versionID="769ed47ad74a51a8dd381e81456e3663">
  <xsd:schema xmlns:xsd="http://www.w3.org/2001/XMLSchema" xmlns:xs="http://www.w3.org/2001/XMLSchema" xmlns:p="http://schemas.microsoft.com/office/2006/metadata/properties" xmlns:ns1="http://schemas.microsoft.com/sharepoint/v3" targetNamespace="http://schemas.microsoft.com/office/2006/metadata/properties" ma:root="true" ma:fieldsID="d57b5ab5d7e10726dc332551c8020fe7" ns1:_="">
    <xsd:import namespace="http://schemas.microsoft.com/sharepoint/v3"/>
    <xsd:element name="properties">
      <xsd:complexType>
        <xsd:sequence>
          <xsd:element name="documentManagement">
            <xsd:complexType>
              <xsd:all>
                <xsd:element ref="ns1:UserAddedTags" minOccurs="0"/>
                <xsd:element ref="ns1:UserDeletedSystemTags" minOccurs="0"/>
                <xsd:element ref="ns1:Original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UserAddedTags" ma:index="8" nillable="true" ma:displayName="UserAddedTags" ma:internalName="UserAddedTags">
      <xsd:simpleType>
        <xsd:restriction base="dms:Note">
          <xsd:maxLength value="255"/>
        </xsd:restriction>
      </xsd:simpleType>
    </xsd:element>
    <xsd:element name="UserDeletedSystemTags" ma:index="9" nillable="true" ma:displayName="UserDeletedSystemTags" ma:internalName="UserDeletedSystemTags">
      <xsd:simpleType>
        <xsd:restriction base="dms:Note">
          <xsd:maxLength value="255"/>
        </xsd:restriction>
      </xsd:simpleType>
    </xsd:element>
    <xsd:element name="OriginalHash" ma:index="10" nillable="true" ma:displayName="OriginalHash" ma:internalName="OriginalHash">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UserAddedTags xmlns="http://schemas.microsoft.com/sharepoint/v3" xsi:nil="true"/>
    <OriginalHash xmlns="http://schemas.microsoft.com/sharepoint/v3" xsi:nil="true"/>
    <UserDeletedSystemTags xmlns="http://schemas.microsoft.com/sharepoint/v3" xsi:nil="true"/>
  </documentManagement>
</p:properties>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mso-contentType ?>
<FormTemplates xmlns="http://schemas.microsoft.com/sharepoint/v3/contenttype/forms">
  <Display>DocumentLibraryForm</Display>
  <Edit>DocumentLibraryForm</Edit>
  <New>DocumentLibraryForm</New>
</FormTemplates>
</file>

<file path=customXml/item23.xml>�� 
</file>

<file path=customXml/itemProps1.xml><?xml version="1.0" encoding="utf-8"?>
<ds:datastoreItem xmlns:ds="http://schemas.openxmlformats.org/officeDocument/2006/customXml" ds:itemID="{12F25EFF-B9E5-45B2-9FC3-3AA6C7C716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E9C258F-C99D-4FB7-92E2-AB756CEA4BA7}">
  <ds:schemaRefs>
    <ds:schemaRef ds:uri="http://gemini/pivotcustomization/TableXML_Table 1 2_d28d632d-7afe-44d3-a3dd-d8fb78d3d92a"/>
  </ds:schemaRefs>
</ds:datastoreItem>
</file>

<file path=customXml/itemProps3.xml><?xml version="1.0" encoding="utf-8"?>
<ds:datastoreItem xmlns:ds="http://schemas.openxmlformats.org/officeDocument/2006/customXml" ds:itemID="{57D23A8C-A997-43D4-8D91-A04DDD1E9819}">
  <ds:schemaRefs>
    <ds:schemaRef ds:uri="http://gemini/pivotcustomization/RelationshipAutoDetectionEnabled"/>
  </ds:schemaRefs>
</ds:datastoreItem>
</file>

<file path=customXml/itemProps4.xml><?xml version="1.0" encoding="utf-8"?>
<ds:datastoreItem xmlns:ds="http://schemas.openxmlformats.org/officeDocument/2006/customXml" ds:itemID="{23822463-D4F8-4F71-B04A-07E8C91A4FCC}">
  <ds:schemaRefs>
    <ds:schemaRef ds:uri="http://schemas.microsoft.com/office/2006/metadata/properties"/>
    <ds:schemaRef ds:uri="http://schemas.microsoft.com/office/infopath/2007/PartnerControls"/>
    <ds:schemaRef ds:uri="http://schemas.microsoft.com/sharepoint/v3"/>
  </ds:schemaRefs>
</ds:datastoreItem>
</file>

<file path=customXml/itemProps5.xml><?xml version="1.0" encoding="utf-8"?>
<ds:datastoreItem xmlns:ds="http://schemas.openxmlformats.org/officeDocument/2006/customXml" ds:itemID="{72AB1381-F4EA-4C6E-A1B6-4DE4CFAD895D}">
  <ds:schemaRefs>
    <ds:schemaRef ds:uri="http://gemini/pivotcustomization/SandboxNonEmpty"/>
  </ds:schemaRefs>
</ds:datastoreItem>
</file>

<file path=customXml/itemProps6.xml><?xml version="1.0" encoding="utf-8"?>
<ds:datastoreItem xmlns:ds="http://schemas.openxmlformats.org/officeDocument/2006/customXml" ds:itemID="{E97CE7EE-6D9D-4EDA-964B-D06894BA81AA}">
  <ds:schemaRefs>
    <ds:schemaRef ds:uri="http://gemini/pivotcustomization/TableXML_Table 1 2_d28d632d-7afe-44d3-a3dd-d8fb78d3d92a"/>
  </ds:schemaRefs>
</ds:datastoreItem>
</file>

<file path=customXml/itemProps7.xml><?xml version="1.0" encoding="utf-8"?>
<ds:datastoreItem xmlns:ds="http://schemas.openxmlformats.org/officeDocument/2006/customXml" ds:itemID="{4F5B9239-F4A8-4BC4-B442-8BF94D771DF2}">
  <ds:schemaRefs>
    <ds:schemaRef ds:uri="http://gemini/pivotcustomization/TableOrder"/>
  </ds:schemaRefs>
</ds:datastoreItem>
</file>

<file path=customXml/itemProps8.xml><?xml version="1.0" encoding="utf-8"?>
<ds:datastoreItem xmlns:ds="http://schemas.openxmlformats.org/officeDocument/2006/customXml" ds:itemID="{DF792488-9558-4EB8-A05B-42AB6D0EE285}">
  <ds:schemaRefs>
    <ds:schemaRef ds:uri="http://gemini/pivotcustomization/ManualCalcMode"/>
  </ds:schemaRefs>
</ds:datastoreItem>
</file>

<file path=customXml/itemProps9.xml><?xml version="1.0" encoding="utf-8"?>
<ds:datastoreItem xmlns:ds="http://schemas.openxmlformats.org/officeDocument/2006/customXml" ds:itemID="{80A77B44-34A1-44C5-93F7-F5B7B38A0FAF}">
  <ds:schemaRefs>
    <ds:schemaRef ds:uri="http://gemini/pivotcustomization/Diagrams"/>
  </ds:schemaRefs>
</ds:datastoreItem>
</file>

<file path=customXml/itemProps10.xml><?xml version="1.0" encoding="utf-8"?>
<ds:datastoreItem xmlns:ds="http://schemas.openxmlformats.org/officeDocument/2006/customXml" ds:itemID="{5AB5E2E0-415B-4C6D-AC0A-BF4C21927FA7}">
  <ds:schemaRefs>
    <ds:schemaRef ds:uri="http://gemini/pivotcustomization/PowerPivotVersion"/>
  </ds:schemaRefs>
</ds:datastoreItem>
</file>

<file path=customXml/itemProps11.xml><?xml version="1.0" encoding="utf-8"?>
<ds:datastoreItem xmlns:ds="http://schemas.openxmlformats.org/officeDocument/2006/customXml" ds:itemID="{6A093501-7FE1-474A-B4EB-4AD627DBF770}">
  <ds:schemaRefs>
    <ds:schemaRef ds:uri="http://gemini/pivotcustomization/LinkedTableUpdateMode"/>
  </ds:schemaRefs>
</ds:datastoreItem>
</file>

<file path=customXml/itemProps12.xml><?xml version="1.0" encoding="utf-8"?>
<ds:datastoreItem xmlns:ds="http://schemas.openxmlformats.org/officeDocument/2006/customXml" ds:itemID="{370B4C44-C171-44C9-8DEC-8BA5E44828DA}">
  <ds:schemaRefs>
    <ds:schemaRef ds:uri="http://gemini/pivotcustomization/IsSandboxEmbedded"/>
  </ds:schemaRefs>
</ds:datastoreItem>
</file>

<file path=customXml/itemProps13.xml><?xml version="1.0" encoding="utf-8"?>
<ds:datastoreItem xmlns:ds="http://schemas.openxmlformats.org/officeDocument/2006/customXml" ds:itemID="{BB6E8DF7-047C-43BC-8E1D-9C11E272260D}">
  <ds:schemaRefs>
    <ds:schemaRef ds:uri="http://gemini/pivotcustomization/ShowImplicitMeasures"/>
  </ds:schemaRefs>
</ds:datastoreItem>
</file>

<file path=customXml/itemProps14.xml><?xml version="1.0" encoding="utf-8"?>
<ds:datastoreItem xmlns:ds="http://schemas.openxmlformats.org/officeDocument/2006/customXml" ds:itemID="{56A446C4-3B37-4D4C-8A19-6E9D261C201D}">
  <ds:schemaRefs>
    <ds:schemaRef ds:uri="http://gemini/pivotcustomization/ShowHidden"/>
  </ds:schemaRefs>
</ds:datastoreItem>
</file>

<file path=customXml/itemProps15.xml><?xml version="1.0" encoding="utf-8"?>
<ds:datastoreItem xmlns:ds="http://schemas.openxmlformats.org/officeDocument/2006/customXml" ds:itemID="{CBF5287F-5B83-466B-B0F0-1E2C4409E6A1}">
  <ds:schemaRefs>
    <ds:schemaRef ds:uri="http://gemini/pivotcustomization/ErrorCache"/>
  </ds:schemaRefs>
</ds:datastoreItem>
</file>

<file path=customXml/itemProps16.xml><?xml version="1.0" encoding="utf-8"?>
<ds:datastoreItem xmlns:ds="http://schemas.openxmlformats.org/officeDocument/2006/customXml" ds:itemID="{E2C46AD6-E158-4645-A353-7A6622D2725D}">
  <ds:schemaRefs>
    <ds:schemaRef ds:uri="http://gemini/pivotcustomization/ClientWindowXML"/>
  </ds:schemaRefs>
</ds:datastoreItem>
</file>

<file path=customXml/itemProps17.xml><?xml version="1.0" encoding="utf-8"?>
<ds:datastoreItem xmlns:ds="http://schemas.openxmlformats.org/officeDocument/2006/customXml" ds:itemID="{11B6E8F1-7159-4A94-9F9A-9F2BBF406A76}">
  <ds:schemaRefs>
    <ds:schemaRef ds:uri="http://gemini/pivotcustomization/FormulaBarState"/>
  </ds:schemaRefs>
</ds:datastoreItem>
</file>

<file path=customXml/itemProps18.xml><?xml version="1.0" encoding="utf-8"?>
<ds:datastoreItem xmlns:ds="http://schemas.openxmlformats.org/officeDocument/2006/customXml" ds:itemID="{D4EC26B9-6CC4-4758-A4D8-09410738960D}">
  <ds:schemaRefs>
    <ds:schemaRef ds:uri="http://www.w3.org/2001/XMLSchema"/>
    <ds:schemaRef ds:uri="http://microsoft.data.visualization.Client.Excel/1.0"/>
  </ds:schemaRefs>
</ds:datastoreItem>
</file>

<file path=customXml/itemProps19.xml><?xml version="1.0" encoding="utf-8"?>
<ds:datastoreItem xmlns:ds="http://schemas.openxmlformats.org/officeDocument/2006/customXml" ds:itemID="{EDD0908C-09AF-49FD-A28A-7A34736B88DE}">
  <ds:schemaRefs>
    <ds:schemaRef ds:uri="http://gemini/pivotcustomization/MeasureGridState"/>
  </ds:schemaRefs>
</ds:datastoreItem>
</file>

<file path=customXml/itemProps20.xml><?xml version="1.0" encoding="utf-8"?>
<ds:datastoreItem xmlns:ds="http://schemas.openxmlformats.org/officeDocument/2006/customXml" ds:itemID="{34041D64-9450-40CE-9370-E3D897EC1E74}">
  <ds:schemaRefs>
    <ds:schemaRef ds:uri="http://gemini/pivotcustomization/TableWidget"/>
  </ds:schemaRefs>
</ds:datastoreItem>
</file>

<file path=customXml/itemProps21.xml><?xml version="1.0" encoding="utf-8"?>
<ds:datastoreItem xmlns:ds="http://schemas.openxmlformats.org/officeDocument/2006/customXml" ds:itemID="{F788BF91-D1C6-43AE-9209-E16D5D7FD62C}">
  <ds:schemaRefs>
    <ds:schemaRef ds:uri="http://schemas.microsoft.com/DataMashup"/>
  </ds:schemaRefs>
</ds:datastoreItem>
</file>

<file path=customXml/itemProps22.xml><?xml version="1.0" encoding="utf-8"?>
<ds:datastoreItem xmlns:ds="http://schemas.openxmlformats.org/officeDocument/2006/customXml" ds:itemID="{6D45B3FD-5F0A-4345-8565-897272804F30}">
  <ds:schemaRefs>
    <ds:schemaRef ds:uri="http://schemas.microsoft.com/sharepoint/v3/contenttype/forms"/>
  </ds:schemaRefs>
</ds:datastoreItem>
</file>

<file path=customXml/itemProps23.xml><?xml version="1.0" encoding="utf-8"?>
<ds:datastoreItem xmlns:ds="http://schemas.openxmlformats.org/officeDocument/2006/customXml" ds:itemID="{5B5E13AE-161F-4F7D-89C5-03381F6E58F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vt:i4>
      </vt:variant>
    </vt:vector>
  </HeadingPairs>
  <TitlesOfParts>
    <vt:vector size="38" baseType="lpstr">
      <vt:lpstr>marksheet</vt:lpstr>
      <vt:lpstr>item list</vt:lpstr>
      <vt:lpstr>flash fill</vt:lpstr>
      <vt:lpstr>pmt,ipmt,ppmt</vt:lpstr>
      <vt:lpstr>discount sheet</vt:lpstr>
      <vt:lpstr>LOAN SHEET</vt:lpstr>
      <vt:lpstr>product sheet</vt:lpstr>
      <vt:lpstr>sales sheet</vt:lpstr>
      <vt:lpstr>text formula</vt:lpstr>
      <vt:lpstr>age sheet</vt:lpstr>
      <vt:lpstr>gender list</vt:lpstr>
      <vt:lpstr>data consolidate</vt:lpstr>
      <vt:lpstr>salary slip</vt:lpstr>
      <vt:lpstr>data velidation</vt:lpstr>
      <vt:lpstr>practice</vt:lpstr>
      <vt:lpstr>V,H&amp;Xlookup</vt:lpstr>
      <vt:lpstr>vlookup differ fotmula</vt:lpstr>
      <vt:lpstr>online data import</vt:lpstr>
      <vt:lpstr>P,U&amp;L and trim</vt:lpstr>
      <vt:lpstr>offset function</vt:lpstr>
      <vt:lpstr>attendance sheet</vt:lpstr>
      <vt:lpstr>Payslip Grid</vt:lpstr>
      <vt:lpstr>product list</vt:lpstr>
      <vt:lpstr>Dashboard</vt:lpstr>
      <vt:lpstr>Report Generator</vt:lpstr>
      <vt:lpstr>Validation Dashboard</vt:lpstr>
      <vt:lpstr>Game</vt:lpstr>
      <vt:lpstr>CLEANED_DATA</vt:lpstr>
      <vt:lpstr>Sheet1</vt:lpstr>
      <vt:lpstr>NameGender</vt:lpstr>
      <vt:lpstr>DepartmentList</vt:lpstr>
      <vt:lpstr>EmployeeList</vt:lpstr>
      <vt:lpstr>MonthList</vt:lpstr>
      <vt:lpstr>'Report Generator'!Print_Area</vt:lpstr>
      <vt:lpstr>ReportArea</vt:lpstr>
      <vt:lpstr>SelectedDepartment</vt:lpstr>
      <vt:lpstr>SelectedEmployee</vt:lpstr>
      <vt:lpstr>SelectedMonth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Tushar kumar</dc:creator>
  <cp:keywords/>
  <dc:description/>
  <cp:lastModifiedBy>Tushar kumar</cp:lastModifiedBy>
  <cp:revision/>
  <dcterms:created xsi:type="dcterms:W3CDTF">2026-06-13T07:03:57Z</dcterms:created>
  <dcterms:modified xsi:type="dcterms:W3CDTF">2026-10-16T05:52:40Z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0x01010004D2F6AB8DFBDD4F97A2877F444A2698</vt:lpwstr>
  </property>
</Properties>
</file>