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40" windowWidth="22245" windowHeight="10455" activeTab="1"/>
  </bookViews>
  <sheets>
    <sheet name="FPGA 8pg" sheetId="3" r:id="rId1"/>
    <sheet name="4pg_Free tools" sheetId="13" r:id="rId2"/>
    <sheet name="low cost kits" sheetId="8" r:id="rId3"/>
    <sheet name="kits on hand" sheetId="7" r:id="rId4"/>
    <sheet name="kits by shape" sheetId="10" r:id="rId5"/>
    <sheet name="PPT sheet" sheetId="12" r:id="rId6"/>
  </sheets>
  <definedNames>
    <definedName name="_xlnm.Print_Area" localSheetId="1">'4pg_Free tools'!$B$2:$AG$369</definedName>
    <definedName name="_xlnm.Print_Area" localSheetId="0">'FPGA 8pg'!$B$2:$AG$903</definedName>
    <definedName name="_xlnm.Print_Area" localSheetId="3">'kits on hand'!$B$2:$AG$48</definedName>
    <definedName name="_xlnm.Print_Area" localSheetId="2">'low cost kits'!$A$3:$AI$186</definedName>
    <definedName name="_xlnm.Print_Titles" localSheetId="1">'4pg_Free tools'!$2:$2</definedName>
    <definedName name="_xlnm.Print_Titles" localSheetId="0">'FPGA 8pg'!$2:$2</definedName>
    <definedName name="_xlnm.Print_Titles" localSheetId="3">'kits on hand'!$2:$2</definedName>
  </definedNames>
  <calcPr calcId="145621"/>
</workbook>
</file>

<file path=xl/calcChain.xml><?xml version="1.0" encoding="utf-8"?>
<calcChain xmlns="http://schemas.openxmlformats.org/spreadsheetml/2006/main">
  <c r="AD369" i="13" l="1"/>
  <c r="AC369" i="13"/>
  <c r="AB369" i="13"/>
  <c r="Z369" i="13"/>
  <c r="N369" i="13"/>
  <c r="N367" i="13"/>
  <c r="N366" i="13"/>
  <c r="N365" i="13"/>
  <c r="N364" i="13"/>
  <c r="N362" i="13"/>
  <c r="N361" i="13"/>
  <c r="N360" i="13"/>
  <c r="N359" i="13"/>
  <c r="N357" i="13"/>
  <c r="N356" i="13"/>
  <c r="N355" i="13"/>
  <c r="N354" i="13"/>
  <c r="N352" i="13"/>
  <c r="N351" i="13"/>
  <c r="AF349" i="13"/>
  <c r="AD349" i="13"/>
  <c r="AC349" i="13"/>
  <c r="M349" i="13"/>
  <c r="AA349" i="13" s="1"/>
  <c r="AF348" i="13"/>
  <c r="AD348" i="13"/>
  <c r="AC348" i="13"/>
  <c r="M348" i="13"/>
  <c r="N348" i="13" s="1"/>
  <c r="AF347" i="13"/>
  <c r="AD347" i="13"/>
  <c r="AC347" i="13"/>
  <c r="M347" i="13"/>
  <c r="N347" i="13" s="1"/>
  <c r="AF346" i="13"/>
  <c r="AD346" i="13"/>
  <c r="AC346" i="13"/>
  <c r="M346" i="13"/>
  <c r="AA346" i="13" s="1"/>
  <c r="AF345" i="13"/>
  <c r="AD345" i="13"/>
  <c r="AC345" i="13"/>
  <c r="M345" i="13"/>
  <c r="AA345" i="13" s="1"/>
  <c r="AD343" i="13"/>
  <c r="AC343" i="13"/>
  <c r="Z343" i="13"/>
  <c r="M343" i="13"/>
  <c r="N343" i="13" s="1"/>
  <c r="AD342" i="13"/>
  <c r="AC342" i="13"/>
  <c r="Z342" i="13"/>
  <c r="M342" i="13"/>
  <c r="N342" i="13" s="1"/>
  <c r="AD341" i="13"/>
  <c r="AC341" i="13"/>
  <c r="Z341" i="13"/>
  <c r="M341" i="13"/>
  <c r="N341" i="13" s="1"/>
  <c r="AD340" i="13"/>
  <c r="AC340" i="13"/>
  <c r="Z340" i="13"/>
  <c r="M340" i="13"/>
  <c r="N340" i="13" s="1"/>
  <c r="AD339" i="13"/>
  <c r="AC339" i="13"/>
  <c r="Z339" i="13"/>
  <c r="M339" i="13"/>
  <c r="N339" i="13" s="1"/>
  <c r="AD338" i="13"/>
  <c r="AC338" i="13"/>
  <c r="Z338" i="13"/>
  <c r="M338" i="13"/>
  <c r="N338" i="13" s="1"/>
  <c r="AD337" i="13"/>
  <c r="AC337" i="13"/>
  <c r="Z337" i="13"/>
  <c r="M337" i="13"/>
  <c r="N337" i="13" s="1"/>
  <c r="AF335" i="13"/>
  <c r="AD335" i="13"/>
  <c r="AC335" i="13"/>
  <c r="M335" i="13"/>
  <c r="AA335" i="13" s="1"/>
  <c r="AF334" i="13"/>
  <c r="AD334" i="13"/>
  <c r="AC334" i="13"/>
  <c r="M334" i="13"/>
  <c r="AA334" i="13" s="1"/>
  <c r="AF333" i="13"/>
  <c r="AD333" i="13"/>
  <c r="AC333" i="13"/>
  <c r="M333" i="13"/>
  <c r="AA333" i="13" s="1"/>
  <c r="AF332" i="13"/>
  <c r="AD332" i="13"/>
  <c r="AC332" i="13"/>
  <c r="M332" i="13"/>
  <c r="N332" i="13" s="1"/>
  <c r="AF331" i="13"/>
  <c r="AD331" i="13"/>
  <c r="AC331" i="13"/>
  <c r="Z331" i="13"/>
  <c r="M331" i="13"/>
  <c r="N331" i="13" s="1"/>
  <c r="AD329" i="13"/>
  <c r="AC329" i="13"/>
  <c r="AB329" i="13"/>
  <c r="O329" i="13"/>
  <c r="M329" i="13"/>
  <c r="N329" i="13" s="1"/>
  <c r="AD328" i="13"/>
  <c r="AC328" i="13"/>
  <c r="AB328" i="13"/>
  <c r="Z328" i="13"/>
  <c r="O328" i="13"/>
  <c r="M328" i="13"/>
  <c r="N328" i="13" s="1"/>
  <c r="AD327" i="13"/>
  <c r="AC327" i="13"/>
  <c r="AB327" i="13"/>
  <c r="O327" i="13"/>
  <c r="M327" i="13"/>
  <c r="N327" i="13" s="1"/>
  <c r="AD326" i="13"/>
  <c r="AC326" i="13"/>
  <c r="AB326" i="13"/>
  <c r="Z326" i="13"/>
  <c r="O326" i="13"/>
  <c r="M326" i="13"/>
  <c r="N326" i="13" s="1"/>
  <c r="AD325" i="13"/>
  <c r="AC325" i="13"/>
  <c r="AB325" i="13"/>
  <c r="O325" i="13"/>
  <c r="M325" i="13"/>
  <c r="N325" i="13" s="1"/>
  <c r="AD324" i="13"/>
  <c r="AC324" i="13"/>
  <c r="AB324" i="13"/>
  <c r="Z324" i="13"/>
  <c r="O324" i="13"/>
  <c r="M324" i="13"/>
  <c r="N324" i="13" s="1"/>
  <c r="AD323" i="13"/>
  <c r="Z323" i="13"/>
  <c r="O323" i="13"/>
  <c r="M323" i="13"/>
  <c r="N323" i="13" s="1"/>
  <c r="M322" i="13"/>
  <c r="N322" i="13" s="1"/>
  <c r="AD321" i="13"/>
  <c r="Z321" i="13"/>
  <c r="O321" i="13"/>
  <c r="M321" i="13"/>
  <c r="N321" i="13" s="1"/>
  <c r="Z320" i="13"/>
  <c r="M320" i="13"/>
  <c r="N320" i="13" s="1"/>
  <c r="AD318" i="13"/>
  <c r="AC318" i="13"/>
  <c r="AB318" i="13"/>
  <c r="O318" i="13"/>
  <c r="M318" i="13"/>
  <c r="N318" i="13" s="1"/>
  <c r="AD317" i="13"/>
  <c r="AC317" i="13"/>
  <c r="AB317" i="13"/>
  <c r="O317" i="13"/>
  <c r="M317" i="13"/>
  <c r="N317" i="13" s="1"/>
  <c r="AD316" i="13"/>
  <c r="AC316" i="13"/>
  <c r="AB316" i="13"/>
  <c r="Z316" i="13"/>
  <c r="O316" i="13"/>
  <c r="M316" i="13"/>
  <c r="N316" i="13" s="1"/>
  <c r="AD315" i="13"/>
  <c r="AC315" i="13"/>
  <c r="AB315" i="13"/>
  <c r="O315" i="13"/>
  <c r="M315" i="13"/>
  <c r="N315" i="13" s="1"/>
  <c r="AD314" i="13"/>
  <c r="AC314" i="13"/>
  <c r="AB314" i="13"/>
  <c r="O314" i="13"/>
  <c r="M314" i="13"/>
  <c r="N314" i="13" s="1"/>
  <c r="AD313" i="13"/>
  <c r="AC313" i="13"/>
  <c r="AB313" i="13"/>
  <c r="Z313" i="13"/>
  <c r="O313" i="13"/>
  <c r="M313" i="13"/>
  <c r="N313" i="13" s="1"/>
  <c r="AD312" i="13"/>
  <c r="AC312" i="13"/>
  <c r="AB312" i="13"/>
  <c r="O312" i="13"/>
  <c r="M312" i="13"/>
  <c r="N312" i="13" s="1"/>
  <c r="AD311" i="13"/>
  <c r="AC311" i="13"/>
  <c r="AB311" i="13"/>
  <c r="O311" i="13"/>
  <c r="M311" i="13"/>
  <c r="N311" i="13" s="1"/>
  <c r="AD310" i="13"/>
  <c r="Z310" i="13"/>
  <c r="O310" i="13"/>
  <c r="M310" i="13"/>
  <c r="N310" i="13" s="1"/>
  <c r="AD309" i="13"/>
  <c r="Z309" i="13"/>
  <c r="O309" i="13"/>
  <c r="M309" i="13"/>
  <c r="N309" i="13" s="1"/>
  <c r="AD308" i="13"/>
  <c r="Z308" i="13"/>
  <c r="O308" i="13"/>
  <c r="M308" i="13"/>
  <c r="N308" i="13" s="1"/>
  <c r="AD307" i="13"/>
  <c r="Z307" i="13"/>
  <c r="O307" i="13"/>
  <c r="M307" i="13"/>
  <c r="N307" i="13" s="1"/>
  <c r="AD305" i="13"/>
  <c r="AC305" i="13"/>
  <c r="AB305" i="13"/>
  <c r="O305" i="13"/>
  <c r="M305" i="13"/>
  <c r="N305" i="13" s="1"/>
  <c r="AD304" i="13"/>
  <c r="AC304" i="13"/>
  <c r="AB304" i="13"/>
  <c r="O304" i="13"/>
  <c r="M304" i="13"/>
  <c r="N304" i="13" s="1"/>
  <c r="AD303" i="13"/>
  <c r="AC303" i="13"/>
  <c r="AB303" i="13"/>
  <c r="O303" i="13"/>
  <c r="M303" i="13"/>
  <c r="N303" i="13" s="1"/>
  <c r="AD301" i="13"/>
  <c r="AC301" i="13"/>
  <c r="M301" i="13"/>
  <c r="AA301" i="13" s="1"/>
  <c r="L301" i="13"/>
  <c r="AF301" i="13" s="1"/>
  <c r="AD300" i="13"/>
  <c r="AC300" i="13"/>
  <c r="M300" i="13"/>
  <c r="N300" i="13" s="1"/>
  <c r="L300" i="13"/>
  <c r="AD298" i="13"/>
  <c r="AC298" i="13"/>
  <c r="M298" i="13"/>
  <c r="AA298" i="13" s="1"/>
  <c r="L298" i="13"/>
  <c r="AF298" i="13" s="1"/>
  <c r="AD297" i="13"/>
  <c r="AC297" i="13"/>
  <c r="M297" i="13"/>
  <c r="AA297" i="13" s="1"/>
  <c r="L297" i="13"/>
  <c r="Z297" i="13" s="1"/>
  <c r="AD296" i="13"/>
  <c r="AC296" i="13"/>
  <c r="M296" i="13"/>
  <c r="AA296" i="13" s="1"/>
  <c r="L296" i="13"/>
  <c r="Z296" i="13" s="1"/>
  <c r="AD295" i="13"/>
  <c r="AC295" i="13"/>
  <c r="M295" i="13"/>
  <c r="AA295" i="13" s="1"/>
  <c r="L295" i="13"/>
  <c r="AF295" i="13" s="1"/>
  <c r="AD294" i="13"/>
  <c r="AC294" i="13"/>
  <c r="M294" i="13"/>
  <c r="N294" i="13" s="1"/>
  <c r="L294" i="13"/>
  <c r="Z294" i="13" s="1"/>
  <c r="AD293" i="13"/>
  <c r="AC293" i="13"/>
  <c r="AA293" i="13"/>
  <c r="N293" i="13"/>
  <c r="L293" i="13"/>
  <c r="X293" i="13" s="1"/>
  <c r="AD291" i="13"/>
  <c r="AC291" i="13"/>
  <c r="M291" i="13"/>
  <c r="N291" i="13" s="1"/>
  <c r="L291" i="13"/>
  <c r="AD290" i="13"/>
  <c r="AC290" i="13"/>
  <c r="M290" i="13"/>
  <c r="N290" i="13" s="1"/>
  <c r="L290" i="13"/>
  <c r="AD288" i="13"/>
  <c r="AC288" i="13"/>
  <c r="M288" i="13"/>
  <c r="N288" i="13" s="1"/>
  <c r="L288" i="13"/>
  <c r="Z288" i="13" s="1"/>
  <c r="AD287" i="13"/>
  <c r="AC287" i="13"/>
  <c r="M287" i="13"/>
  <c r="N287" i="13" s="1"/>
  <c r="L287" i="13"/>
  <c r="Z287" i="13" s="1"/>
  <c r="AD286" i="13"/>
  <c r="AC286" i="13"/>
  <c r="M286" i="13"/>
  <c r="AA286" i="13" s="1"/>
  <c r="L286" i="13"/>
  <c r="AF286" i="13" s="1"/>
  <c r="AD285" i="13"/>
  <c r="AC285" i="13"/>
  <c r="M285" i="13"/>
  <c r="AA285" i="13" s="1"/>
  <c r="L285" i="13"/>
  <c r="Z285" i="13" s="1"/>
  <c r="AD284" i="13"/>
  <c r="AC284" i="13"/>
  <c r="M284" i="13"/>
  <c r="N284" i="13" s="1"/>
  <c r="L284" i="13"/>
  <c r="Z284" i="13" s="1"/>
  <c r="AD283" i="13"/>
  <c r="AC283" i="13"/>
  <c r="M283" i="13"/>
  <c r="N283" i="13" s="1"/>
  <c r="L283" i="13"/>
  <c r="AD282" i="13"/>
  <c r="AC282" i="13"/>
  <c r="M282" i="13"/>
  <c r="AA282" i="13" s="1"/>
  <c r="L282" i="13"/>
  <c r="AD280" i="13"/>
  <c r="AC280" i="13"/>
  <c r="M280" i="13"/>
  <c r="N280" i="13" s="1"/>
  <c r="L280" i="13"/>
  <c r="AF280" i="13" s="1"/>
  <c r="AD279" i="13"/>
  <c r="AC279" i="13"/>
  <c r="M279" i="13"/>
  <c r="AA279" i="13" s="1"/>
  <c r="L279" i="13"/>
  <c r="AF279" i="13" s="1"/>
  <c r="AD277" i="13"/>
  <c r="AC277" i="13"/>
  <c r="M277" i="13"/>
  <c r="N277" i="13" s="1"/>
  <c r="L277" i="13"/>
  <c r="AF277" i="13" s="1"/>
  <c r="AD276" i="13"/>
  <c r="AC276" i="13"/>
  <c r="M276" i="13"/>
  <c r="N276" i="13" s="1"/>
  <c r="L276" i="13"/>
  <c r="AF276" i="13" s="1"/>
  <c r="AD275" i="13"/>
  <c r="AC275" i="13"/>
  <c r="M275" i="13"/>
  <c r="N275" i="13" s="1"/>
  <c r="L275" i="13"/>
  <c r="AD274" i="13"/>
  <c r="AC274" i="13"/>
  <c r="M274" i="13"/>
  <c r="N274" i="13" s="1"/>
  <c r="L274" i="13"/>
  <c r="AD273" i="13"/>
  <c r="AC273" i="13"/>
  <c r="M273" i="13"/>
  <c r="AA273" i="13" s="1"/>
  <c r="L273" i="13"/>
  <c r="AF273" i="13" s="1"/>
  <c r="AD272" i="13"/>
  <c r="AC272" i="13"/>
  <c r="M272" i="13"/>
  <c r="L272" i="13"/>
  <c r="AF272" i="13" s="1"/>
  <c r="AD271" i="13"/>
  <c r="AC271" i="13"/>
  <c r="M271" i="13"/>
  <c r="N271" i="13" s="1"/>
  <c r="L271" i="13"/>
  <c r="AF271" i="13" s="1"/>
  <c r="AD270" i="13"/>
  <c r="AC270" i="13"/>
  <c r="M270" i="13"/>
  <c r="AA270" i="13" s="1"/>
  <c r="L270" i="13"/>
  <c r="AD268" i="13"/>
  <c r="AC268" i="13"/>
  <c r="M268" i="13"/>
  <c r="N268" i="13" s="1"/>
  <c r="L268" i="13"/>
  <c r="AF268" i="13" s="1"/>
  <c r="AD267" i="13"/>
  <c r="AC267" i="13"/>
  <c r="M267" i="13"/>
  <c r="L267" i="13"/>
  <c r="AD266" i="13"/>
  <c r="AC266" i="13"/>
  <c r="M266" i="13"/>
  <c r="N266" i="13" s="1"/>
  <c r="L266" i="13"/>
  <c r="AD265" i="13"/>
  <c r="AC265" i="13"/>
  <c r="M265" i="13"/>
  <c r="AA265" i="13" s="1"/>
  <c r="L265" i="13"/>
  <c r="AF265" i="13" s="1"/>
  <c r="AD264" i="13"/>
  <c r="AC264" i="13"/>
  <c r="M264" i="13"/>
  <c r="N264" i="13" s="1"/>
  <c r="L264" i="13"/>
  <c r="AF264" i="13" s="1"/>
  <c r="AD263" i="13"/>
  <c r="AC263" i="13"/>
  <c r="M263" i="13"/>
  <c r="N263" i="13" s="1"/>
  <c r="L263" i="13"/>
  <c r="AD261" i="13"/>
  <c r="AC261" i="13"/>
  <c r="M261" i="13"/>
  <c r="AA261" i="13" s="1"/>
  <c r="L261" i="13"/>
  <c r="AF261" i="13" s="1"/>
  <c r="AD260" i="13"/>
  <c r="AC260" i="13"/>
  <c r="M260" i="13"/>
  <c r="L260" i="13"/>
  <c r="AD259" i="13"/>
  <c r="AC259" i="13"/>
  <c r="M259" i="13"/>
  <c r="N259" i="13" s="1"/>
  <c r="L259" i="13"/>
  <c r="AF259" i="13" s="1"/>
  <c r="AD258" i="13"/>
  <c r="AC258" i="13"/>
  <c r="M258" i="13"/>
  <c r="AA258" i="13" s="1"/>
  <c r="L258" i="13"/>
  <c r="AF258" i="13" s="1"/>
  <c r="AD257" i="13"/>
  <c r="AC257" i="13"/>
  <c r="M257" i="13"/>
  <c r="AA257" i="13" s="1"/>
  <c r="L257" i="13"/>
  <c r="AF257" i="13" s="1"/>
  <c r="AD256" i="13"/>
  <c r="AC256" i="13"/>
  <c r="M256" i="13"/>
  <c r="N256" i="13" s="1"/>
  <c r="L256" i="13"/>
  <c r="AF256" i="13" s="1"/>
  <c r="AD255" i="13"/>
  <c r="AC255" i="13"/>
  <c r="M255" i="13"/>
  <c r="N255" i="13" s="1"/>
  <c r="L255" i="13"/>
  <c r="Z255" i="13" s="1"/>
  <c r="AD254" i="13"/>
  <c r="AC254" i="13"/>
  <c r="M254" i="13"/>
  <c r="AA254" i="13" s="1"/>
  <c r="L254" i="13"/>
  <c r="AF254" i="13" s="1"/>
  <c r="AD253" i="13"/>
  <c r="AC253" i="13"/>
  <c r="M253" i="13"/>
  <c r="L253" i="13"/>
  <c r="AB253" i="13" s="1"/>
  <c r="AD252" i="13"/>
  <c r="AC252" i="13"/>
  <c r="M252" i="13"/>
  <c r="AA252" i="13" s="1"/>
  <c r="L252" i="13"/>
  <c r="Z252" i="13" s="1"/>
  <c r="AD251" i="13"/>
  <c r="AC251" i="13"/>
  <c r="M251" i="13"/>
  <c r="AA251" i="13" s="1"/>
  <c r="L251" i="13"/>
  <c r="AF251" i="13" s="1"/>
  <c r="AD250" i="13"/>
  <c r="AC250" i="13"/>
  <c r="M250" i="13"/>
  <c r="N250" i="13" s="1"/>
  <c r="L250" i="13"/>
  <c r="AF250" i="13" s="1"/>
  <c r="AD249" i="13"/>
  <c r="AC249" i="13"/>
  <c r="M249" i="13"/>
  <c r="N249" i="13" s="1"/>
  <c r="L249" i="13"/>
  <c r="Z249" i="13" s="1"/>
  <c r="AD247" i="13"/>
  <c r="AC247" i="13"/>
  <c r="M247" i="13"/>
  <c r="AA247" i="13" s="1"/>
  <c r="L247" i="13"/>
  <c r="Z247" i="13" s="1"/>
  <c r="AD245" i="13"/>
  <c r="AC245" i="13"/>
  <c r="M245" i="13"/>
  <c r="AA245" i="13" s="1"/>
  <c r="L245" i="13"/>
  <c r="O245" i="13" s="1"/>
  <c r="AD244" i="13"/>
  <c r="AC244" i="13"/>
  <c r="M244" i="13"/>
  <c r="AA244" i="13" s="1"/>
  <c r="L244" i="13"/>
  <c r="AF244" i="13" s="1"/>
  <c r="AD243" i="13"/>
  <c r="AC243" i="13"/>
  <c r="M243" i="13"/>
  <c r="N243" i="13" s="1"/>
  <c r="L243" i="13"/>
  <c r="AB243" i="13" s="1"/>
  <c r="AD242" i="13"/>
  <c r="AC242" i="13"/>
  <c r="M242" i="13"/>
  <c r="AA242" i="13" s="1"/>
  <c r="L242" i="13"/>
  <c r="AF242" i="13" s="1"/>
  <c r="AF240" i="13"/>
  <c r="AD240" i="13"/>
  <c r="AA240" i="13"/>
  <c r="O240" i="13"/>
  <c r="N240" i="13"/>
  <c r="AF239" i="13"/>
  <c r="AD239" i="13"/>
  <c r="AA239" i="13"/>
  <c r="O239" i="13"/>
  <c r="N239" i="13"/>
  <c r="AF238" i="13"/>
  <c r="AD238" i="13"/>
  <c r="AA238" i="13"/>
  <c r="O238" i="13"/>
  <c r="N238" i="13"/>
  <c r="AF237" i="13"/>
  <c r="AD237" i="13"/>
  <c r="AA237" i="13"/>
  <c r="O237" i="13"/>
  <c r="N237" i="13"/>
  <c r="AC236" i="13"/>
  <c r="AB236" i="13"/>
  <c r="AD235" i="13"/>
  <c r="AC235" i="13"/>
  <c r="M235" i="13"/>
  <c r="AA235" i="13" s="1"/>
  <c r="L235" i="13"/>
  <c r="AF235" i="13" s="1"/>
  <c r="AD234" i="13"/>
  <c r="AC234" i="13"/>
  <c r="M234" i="13"/>
  <c r="L234" i="13"/>
  <c r="AF234" i="13" s="1"/>
  <c r="AD233" i="13"/>
  <c r="AC233" i="13"/>
  <c r="M233" i="13"/>
  <c r="AA233" i="13" s="1"/>
  <c r="L233" i="13"/>
  <c r="AF233" i="13" s="1"/>
  <c r="AD232" i="13"/>
  <c r="AC232" i="13"/>
  <c r="M232" i="13"/>
  <c r="L232" i="13"/>
  <c r="AB232" i="13" s="1"/>
  <c r="AD231" i="13"/>
  <c r="AC231" i="13"/>
  <c r="M231" i="13"/>
  <c r="AA231" i="13" s="1"/>
  <c r="L231" i="13"/>
  <c r="O231" i="13" s="1"/>
  <c r="AD229" i="13"/>
  <c r="AC229" i="13"/>
  <c r="M229" i="13"/>
  <c r="AA229" i="13" s="1"/>
  <c r="L229" i="13"/>
  <c r="O229" i="13" s="1"/>
  <c r="AD228" i="13"/>
  <c r="AC228" i="13"/>
  <c r="M228" i="13"/>
  <c r="N228" i="13" s="1"/>
  <c r="L228" i="13"/>
  <c r="AF228" i="13" s="1"/>
  <c r="AD227" i="13"/>
  <c r="AC227" i="13"/>
  <c r="M227" i="13"/>
  <c r="N227" i="13" s="1"/>
  <c r="L227" i="13"/>
  <c r="AD226" i="13"/>
  <c r="AC226" i="13"/>
  <c r="M226" i="13"/>
  <c r="AA226" i="13" s="1"/>
  <c r="L226" i="13"/>
  <c r="O226" i="13" s="1"/>
  <c r="AD224" i="13"/>
  <c r="AC224" i="13"/>
  <c r="M224" i="13"/>
  <c r="AA224" i="13" s="1"/>
  <c r="L224" i="13"/>
  <c r="AD223" i="13"/>
  <c r="AC223" i="13"/>
  <c r="M223" i="13"/>
  <c r="AA223" i="13" s="1"/>
  <c r="L223" i="13"/>
  <c r="AF223" i="13" s="1"/>
  <c r="AD222" i="13"/>
  <c r="AC222" i="13"/>
  <c r="M222" i="13"/>
  <c r="AA222" i="13" s="1"/>
  <c r="L222" i="13"/>
  <c r="AF222" i="13" s="1"/>
  <c r="AD221" i="13"/>
  <c r="AC221" i="13"/>
  <c r="M221" i="13"/>
  <c r="N221" i="13" s="1"/>
  <c r="L221" i="13"/>
  <c r="O221" i="13" s="1"/>
  <c r="AD220" i="13"/>
  <c r="AC220" i="13"/>
  <c r="M220" i="13"/>
  <c r="AA220" i="13" s="1"/>
  <c r="L220" i="13"/>
  <c r="Z220" i="13" s="1"/>
  <c r="AD219" i="13"/>
  <c r="AC219" i="13"/>
  <c r="M219" i="13"/>
  <c r="AA219" i="13" s="1"/>
  <c r="L219" i="13"/>
  <c r="AB219" i="13" s="1"/>
  <c r="AD218" i="13"/>
  <c r="AC218" i="13"/>
  <c r="M218" i="13"/>
  <c r="AA218" i="13" s="1"/>
  <c r="L218" i="13"/>
  <c r="AF218" i="13" s="1"/>
  <c r="AD217" i="13"/>
  <c r="AC217" i="13"/>
  <c r="M217" i="13"/>
  <c r="N217" i="13" s="1"/>
  <c r="L217" i="13"/>
  <c r="O217" i="13" s="1"/>
  <c r="AD216" i="13"/>
  <c r="AC216" i="13"/>
  <c r="M216" i="13"/>
  <c r="AA216" i="13" s="1"/>
  <c r="L216" i="13"/>
  <c r="Z216" i="13" s="1"/>
  <c r="AD215" i="13"/>
  <c r="AC215" i="13"/>
  <c r="M215" i="13"/>
  <c r="N215" i="13" s="1"/>
  <c r="L215" i="13"/>
  <c r="AB215" i="13" s="1"/>
  <c r="AD214" i="13"/>
  <c r="AC214" i="13"/>
  <c r="M214" i="13"/>
  <c r="AA214" i="13" s="1"/>
  <c r="L214" i="13"/>
  <c r="AF214" i="13" s="1"/>
  <c r="AD213" i="13"/>
  <c r="AC213" i="13"/>
  <c r="M213" i="13"/>
  <c r="N213" i="13" s="1"/>
  <c r="L213" i="13"/>
  <c r="O213" i="13" s="1"/>
  <c r="AD212" i="13"/>
  <c r="AC212" i="13"/>
  <c r="M212" i="13"/>
  <c r="AA212" i="13" s="1"/>
  <c r="L212" i="13"/>
  <c r="Z212" i="13" s="1"/>
  <c r="AD211" i="13"/>
  <c r="AC211" i="13"/>
  <c r="M211" i="13"/>
  <c r="AA211" i="13" s="1"/>
  <c r="L211" i="13"/>
  <c r="AB211" i="13" s="1"/>
  <c r="AD210" i="13"/>
  <c r="AC210" i="13"/>
  <c r="M210" i="13"/>
  <c r="AA210" i="13" s="1"/>
  <c r="L210" i="13"/>
  <c r="AF210" i="13" s="1"/>
  <c r="AD209" i="13"/>
  <c r="AC209" i="13"/>
  <c r="M209" i="13"/>
  <c r="N209" i="13" s="1"/>
  <c r="L209" i="13"/>
  <c r="O209" i="13" s="1"/>
  <c r="AD207" i="13"/>
  <c r="AC207" i="13"/>
  <c r="M207" i="13"/>
  <c r="N207" i="13" s="1"/>
  <c r="L207" i="13"/>
  <c r="AB207" i="13" s="1"/>
  <c r="AD206" i="13"/>
  <c r="AC206" i="13"/>
  <c r="M206" i="13"/>
  <c r="N206" i="13" s="1"/>
  <c r="L206" i="13"/>
  <c r="AB206" i="13" s="1"/>
  <c r="AD205" i="13"/>
  <c r="AC205" i="13"/>
  <c r="M205" i="13"/>
  <c r="N205" i="13" s="1"/>
  <c r="L205" i="13"/>
  <c r="AB205" i="13" s="1"/>
  <c r="AD204" i="13"/>
  <c r="AC204" i="13"/>
  <c r="M204" i="13"/>
  <c r="N204" i="13" s="1"/>
  <c r="L204" i="13"/>
  <c r="AB204" i="13" s="1"/>
  <c r="AD203" i="13"/>
  <c r="AC203" i="13"/>
  <c r="M203" i="13"/>
  <c r="N203" i="13" s="1"/>
  <c r="L203" i="13"/>
  <c r="AB203" i="13" s="1"/>
  <c r="AD202" i="13"/>
  <c r="AC202" i="13"/>
  <c r="M202" i="13"/>
  <c r="N202" i="13" s="1"/>
  <c r="L202" i="13"/>
  <c r="AB202" i="13" s="1"/>
  <c r="AD201" i="13"/>
  <c r="AC201" i="13"/>
  <c r="M201" i="13"/>
  <c r="N201" i="13" s="1"/>
  <c r="L201" i="13"/>
  <c r="AB201" i="13" s="1"/>
  <c r="Z199" i="13"/>
  <c r="N199" i="13"/>
  <c r="AD197" i="13"/>
  <c r="AC197" i="13"/>
  <c r="AA197" i="13"/>
  <c r="X197" i="13"/>
  <c r="M197" i="13"/>
  <c r="Z197" i="13" s="1"/>
  <c r="AD196" i="13"/>
  <c r="AC196" i="13"/>
  <c r="AA196" i="13"/>
  <c r="X196" i="13"/>
  <c r="M196" i="13"/>
  <c r="N196" i="13" s="1"/>
  <c r="AD195" i="13"/>
  <c r="AC195" i="13"/>
  <c r="AA195" i="13"/>
  <c r="X195" i="13"/>
  <c r="M195" i="13"/>
  <c r="N195" i="13" s="1"/>
  <c r="AD194" i="13"/>
  <c r="AC194" i="13"/>
  <c r="AA194" i="13"/>
  <c r="X194" i="13"/>
  <c r="M194" i="13"/>
  <c r="N194" i="13" s="1"/>
  <c r="AD193" i="13"/>
  <c r="AC193" i="13"/>
  <c r="AA193" i="13"/>
  <c r="X193" i="13"/>
  <c r="M193" i="13"/>
  <c r="Z193" i="13" s="1"/>
  <c r="AF192" i="13"/>
  <c r="AD192" i="13"/>
  <c r="AC192" i="13"/>
  <c r="X192" i="13"/>
  <c r="M192" i="13"/>
  <c r="Z192" i="13" s="1"/>
  <c r="AF191" i="13"/>
  <c r="AD191" i="13"/>
  <c r="AC191" i="13"/>
  <c r="X191" i="13"/>
  <c r="M191" i="13"/>
  <c r="Z191" i="13" s="1"/>
  <c r="AF190" i="13"/>
  <c r="X190" i="13"/>
  <c r="M190" i="13"/>
  <c r="N190" i="13" s="1"/>
  <c r="AF189" i="13"/>
  <c r="AD189" i="13"/>
  <c r="AC189" i="13"/>
  <c r="X189" i="13"/>
  <c r="M189" i="13"/>
  <c r="N189" i="13" s="1"/>
  <c r="AF188" i="13"/>
  <c r="AD188" i="13"/>
  <c r="AC188" i="13"/>
  <c r="X188" i="13"/>
  <c r="M188" i="13"/>
  <c r="Z188" i="13" s="1"/>
  <c r="AF187" i="13"/>
  <c r="X187" i="13"/>
  <c r="M187" i="13"/>
  <c r="N187" i="13" s="1"/>
  <c r="AD185" i="13"/>
  <c r="AC185" i="13"/>
  <c r="M185" i="13"/>
  <c r="N185" i="13" s="1"/>
  <c r="L185" i="13"/>
  <c r="Z185" i="13" s="1"/>
  <c r="AD184" i="13"/>
  <c r="AC184" i="13"/>
  <c r="M184" i="13"/>
  <c r="N184" i="13" s="1"/>
  <c r="L184" i="13"/>
  <c r="AA184" i="13" s="1"/>
  <c r="AD183" i="13"/>
  <c r="AC183" i="13"/>
  <c r="M183" i="13"/>
  <c r="N183" i="13" s="1"/>
  <c r="L183" i="13"/>
  <c r="AF183" i="13" s="1"/>
  <c r="AD182" i="13"/>
  <c r="AC182" i="13"/>
  <c r="M182" i="13"/>
  <c r="N182" i="13" s="1"/>
  <c r="L182" i="13"/>
  <c r="AA182" i="13" s="1"/>
  <c r="AD181" i="13"/>
  <c r="AC181" i="13"/>
  <c r="M181" i="13"/>
  <c r="N181" i="13" s="1"/>
  <c r="L181" i="13"/>
  <c r="O181" i="13" s="1"/>
  <c r="AD179" i="13"/>
  <c r="AC179" i="13"/>
  <c r="M179" i="13"/>
  <c r="N179" i="13" s="1"/>
  <c r="L179" i="13"/>
  <c r="AB179" i="13" s="1"/>
  <c r="AD178" i="13"/>
  <c r="AC178" i="13"/>
  <c r="M178" i="13"/>
  <c r="N178" i="13" s="1"/>
  <c r="L178" i="13"/>
  <c r="AB178" i="13" s="1"/>
  <c r="AD177" i="13"/>
  <c r="AC177" i="13"/>
  <c r="M177" i="13"/>
  <c r="N177" i="13" s="1"/>
  <c r="L177" i="13"/>
  <c r="Z177" i="13" s="1"/>
  <c r="AD176" i="13"/>
  <c r="AC176" i="13"/>
  <c r="M176" i="13"/>
  <c r="N176" i="13" s="1"/>
  <c r="L176" i="13"/>
  <c r="O176" i="13" s="1"/>
  <c r="AD175" i="13"/>
  <c r="AC175" i="13"/>
  <c r="M175" i="13"/>
  <c r="N175" i="13" s="1"/>
  <c r="L175" i="13"/>
  <c r="AB175" i="13" s="1"/>
  <c r="AD173" i="13"/>
  <c r="AC173" i="13"/>
  <c r="AB173" i="13"/>
  <c r="AA173" i="13"/>
  <c r="Z173" i="13"/>
  <c r="X173" i="13"/>
  <c r="O173" i="13"/>
  <c r="N173" i="13"/>
  <c r="AD172" i="13"/>
  <c r="AC172" i="13"/>
  <c r="AB172" i="13"/>
  <c r="AA172" i="13"/>
  <c r="Z172" i="13"/>
  <c r="X172" i="13"/>
  <c r="O172" i="13"/>
  <c r="N172" i="13"/>
  <c r="AD171" i="13"/>
  <c r="AC171" i="13"/>
  <c r="AB171" i="13"/>
  <c r="AA171" i="13"/>
  <c r="Z171" i="13"/>
  <c r="X171" i="13"/>
  <c r="O171" i="13"/>
  <c r="N171" i="13"/>
  <c r="AD170" i="13"/>
  <c r="AC170" i="13"/>
  <c r="AB170" i="13"/>
  <c r="AA170" i="13"/>
  <c r="Z170" i="13"/>
  <c r="X170" i="13"/>
  <c r="O170" i="13"/>
  <c r="N170" i="13"/>
  <c r="AD169" i="13"/>
  <c r="AC169" i="13"/>
  <c r="AB169" i="13"/>
  <c r="AA169" i="13"/>
  <c r="Z169" i="13"/>
  <c r="X169" i="13"/>
  <c r="O169" i="13"/>
  <c r="N169" i="13"/>
  <c r="AD168" i="13"/>
  <c r="AC168" i="13"/>
  <c r="AB168" i="13"/>
  <c r="AB166" i="13" s="1"/>
  <c r="AA168" i="13"/>
  <c r="Z168" i="13"/>
  <c r="X168" i="13"/>
  <c r="O168" i="13"/>
  <c r="N168" i="13"/>
  <c r="AD167" i="13"/>
  <c r="AC167" i="13"/>
  <c r="AA167" i="13"/>
  <c r="Z167" i="13"/>
  <c r="X167" i="13"/>
  <c r="N167" i="13"/>
  <c r="O166" i="13"/>
  <c r="AD165" i="13"/>
  <c r="AC165" i="13"/>
  <c r="M165" i="13"/>
  <c r="N165" i="13" s="1"/>
  <c r="L165" i="13"/>
  <c r="AA165" i="13" s="1"/>
  <c r="AD164" i="13"/>
  <c r="AC164" i="13"/>
  <c r="M164" i="13"/>
  <c r="N164" i="13" s="1"/>
  <c r="L164" i="13"/>
  <c r="O164" i="13" s="1"/>
  <c r="AD163" i="13"/>
  <c r="AC163" i="13"/>
  <c r="M163" i="13"/>
  <c r="N163" i="13" s="1"/>
  <c r="L163" i="13"/>
  <c r="O163" i="13" s="1"/>
  <c r="AD162" i="13"/>
  <c r="AC162" i="13"/>
  <c r="M162" i="13"/>
  <c r="N162" i="13" s="1"/>
  <c r="L162" i="13"/>
  <c r="O162" i="13" s="1"/>
  <c r="AD161" i="13"/>
  <c r="AC161" i="13"/>
  <c r="M161" i="13"/>
  <c r="N161" i="13" s="1"/>
  <c r="L161" i="13"/>
  <c r="O161" i="13" s="1"/>
  <c r="AD160" i="13"/>
  <c r="AC160" i="13"/>
  <c r="M160" i="13"/>
  <c r="N160" i="13" s="1"/>
  <c r="L160" i="13"/>
  <c r="O160" i="13" s="1"/>
  <c r="AD158" i="13"/>
  <c r="AC158" i="13"/>
  <c r="M158" i="13"/>
  <c r="N158" i="13" s="1"/>
  <c r="L158" i="13"/>
  <c r="O158" i="13" s="1"/>
  <c r="AD157" i="13"/>
  <c r="AC157" i="13"/>
  <c r="M157" i="13"/>
  <c r="N157" i="13" s="1"/>
  <c r="L157" i="13"/>
  <c r="AB157" i="13" s="1"/>
  <c r="AD156" i="13"/>
  <c r="AC156" i="13"/>
  <c r="M156" i="13"/>
  <c r="N156" i="13" s="1"/>
  <c r="L156" i="13"/>
  <c r="AB156" i="13" s="1"/>
  <c r="AD155" i="13"/>
  <c r="AC155" i="13"/>
  <c r="M155" i="13"/>
  <c r="N155" i="13" s="1"/>
  <c r="L155" i="13"/>
  <c r="AB155" i="13" s="1"/>
  <c r="AD154" i="13"/>
  <c r="AC154" i="13"/>
  <c r="M154" i="13"/>
  <c r="N154" i="13" s="1"/>
  <c r="L154" i="13"/>
  <c r="O154" i="13" s="1"/>
  <c r="AD153" i="13"/>
  <c r="AC153" i="13"/>
  <c r="M153" i="13"/>
  <c r="N153" i="13" s="1"/>
  <c r="L153" i="13"/>
  <c r="AD152" i="13"/>
  <c r="AC152" i="13"/>
  <c r="M152" i="13"/>
  <c r="N152" i="13" s="1"/>
  <c r="L152" i="13"/>
  <c r="AB152" i="13" s="1"/>
  <c r="AD151" i="13"/>
  <c r="AC151" i="13"/>
  <c r="M151" i="13"/>
  <c r="N151" i="13" s="1"/>
  <c r="L151" i="13"/>
  <c r="O151" i="13" s="1"/>
  <c r="AD150" i="13"/>
  <c r="AC150" i="13"/>
  <c r="M150" i="13"/>
  <c r="N150" i="13" s="1"/>
  <c r="L150" i="13"/>
  <c r="O150" i="13" s="1"/>
  <c r="AD149" i="13"/>
  <c r="AC149" i="13"/>
  <c r="M149" i="13"/>
  <c r="N149" i="13" s="1"/>
  <c r="L149" i="13"/>
  <c r="O149" i="13" s="1"/>
  <c r="AD148" i="13"/>
  <c r="AC148" i="13"/>
  <c r="M148" i="13"/>
  <c r="N148" i="13" s="1"/>
  <c r="L148" i="13"/>
  <c r="AB148" i="13" s="1"/>
  <c r="AD147" i="13"/>
  <c r="AC147" i="13"/>
  <c r="M147" i="13"/>
  <c r="N147" i="13" s="1"/>
  <c r="L147" i="13"/>
  <c r="AD145" i="13"/>
  <c r="AC145" i="13"/>
  <c r="X145" i="13"/>
  <c r="M145" i="13"/>
  <c r="N145" i="13" s="1"/>
  <c r="AD143" i="13"/>
  <c r="AC143" i="13"/>
  <c r="X143" i="13"/>
  <c r="M143" i="13"/>
  <c r="N143" i="13" s="1"/>
  <c r="AD142" i="13"/>
  <c r="AC142" i="13"/>
  <c r="X142" i="13"/>
  <c r="M142" i="13"/>
  <c r="N142" i="13" s="1"/>
  <c r="AD140" i="13"/>
  <c r="AC140" i="13"/>
  <c r="X140" i="13"/>
  <c r="M140" i="13"/>
  <c r="N140" i="13" s="1"/>
  <c r="AD139" i="13"/>
  <c r="AC139" i="13"/>
  <c r="X139" i="13"/>
  <c r="M139" i="13"/>
  <c r="N139" i="13" s="1"/>
  <c r="AD138" i="13"/>
  <c r="AC138" i="13"/>
  <c r="X138" i="13"/>
  <c r="M138" i="13"/>
  <c r="N138" i="13" s="1"/>
  <c r="AD137" i="13"/>
  <c r="AC137" i="13"/>
  <c r="X137" i="13"/>
  <c r="M137" i="13"/>
  <c r="N137" i="13" s="1"/>
  <c r="AD136" i="13"/>
  <c r="AC136" i="13"/>
  <c r="Z136" i="13"/>
  <c r="X136" i="13"/>
  <c r="M136" i="13"/>
  <c r="N136" i="13" s="1"/>
  <c r="AD135" i="13"/>
  <c r="AC135" i="13"/>
  <c r="Z135" i="13"/>
  <c r="X135" i="13"/>
  <c r="M135" i="13"/>
  <c r="N135" i="13" s="1"/>
  <c r="AB134" i="13"/>
  <c r="AD133" i="13"/>
  <c r="AC133" i="13"/>
  <c r="X133" i="13"/>
  <c r="M133" i="13"/>
  <c r="N133" i="13" s="1"/>
  <c r="AD132" i="13"/>
  <c r="AC132" i="13"/>
  <c r="X132" i="13"/>
  <c r="M132" i="13"/>
  <c r="N132" i="13" s="1"/>
  <c r="AD131" i="13"/>
  <c r="AC131" i="13"/>
  <c r="X131" i="13"/>
  <c r="M131" i="13"/>
  <c r="N131" i="13" s="1"/>
  <c r="AD130" i="13"/>
  <c r="AC130" i="13"/>
  <c r="Z130" i="13"/>
  <c r="X130" i="13"/>
  <c r="M130" i="13"/>
  <c r="N130" i="13" s="1"/>
  <c r="AD129" i="13"/>
  <c r="AC129" i="13"/>
  <c r="X129" i="13"/>
  <c r="M129" i="13"/>
  <c r="N129" i="13" s="1"/>
  <c r="Z128" i="13"/>
  <c r="X128" i="13"/>
  <c r="M128" i="13"/>
  <c r="N128" i="13" s="1"/>
  <c r="AB127" i="13"/>
  <c r="AD126" i="13"/>
  <c r="AC126" i="13"/>
  <c r="L126" i="13"/>
  <c r="AB126" i="13" s="1"/>
  <c r="AD125" i="13"/>
  <c r="AC125" i="13"/>
  <c r="L125" i="13"/>
  <c r="AB125" i="13" s="1"/>
  <c r="AD124" i="13"/>
  <c r="L124" i="13"/>
  <c r="O124" i="13" s="1"/>
  <c r="AD123" i="13"/>
  <c r="L123" i="13"/>
  <c r="M123" i="13" s="1"/>
  <c r="N123" i="13" s="1"/>
  <c r="AD121" i="13"/>
  <c r="AC121" i="13"/>
  <c r="AA121" i="13"/>
  <c r="X121" i="13"/>
  <c r="M121" i="13"/>
  <c r="AD120" i="13"/>
  <c r="AC120" i="13"/>
  <c r="AA120" i="13"/>
  <c r="X120" i="13"/>
  <c r="M120" i="13"/>
  <c r="AD119" i="13"/>
  <c r="AC119" i="13"/>
  <c r="AA119" i="13"/>
  <c r="X119" i="13"/>
  <c r="M119" i="13"/>
  <c r="AD118" i="13"/>
  <c r="AC118" i="13"/>
  <c r="AA118" i="13"/>
  <c r="X118" i="13"/>
  <c r="M118" i="13"/>
  <c r="AD117" i="13"/>
  <c r="AC117" i="13"/>
  <c r="AA117" i="13"/>
  <c r="X117" i="13"/>
  <c r="M117" i="13"/>
  <c r="AD116" i="13"/>
  <c r="AC116" i="13"/>
  <c r="X116" i="13"/>
  <c r="M116" i="13"/>
  <c r="AD115" i="13"/>
  <c r="AC115" i="13"/>
  <c r="AA115" i="13"/>
  <c r="X115" i="13"/>
  <c r="M115" i="13"/>
  <c r="AD114" i="13"/>
  <c r="AC114" i="13"/>
  <c r="AA114" i="13"/>
  <c r="X114" i="13"/>
  <c r="M114" i="13"/>
  <c r="AD113" i="13"/>
  <c r="AC113" i="13"/>
  <c r="AA113" i="13"/>
  <c r="X113" i="13"/>
  <c r="M113" i="13"/>
  <c r="AD112" i="13"/>
  <c r="AC112" i="13"/>
  <c r="X112" i="13"/>
  <c r="M112" i="13"/>
  <c r="AD111" i="13"/>
  <c r="AC111" i="13"/>
  <c r="X111" i="13"/>
  <c r="M111" i="13"/>
  <c r="AD110" i="13"/>
  <c r="AC110" i="13"/>
  <c r="X110" i="13"/>
  <c r="M110" i="13"/>
  <c r="AB109" i="13"/>
  <c r="N109" i="13"/>
  <c r="AD108" i="13"/>
  <c r="AC108" i="13"/>
  <c r="X108" i="13"/>
  <c r="M108" i="13"/>
  <c r="AD107" i="13"/>
  <c r="AC107" i="13"/>
  <c r="X107" i="13"/>
  <c r="M107" i="13"/>
  <c r="AD106" i="13"/>
  <c r="AC106" i="13"/>
  <c r="X106" i="13"/>
  <c r="M106" i="13"/>
  <c r="AB105" i="13"/>
  <c r="N105" i="13"/>
  <c r="AD104" i="13"/>
  <c r="AC104" i="13"/>
  <c r="AA104" i="13"/>
  <c r="N104" i="13"/>
  <c r="AD103" i="13"/>
  <c r="AC103" i="13"/>
  <c r="AA103" i="13"/>
  <c r="N103" i="13"/>
  <c r="AD102" i="13"/>
  <c r="AC102" i="13"/>
  <c r="AA102" i="13"/>
  <c r="N102" i="13"/>
  <c r="AD101" i="13"/>
  <c r="AC101" i="13"/>
  <c r="AA101" i="13"/>
  <c r="N101" i="13"/>
  <c r="AD100" i="13"/>
  <c r="AC100" i="13"/>
  <c r="AA100" i="13"/>
  <c r="N100" i="13"/>
  <c r="AD99" i="13"/>
  <c r="AC99" i="13"/>
  <c r="AA99" i="13"/>
  <c r="N99" i="13"/>
  <c r="AD98" i="13"/>
  <c r="AC98" i="13"/>
  <c r="AA98" i="13"/>
  <c r="N98" i="13"/>
  <c r="AD97" i="13"/>
  <c r="AC97" i="13"/>
  <c r="AA97" i="13"/>
  <c r="N97" i="13"/>
  <c r="AA96" i="13"/>
  <c r="AD95" i="13"/>
  <c r="AC95" i="13"/>
  <c r="M95" i="13"/>
  <c r="N95" i="13" s="1"/>
  <c r="L95" i="13"/>
  <c r="Z95" i="13" s="1"/>
  <c r="AD94" i="13"/>
  <c r="AC94" i="13"/>
  <c r="M94" i="13"/>
  <c r="N94" i="13" s="1"/>
  <c r="L94" i="13"/>
  <c r="Z94" i="13" s="1"/>
  <c r="AD93" i="13"/>
  <c r="AC93" i="13"/>
  <c r="M93" i="13"/>
  <c r="N93" i="13" s="1"/>
  <c r="L93" i="13"/>
  <c r="Z93" i="13" s="1"/>
  <c r="AD92" i="13"/>
  <c r="AC92" i="13"/>
  <c r="M92" i="13"/>
  <c r="N92" i="13" s="1"/>
  <c r="L92" i="13"/>
  <c r="Z92" i="13" s="1"/>
  <c r="AD91" i="13"/>
  <c r="AC91" i="13"/>
  <c r="M91" i="13"/>
  <c r="N91" i="13" s="1"/>
  <c r="L91" i="13"/>
  <c r="AD90" i="13"/>
  <c r="AC90" i="13"/>
  <c r="M90" i="13"/>
  <c r="AA90" i="13" s="1"/>
  <c r="L90" i="13"/>
  <c r="AD89" i="13"/>
  <c r="AC89" i="13"/>
  <c r="M89" i="13"/>
  <c r="AA89" i="13" s="1"/>
  <c r="L89" i="13"/>
  <c r="Z89" i="13" s="1"/>
  <c r="AA87" i="13"/>
  <c r="N87" i="13"/>
  <c r="AA86" i="13"/>
  <c r="N86" i="13"/>
  <c r="AA85" i="13"/>
  <c r="N85" i="13"/>
  <c r="AA84" i="13"/>
  <c r="N84" i="13"/>
  <c r="AA83" i="13"/>
  <c r="N83" i="13"/>
  <c r="AA82" i="13"/>
  <c r="N82" i="13"/>
  <c r="AA81" i="13"/>
  <c r="N81" i="13"/>
  <c r="AA80" i="13"/>
  <c r="N80" i="13"/>
  <c r="AA79" i="13"/>
  <c r="N79" i="13"/>
  <c r="AF78" i="13"/>
  <c r="AC78" i="13"/>
  <c r="M77" i="13"/>
  <c r="N77" i="13" s="1"/>
  <c r="L77" i="13"/>
  <c r="Z77" i="13" s="1"/>
  <c r="M76" i="13"/>
  <c r="N76" i="13" s="1"/>
  <c r="L76" i="13"/>
  <c r="Z76" i="13" s="1"/>
  <c r="M75" i="13"/>
  <c r="N75" i="13" s="1"/>
  <c r="L75" i="13"/>
  <c r="Z75" i="13" s="1"/>
  <c r="M74" i="13"/>
  <c r="N74" i="13" s="1"/>
  <c r="L74" i="13"/>
  <c r="Z74" i="13" s="1"/>
  <c r="M73" i="13"/>
  <c r="N73" i="13" s="1"/>
  <c r="L73" i="13"/>
  <c r="M72" i="13"/>
  <c r="N72" i="13" s="1"/>
  <c r="L72" i="13"/>
  <c r="M71" i="13"/>
  <c r="N71" i="13" s="1"/>
  <c r="L71" i="13"/>
  <c r="AD69" i="13"/>
  <c r="AC69" i="13"/>
  <c r="AB69" i="13"/>
  <c r="X69" i="13"/>
  <c r="M69" i="13" s="1"/>
  <c r="AF67" i="13"/>
  <c r="AD67" i="13"/>
  <c r="AC67" i="13"/>
  <c r="AA67" i="13"/>
  <c r="Z67" i="13"/>
  <c r="X67" i="13"/>
  <c r="N67" i="13"/>
  <c r="AF66" i="13"/>
  <c r="AD66" i="13"/>
  <c r="AC66" i="13"/>
  <c r="AA66" i="13"/>
  <c r="Z66" i="13"/>
  <c r="X66" i="13"/>
  <c r="N66" i="13"/>
  <c r="AF65" i="13"/>
  <c r="AD65" i="13"/>
  <c r="AC65" i="13"/>
  <c r="AA65" i="13"/>
  <c r="Z65" i="13"/>
  <c r="X65" i="13"/>
  <c r="N65" i="13"/>
  <c r="AF64" i="13"/>
  <c r="AD64" i="13"/>
  <c r="AC64" i="13"/>
  <c r="AA64" i="13"/>
  <c r="Z64" i="13"/>
  <c r="X64" i="13"/>
  <c r="N64" i="13"/>
  <c r="AF63" i="13"/>
  <c r="AD63" i="13"/>
  <c r="AC63" i="13"/>
  <c r="AA63" i="13"/>
  <c r="Z63" i="13"/>
  <c r="X63" i="13"/>
  <c r="N63" i="13"/>
  <c r="AF62" i="13"/>
  <c r="AD62" i="13"/>
  <c r="AC62" i="13"/>
  <c r="AA62" i="13"/>
  <c r="Z62" i="13"/>
  <c r="X62" i="13"/>
  <c r="N62" i="13"/>
  <c r="AF61" i="13"/>
  <c r="AD61" i="13"/>
  <c r="AC61" i="13"/>
  <c r="AA61" i="13"/>
  <c r="Z61" i="13"/>
  <c r="X61" i="13"/>
  <c r="N61" i="13"/>
  <c r="AF60" i="13"/>
  <c r="AD60" i="13"/>
  <c r="AC60" i="13"/>
  <c r="AA60" i="13"/>
  <c r="Z60" i="13"/>
  <c r="X60" i="13"/>
  <c r="N60" i="13"/>
  <c r="AF59" i="13"/>
  <c r="AD59" i="13"/>
  <c r="AC59" i="13"/>
  <c r="AA59" i="13"/>
  <c r="Z59" i="13"/>
  <c r="X59" i="13"/>
  <c r="N59" i="13"/>
  <c r="AD58" i="13"/>
  <c r="AC58" i="13"/>
  <c r="AA58" i="13"/>
  <c r="Z58" i="13"/>
  <c r="X58" i="13"/>
  <c r="N58" i="13"/>
  <c r="AD57" i="13"/>
  <c r="AC57" i="13"/>
  <c r="AA57" i="13"/>
  <c r="Z57" i="13"/>
  <c r="X57" i="13"/>
  <c r="N57" i="13"/>
  <c r="AF56" i="13"/>
  <c r="AD56" i="13"/>
  <c r="AC56" i="13"/>
  <c r="AA56" i="13"/>
  <c r="Z56" i="13"/>
  <c r="X56" i="13"/>
  <c r="N56" i="13"/>
  <c r="AF55" i="13"/>
  <c r="AD55" i="13"/>
  <c r="AC55" i="13"/>
  <c r="AA55" i="13"/>
  <c r="Z55" i="13"/>
  <c r="X55" i="13"/>
  <c r="N55" i="13"/>
  <c r="AF54" i="13"/>
  <c r="AD54" i="13"/>
  <c r="AC54" i="13"/>
  <c r="AA54" i="13"/>
  <c r="Z54" i="13"/>
  <c r="X54" i="13"/>
  <c r="N54" i="13"/>
  <c r="AD53" i="13"/>
  <c r="AC53" i="13"/>
  <c r="AA53" i="13"/>
  <c r="Z53" i="13"/>
  <c r="X53" i="13"/>
  <c r="N53" i="13"/>
  <c r="AD52" i="13"/>
  <c r="AC52" i="13"/>
  <c r="AA52" i="13"/>
  <c r="Z52" i="13"/>
  <c r="X52" i="13"/>
  <c r="N52" i="13"/>
  <c r="AB51" i="13"/>
  <c r="AD50" i="13"/>
  <c r="AC50" i="13"/>
  <c r="M50" i="13"/>
  <c r="AA50" i="13" s="1"/>
  <c r="L50" i="13"/>
  <c r="AF50" i="13" s="1"/>
  <c r="AD49" i="13"/>
  <c r="AC49" i="13"/>
  <c r="M49" i="13"/>
  <c r="AA49" i="13" s="1"/>
  <c r="L49" i="13"/>
  <c r="AB49" i="13" s="1"/>
  <c r="AD47" i="13"/>
  <c r="AC47" i="13"/>
  <c r="AB47" i="13"/>
  <c r="AA47" i="13"/>
  <c r="M47" i="13"/>
  <c r="AD46" i="13"/>
  <c r="AC46" i="13"/>
  <c r="AB46" i="13"/>
  <c r="AA46" i="13"/>
  <c r="M46" i="13"/>
  <c r="AD45" i="13"/>
  <c r="AC45" i="13"/>
  <c r="AB45" i="13"/>
  <c r="AA45" i="13"/>
  <c r="M45" i="13"/>
  <c r="AD44" i="13"/>
  <c r="AC44" i="13"/>
  <c r="AB44" i="13"/>
  <c r="AA44" i="13"/>
  <c r="M44" i="13"/>
  <c r="AD43" i="13"/>
  <c r="AC43" i="13"/>
  <c r="AB43" i="13"/>
  <c r="AA43" i="13"/>
  <c r="M43" i="13"/>
  <c r="AF41" i="13"/>
  <c r="AD41" i="13"/>
  <c r="AC41" i="13"/>
  <c r="AB41" i="13"/>
  <c r="AA41" i="13"/>
  <c r="Z41" i="13"/>
  <c r="X41" i="13"/>
  <c r="O41" i="13"/>
  <c r="N41" i="13"/>
  <c r="AF40" i="13"/>
  <c r="AD40" i="13"/>
  <c r="AC40" i="13"/>
  <c r="AB40" i="13"/>
  <c r="AA40" i="13"/>
  <c r="Z40" i="13"/>
  <c r="X40" i="13"/>
  <c r="O40" i="13"/>
  <c r="N40" i="13"/>
  <c r="AF39" i="13"/>
  <c r="AD39" i="13"/>
  <c r="AC39" i="13"/>
  <c r="AB39" i="13"/>
  <c r="AA39" i="13"/>
  <c r="Z39" i="13"/>
  <c r="X39" i="13"/>
  <c r="O39" i="13"/>
  <c r="N39" i="13"/>
  <c r="AF38" i="13"/>
  <c r="AD38" i="13"/>
  <c r="AC38" i="13"/>
  <c r="AB38" i="13"/>
  <c r="AA38" i="13"/>
  <c r="Z38" i="13"/>
  <c r="X38" i="13"/>
  <c r="O38" i="13"/>
  <c r="N38" i="13"/>
  <c r="AF37" i="13"/>
  <c r="AD37" i="13"/>
  <c r="AC37" i="13"/>
  <c r="AB37" i="13"/>
  <c r="AA37" i="13"/>
  <c r="Z37" i="13"/>
  <c r="X37" i="13"/>
  <c r="O37" i="13"/>
  <c r="N37" i="13"/>
  <c r="AF36" i="13"/>
  <c r="AD36" i="13"/>
  <c r="AC36" i="13"/>
  <c r="AB36" i="13"/>
  <c r="AA36" i="13"/>
  <c r="Z36" i="13"/>
  <c r="X36" i="13"/>
  <c r="O36" i="13"/>
  <c r="N36" i="13"/>
  <c r="AF35" i="13"/>
  <c r="AD35" i="13"/>
  <c r="AC35" i="13"/>
  <c r="AB35" i="13"/>
  <c r="AA35" i="13"/>
  <c r="Z35" i="13"/>
  <c r="X35" i="13"/>
  <c r="O35" i="13"/>
  <c r="N35" i="13"/>
  <c r="AF34" i="13"/>
  <c r="AD34" i="13"/>
  <c r="AC34" i="13"/>
  <c r="AB34" i="13"/>
  <c r="AA34" i="13"/>
  <c r="Z34" i="13"/>
  <c r="X34" i="13"/>
  <c r="O34" i="13"/>
  <c r="N34" i="13"/>
  <c r="AD32" i="13"/>
  <c r="M32" i="13"/>
  <c r="AA32" i="13" s="1"/>
  <c r="L32" i="13"/>
  <c r="AF32" i="13" s="1"/>
  <c r="AC31" i="13"/>
  <c r="AB31" i="13"/>
  <c r="AD30" i="13"/>
  <c r="AC30" i="13"/>
  <c r="AB30" i="13"/>
  <c r="AA30" i="13"/>
  <c r="Z30" i="13"/>
  <c r="X30" i="13"/>
  <c r="O30" i="13"/>
  <c r="N30" i="13"/>
  <c r="AD29" i="13"/>
  <c r="AC29" i="13"/>
  <c r="AB29" i="13"/>
  <c r="AA29" i="13"/>
  <c r="Z29" i="13"/>
  <c r="X29" i="13"/>
  <c r="O29" i="13"/>
  <c r="N29" i="13"/>
  <c r="AD28" i="13"/>
  <c r="AC28" i="13"/>
  <c r="AB28" i="13"/>
  <c r="AA28" i="13"/>
  <c r="Z28" i="13"/>
  <c r="X28" i="13"/>
  <c r="O28" i="13"/>
  <c r="N28" i="13"/>
  <c r="AD27" i="13"/>
  <c r="AC27" i="13"/>
  <c r="AB27" i="13"/>
  <c r="AA27" i="13"/>
  <c r="Z27" i="13"/>
  <c r="X27" i="13"/>
  <c r="O27" i="13"/>
  <c r="N27" i="13"/>
  <c r="AD26" i="13"/>
  <c r="AC26" i="13"/>
  <c r="AB26" i="13"/>
  <c r="AA26" i="13"/>
  <c r="X26" i="13"/>
  <c r="O26" i="13"/>
  <c r="N26" i="13"/>
  <c r="AD25" i="13"/>
  <c r="AC25" i="13"/>
  <c r="AB25" i="13"/>
  <c r="AA25" i="13"/>
  <c r="Z25" i="13"/>
  <c r="X25" i="13"/>
  <c r="O25" i="13"/>
  <c r="N25" i="13"/>
  <c r="AD24" i="13"/>
  <c r="AC24" i="13"/>
  <c r="AB24" i="13"/>
  <c r="AA24" i="13"/>
  <c r="Z24" i="13"/>
  <c r="X24" i="13"/>
  <c r="O24" i="13"/>
  <c r="N24" i="13"/>
  <c r="AD22" i="13"/>
  <c r="AC22" i="13"/>
  <c r="M22" i="13"/>
  <c r="AA22" i="13" s="1"/>
  <c r="L22" i="13"/>
  <c r="AF22" i="13" s="1"/>
  <c r="N20" i="13"/>
  <c r="N19" i="13"/>
  <c r="N18" i="13"/>
  <c r="N17" i="13"/>
  <c r="N16" i="13"/>
  <c r="L14" i="13"/>
  <c r="Z14" i="13" s="1"/>
  <c r="L13" i="13"/>
  <c r="M13" i="13" s="1"/>
  <c r="N13" i="13" s="1"/>
  <c r="L12" i="13"/>
  <c r="M12" i="13" s="1"/>
  <c r="N12" i="13" s="1"/>
  <c r="L11" i="13"/>
  <c r="O11" i="13" s="1"/>
  <c r="AD9" i="13"/>
  <c r="AC9" i="13"/>
  <c r="AB9" i="13"/>
  <c r="X9" i="13"/>
  <c r="O9" i="13"/>
  <c r="N9" i="13"/>
  <c r="AD8" i="13"/>
  <c r="AC8" i="13"/>
  <c r="AB8" i="13"/>
  <c r="X8" i="13"/>
  <c r="O8" i="13"/>
  <c r="N8" i="13"/>
  <c r="AD7" i="13"/>
  <c r="AC7" i="13"/>
  <c r="AB7" i="13"/>
  <c r="X7" i="13"/>
  <c r="O7" i="13"/>
  <c r="N7" i="13"/>
  <c r="AD6" i="13"/>
  <c r="AC6" i="13"/>
  <c r="AB6" i="13"/>
  <c r="X6" i="13"/>
  <c r="O6" i="13"/>
  <c r="N6" i="13"/>
  <c r="AD5" i="13"/>
  <c r="AC5" i="13"/>
  <c r="AB5" i="13"/>
  <c r="X5" i="13"/>
  <c r="O5" i="13"/>
  <c r="N5" i="13"/>
  <c r="O244" i="13" l="1"/>
  <c r="AB200" i="13"/>
  <c r="N273" i="13"/>
  <c r="N223" i="13"/>
  <c r="N226" i="13"/>
  <c r="N200" i="13"/>
  <c r="O299" i="13"/>
  <c r="O292" i="13" s="1"/>
  <c r="O289" i="13" s="1"/>
  <c r="O281" i="13" s="1"/>
  <c r="O278" i="13" s="1"/>
  <c r="O269" i="13" s="1"/>
  <c r="O262" i="13" s="1"/>
  <c r="AF213" i="13"/>
  <c r="AC166" i="13"/>
  <c r="AB182" i="13"/>
  <c r="N188" i="13"/>
  <c r="AA243" i="13"/>
  <c r="AC200" i="13"/>
  <c r="AF182" i="13"/>
  <c r="AF186" i="13"/>
  <c r="Z11" i="13"/>
  <c r="AC281" i="13"/>
  <c r="Z218" i="13"/>
  <c r="AB319" i="13"/>
  <c r="AA91" i="13"/>
  <c r="AA92" i="13"/>
  <c r="AC122" i="13"/>
  <c r="AA156" i="13"/>
  <c r="N211" i="13"/>
  <c r="AB252" i="13"/>
  <c r="AB213" i="13"/>
  <c r="AB244" i="13"/>
  <c r="AB306" i="13"/>
  <c r="AB50" i="13"/>
  <c r="AA227" i="13"/>
  <c r="N251" i="13"/>
  <c r="AA291" i="13"/>
  <c r="AA347" i="13"/>
  <c r="N282" i="13"/>
  <c r="AF297" i="13"/>
  <c r="AA259" i="13"/>
  <c r="O156" i="13"/>
  <c r="N244" i="13"/>
  <c r="O175" i="13"/>
  <c r="Z244" i="13"/>
  <c r="O179" i="13"/>
  <c r="Z189" i="13"/>
  <c r="AB216" i="13"/>
  <c r="AB234" i="13"/>
  <c r="AC344" i="13"/>
  <c r="AC368" i="13"/>
  <c r="AB149" i="13"/>
  <c r="AA158" i="13"/>
  <c r="N193" i="13"/>
  <c r="AA215" i="13"/>
  <c r="AF216" i="13"/>
  <c r="N222" i="13"/>
  <c r="O251" i="13"/>
  <c r="AA288" i="13"/>
  <c r="AC289" i="13"/>
  <c r="Z12" i="13"/>
  <c r="AA95" i="13"/>
  <c r="AB158" i="13"/>
  <c r="O222" i="13"/>
  <c r="AF330" i="13"/>
  <c r="AB68" i="13"/>
  <c r="N89" i="13"/>
  <c r="AC134" i="13"/>
  <c r="O165" i="13"/>
  <c r="N166" i="13"/>
  <c r="AB210" i="13"/>
  <c r="AF217" i="13"/>
  <c r="N219" i="13"/>
  <c r="AB222" i="13"/>
  <c r="Z258" i="13"/>
  <c r="N270" i="13"/>
  <c r="M14" i="13"/>
  <c r="N14" i="13" s="1"/>
  <c r="N22" i="13"/>
  <c r="AB177" i="13"/>
  <c r="AF209" i="13"/>
  <c r="AC208" i="13"/>
  <c r="Z215" i="13"/>
  <c r="O219" i="13"/>
  <c r="Z250" i="13"/>
  <c r="AB258" i="13"/>
  <c r="O22" i="13"/>
  <c r="AA78" i="13"/>
  <c r="AA294" i="13"/>
  <c r="N333" i="13"/>
  <c r="AA348" i="13"/>
  <c r="AF262" i="13"/>
  <c r="N23" i="13"/>
  <c r="N50" i="13"/>
  <c r="O148" i="13"/>
  <c r="AA161" i="13"/>
  <c r="AB176" i="13"/>
  <c r="N210" i="13"/>
  <c r="Z214" i="13"/>
  <c r="AA228" i="13"/>
  <c r="AB249" i="13"/>
  <c r="N252" i="13"/>
  <c r="AF255" i="13"/>
  <c r="AA276" i="13"/>
  <c r="AC306" i="13"/>
  <c r="O12" i="13"/>
  <c r="O50" i="13"/>
  <c r="AC68" i="13"/>
  <c r="AC127" i="13"/>
  <c r="O184" i="13"/>
  <c r="O210" i="13"/>
  <c r="AB217" i="13"/>
  <c r="AB235" i="13"/>
  <c r="AA163" i="13"/>
  <c r="Z184" i="13"/>
  <c r="Z210" i="13"/>
  <c r="AA300" i="13"/>
  <c r="N32" i="13"/>
  <c r="N31" i="13" s="1"/>
  <c r="AB42" i="13"/>
  <c r="N96" i="13"/>
  <c r="AB184" i="13"/>
  <c r="N191" i="13"/>
  <c r="AA256" i="13"/>
  <c r="AA280" i="13"/>
  <c r="AC299" i="13"/>
  <c r="AF344" i="13"/>
  <c r="AA69" i="13"/>
  <c r="N69" i="13"/>
  <c r="AB22" i="13"/>
  <c r="AB23" i="13"/>
  <c r="AC23" i="13"/>
  <c r="AC42" i="13"/>
  <c r="N49" i="13"/>
  <c r="AC48" i="13"/>
  <c r="AA51" i="13"/>
  <c r="N51" i="13"/>
  <c r="AF51" i="13"/>
  <c r="O77" i="13"/>
  <c r="AA94" i="13"/>
  <c r="N15" i="13"/>
  <c r="AA33" i="13"/>
  <c r="AC88" i="13"/>
  <c r="AB33" i="13"/>
  <c r="AA93" i="13"/>
  <c r="AC21" i="13"/>
  <c r="AC51" i="13"/>
  <c r="N78" i="13"/>
  <c r="AC96" i="13"/>
  <c r="AB147" i="13"/>
  <c r="O147" i="13"/>
  <c r="AB4" i="13"/>
  <c r="AC4" i="13"/>
  <c r="N4" i="13"/>
  <c r="AA23" i="13"/>
  <c r="AF33" i="13"/>
  <c r="AA42" i="13"/>
  <c r="AC105" i="13"/>
  <c r="AC109" i="13"/>
  <c r="AA160" i="13"/>
  <c r="Z164" i="13"/>
  <c r="AB165" i="13"/>
  <c r="Z181" i="13"/>
  <c r="AF184" i="13"/>
  <c r="AF185" i="13"/>
  <c r="N192" i="13"/>
  <c r="Z196" i="13"/>
  <c r="AF201" i="13"/>
  <c r="AF202" i="13"/>
  <c r="AF203" i="13"/>
  <c r="AF204" i="13"/>
  <c r="AF205" i="13"/>
  <c r="AF206" i="13"/>
  <c r="AF207" i="13"/>
  <c r="AB212" i="13"/>
  <c r="AB214" i="13"/>
  <c r="AB218" i="13"/>
  <c r="AB231" i="13"/>
  <c r="AF232" i="13"/>
  <c r="Z243" i="13"/>
  <c r="AB250" i="13"/>
  <c r="AB251" i="13"/>
  <c r="N254" i="13"/>
  <c r="AB255" i="13"/>
  <c r="AA284" i="13"/>
  <c r="AF285" i="13"/>
  <c r="AA287" i="13"/>
  <c r="Z293" i="13"/>
  <c r="N296" i="13"/>
  <c r="Z298" i="13"/>
  <c r="AA331" i="13"/>
  <c r="N345" i="13"/>
  <c r="AC180" i="13"/>
  <c r="Z254" i="13"/>
  <c r="AF289" i="13"/>
  <c r="AC146" i="13"/>
  <c r="AC144" i="13" s="1"/>
  <c r="AC141" i="13" s="1"/>
  <c r="AC248" i="13"/>
  <c r="AB254" i="13"/>
  <c r="N261" i="13"/>
  <c r="AA263" i="13"/>
  <c r="AF269" i="13"/>
  <c r="N134" i="13"/>
  <c r="AA166" i="13"/>
  <c r="AF181" i="13"/>
  <c r="Z209" i="13"/>
  <c r="AF212" i="13"/>
  <c r="N233" i="13"/>
  <c r="AC241" i="13"/>
  <c r="N247" i="13"/>
  <c r="O253" i="13"/>
  <c r="N257" i="13"/>
  <c r="AC262" i="13"/>
  <c r="AA266" i="13"/>
  <c r="N279" i="13"/>
  <c r="AF299" i="13"/>
  <c r="N335" i="13"/>
  <c r="AA162" i="13"/>
  <c r="O177" i="13"/>
  <c r="O178" i="13"/>
  <c r="AA183" i="13"/>
  <c r="O185" i="13"/>
  <c r="O201" i="13"/>
  <c r="O202" i="13"/>
  <c r="O203" i="13"/>
  <c r="O204" i="13"/>
  <c r="O205" i="13"/>
  <c r="O206" i="13"/>
  <c r="O207" i="13"/>
  <c r="N214" i="13"/>
  <c r="N216" i="13"/>
  <c r="Z217" i="13"/>
  <c r="N218" i="13"/>
  <c r="O220" i="13"/>
  <c r="N224" i="13"/>
  <c r="O228" i="13"/>
  <c r="Z229" i="13"/>
  <c r="N235" i="13"/>
  <c r="N245" i="13"/>
  <c r="Z257" i="13"/>
  <c r="N265" i="13"/>
  <c r="AA268" i="13"/>
  <c r="AA274" i="13"/>
  <c r="N174" i="13"/>
  <c r="AB183" i="13"/>
  <c r="O214" i="13"/>
  <c r="O215" i="13"/>
  <c r="O216" i="13"/>
  <c r="AA217" i="13"/>
  <c r="O218" i="13"/>
  <c r="Z228" i="13"/>
  <c r="O232" i="13"/>
  <c r="O236" i="13"/>
  <c r="AA236" i="13"/>
  <c r="AC278" i="13"/>
  <c r="AC330" i="13"/>
  <c r="AC319" i="13" s="1"/>
  <c r="N159" i="13"/>
  <c r="N127" i="13"/>
  <c r="N146" i="13"/>
  <c r="N144" i="13" s="1"/>
  <c r="AB151" i="13"/>
  <c r="N180" i="13"/>
  <c r="Z219" i="13"/>
  <c r="Z222" i="13"/>
  <c r="AB228" i="13"/>
  <c r="AF229" i="13"/>
  <c r="N231" i="13"/>
  <c r="AA250" i="13"/>
  <c r="Z251" i="13"/>
  <c r="AA255" i="13"/>
  <c r="AC269" i="13"/>
  <c r="AF278" i="13"/>
  <c r="AC292" i="13"/>
  <c r="AB368" i="13"/>
  <c r="AF31" i="13"/>
  <c r="O14" i="13"/>
  <c r="N70" i="13"/>
  <c r="M11" i="13"/>
  <c r="N11" i="13" s="1"/>
  <c r="Z13" i="13"/>
  <c r="O13" i="13"/>
  <c r="AB122" i="13"/>
  <c r="O49" i="13"/>
  <c r="AC33" i="13"/>
  <c r="N33" i="13"/>
  <c r="N141" i="13"/>
  <c r="AA31" i="13"/>
  <c r="AF49" i="13"/>
  <c r="O74" i="13"/>
  <c r="N90" i="13"/>
  <c r="O123" i="13"/>
  <c r="M125" i="13"/>
  <c r="N125" i="13" s="1"/>
  <c r="M126" i="13"/>
  <c r="N126" i="13" s="1"/>
  <c r="AA150" i="13"/>
  <c r="AB160" i="13"/>
  <c r="AB161" i="13"/>
  <c r="AB162" i="13"/>
  <c r="AB163" i="13"/>
  <c r="AA164" i="13"/>
  <c r="O183" i="13"/>
  <c r="AB185" i="13"/>
  <c r="AA185" i="13"/>
  <c r="N197" i="13"/>
  <c r="AB209" i="13"/>
  <c r="O211" i="13"/>
  <c r="N212" i="13"/>
  <c r="Z213" i="13"/>
  <c r="AB242" i="13"/>
  <c r="O242" i="13"/>
  <c r="AB150" i="13"/>
  <c r="AA152" i="13"/>
  <c r="O152" i="13"/>
  <c r="AB164" i="13"/>
  <c r="Z183" i="13"/>
  <c r="Z211" i="13"/>
  <c r="O212" i="13"/>
  <c r="AA213" i="13"/>
  <c r="AF219" i="13"/>
  <c r="AF220" i="13"/>
  <c r="AF221" i="13"/>
  <c r="AC225" i="13"/>
  <c r="AA232" i="13"/>
  <c r="N232" i="13"/>
  <c r="AC230" i="13"/>
  <c r="AC246" i="13"/>
  <c r="O76" i="13"/>
  <c r="O125" i="13"/>
  <c r="O126" i="13"/>
  <c r="O157" i="13"/>
  <c r="N236" i="13"/>
  <c r="M124" i="13"/>
  <c r="N124" i="13" s="1"/>
  <c r="Z125" i="13"/>
  <c r="Z126" i="13"/>
  <c r="O223" i="13"/>
  <c r="AB223" i="13"/>
  <c r="AF224" i="13"/>
  <c r="Z224" i="13"/>
  <c r="AF227" i="13"/>
  <c r="Z227" i="13"/>
  <c r="O227" i="13"/>
  <c r="AB154" i="13"/>
  <c r="AA154" i="13"/>
  <c r="N220" i="13"/>
  <c r="Z221" i="13"/>
  <c r="N229" i="13"/>
  <c r="O75" i="13"/>
  <c r="O92" i="13"/>
  <c r="O93" i="13"/>
  <c r="O94" i="13"/>
  <c r="O95" i="13"/>
  <c r="O155" i="13"/>
  <c r="AC174" i="13"/>
  <c r="AF211" i="13"/>
  <c r="AA221" i="13"/>
  <c r="AF226" i="13"/>
  <c r="AB226" i="13"/>
  <c r="Z226" i="13"/>
  <c r="N234" i="13"/>
  <c r="AA234" i="13"/>
  <c r="AB181" i="13"/>
  <c r="AA181" i="13"/>
  <c r="Z182" i="13"/>
  <c r="O182" i="13"/>
  <c r="AB220" i="13"/>
  <c r="AB221" i="13"/>
  <c r="Z223" i="13"/>
  <c r="O224" i="13"/>
  <c r="AB227" i="13"/>
  <c r="O233" i="13"/>
  <c r="AB233" i="13"/>
  <c r="AF236" i="13"/>
  <c r="AB153" i="13"/>
  <c r="O153" i="13"/>
  <c r="AA209" i="13"/>
  <c r="AF215" i="13"/>
  <c r="AB224" i="13"/>
  <c r="AB229" i="13"/>
  <c r="O234" i="13"/>
  <c r="N242" i="13"/>
  <c r="AF243" i="13"/>
  <c r="Z245" i="13"/>
  <c r="AF253" i="13"/>
  <c r="Z261" i="13"/>
  <c r="AB261" i="13"/>
  <c r="AA264" i="13"/>
  <c r="AB247" i="13"/>
  <c r="AF249" i="13"/>
  <c r="AF252" i="13"/>
  <c r="Z256" i="13"/>
  <c r="AA267" i="13"/>
  <c r="N267" i="13"/>
  <c r="AF231" i="13"/>
  <c r="O235" i="13"/>
  <c r="O243" i="13"/>
  <c r="AB245" i="13"/>
  <c r="O246" i="13"/>
  <c r="AA253" i="13"/>
  <c r="N253" i="13"/>
  <c r="AB256" i="13"/>
  <c r="AB260" i="13"/>
  <c r="AF260" i="13"/>
  <c r="N306" i="13"/>
  <c r="AF247" i="13"/>
  <c r="AB259" i="13"/>
  <c r="Z259" i="13"/>
  <c r="AA260" i="13"/>
  <c r="N260" i="13"/>
  <c r="AF245" i="13"/>
  <c r="AA249" i="13"/>
  <c r="Z253" i="13"/>
  <c r="Z260" i="13"/>
  <c r="AA272" i="13"/>
  <c r="N272" i="13"/>
  <c r="N258" i="13"/>
  <c r="AA275" i="13"/>
  <c r="N319" i="13"/>
  <c r="AA271" i="13"/>
  <c r="AA277" i="13"/>
  <c r="AA283" i="13"/>
  <c r="AF287" i="13"/>
  <c r="AF288" i="13"/>
  <c r="AA290" i="13"/>
  <c r="AA332" i="13"/>
  <c r="N298" i="13"/>
  <c r="N334" i="13"/>
  <c r="AB257" i="13"/>
  <c r="N285" i="13"/>
  <c r="N286" i="13"/>
  <c r="N297" i="13"/>
  <c r="N346" i="13"/>
  <c r="N295" i="13"/>
  <c r="N301" i="13"/>
  <c r="N349" i="13"/>
  <c r="N678" i="3"/>
  <c r="N677" i="3"/>
  <c r="N676" i="3"/>
  <c r="N675" i="3"/>
  <c r="AD43" i="10"/>
  <c r="AC43" i="10"/>
  <c r="AA43" i="10"/>
  <c r="X43" i="10"/>
  <c r="M43" i="10"/>
  <c r="AB42" i="10"/>
  <c r="N42" i="10"/>
  <c r="AD55" i="10"/>
  <c r="AC55" i="10"/>
  <c r="AA55" i="10"/>
  <c r="X55" i="10"/>
  <c r="M55" i="10"/>
  <c r="AB54" i="10"/>
  <c r="AD353" i="3"/>
  <c r="M353" i="3"/>
  <c r="N353" i="3"/>
  <c r="AC353" i="3"/>
  <c r="X353" i="3"/>
  <c r="AD126" i="8"/>
  <c r="AC126" i="8"/>
  <c r="M126" i="8"/>
  <c r="AA126" i="8"/>
  <c r="L126" i="8"/>
  <c r="AF126" i="8"/>
  <c r="AD152" i="8"/>
  <c r="AC152" i="8"/>
  <c r="M152" i="8"/>
  <c r="AA152" i="8"/>
  <c r="L152" i="8"/>
  <c r="AF152" i="8"/>
  <c r="L153" i="8"/>
  <c r="O153" i="8"/>
  <c r="M153" i="8"/>
  <c r="N153" i="8" s="1"/>
  <c r="AC153" i="8"/>
  <c r="AD153" i="8"/>
  <c r="AF153" i="8"/>
  <c r="AD177" i="8"/>
  <c r="AC177" i="8"/>
  <c r="AB177" i="8"/>
  <c r="M177" i="8"/>
  <c r="AA177" i="8" s="1"/>
  <c r="L177" i="8"/>
  <c r="O177" i="8" s="1"/>
  <c r="AD176" i="8"/>
  <c r="AC176" i="8"/>
  <c r="AB176" i="8"/>
  <c r="AA176" i="8"/>
  <c r="M176" i="8"/>
  <c r="N176" i="8" s="1"/>
  <c r="L176" i="8"/>
  <c r="AF119" i="8"/>
  <c r="AD119" i="8"/>
  <c r="AC119" i="8"/>
  <c r="AB119" i="8"/>
  <c r="M119" i="8"/>
  <c r="AA119" i="8" s="1"/>
  <c r="L119" i="8"/>
  <c r="O119" i="8" s="1"/>
  <c r="AD62" i="10"/>
  <c r="AC62" i="10"/>
  <c r="M62" i="10"/>
  <c r="AA62" i="10" s="1"/>
  <c r="L62" i="10"/>
  <c r="O62" i="10" s="1"/>
  <c r="AB75" i="8"/>
  <c r="AA75" i="8"/>
  <c r="O75" i="8"/>
  <c r="AD75" i="8"/>
  <c r="AC75" i="8"/>
  <c r="X75" i="8"/>
  <c r="N75" i="8"/>
  <c r="L668" i="3"/>
  <c r="AF668" i="3"/>
  <c r="AD673" i="3"/>
  <c r="AC673" i="3"/>
  <c r="N673" i="3"/>
  <c r="M673" i="3"/>
  <c r="AA673" i="3" s="1"/>
  <c r="L673" i="3"/>
  <c r="AF673" i="3" s="1"/>
  <c r="AD672" i="3"/>
  <c r="AC672" i="3"/>
  <c r="M672" i="3"/>
  <c r="AA672" i="3" s="1"/>
  <c r="L672" i="3"/>
  <c r="AF672" i="3" s="1"/>
  <c r="AD671" i="3"/>
  <c r="AC671" i="3"/>
  <c r="M671" i="3"/>
  <c r="AA671" i="3" s="1"/>
  <c r="L671" i="3"/>
  <c r="AF671" i="3" s="1"/>
  <c r="AD670" i="3"/>
  <c r="AC670" i="3"/>
  <c r="M670" i="3"/>
  <c r="AA670" i="3" s="1"/>
  <c r="L670" i="3"/>
  <c r="AF670" i="3" s="1"/>
  <c r="AD669" i="3"/>
  <c r="AC669" i="3"/>
  <c r="M669" i="3"/>
  <c r="N669" i="3" s="1"/>
  <c r="L669" i="3"/>
  <c r="AF669" i="3" s="1"/>
  <c r="AD668" i="3"/>
  <c r="AC668" i="3"/>
  <c r="M668" i="3"/>
  <c r="AA668" i="3"/>
  <c r="AD667" i="3"/>
  <c r="AC667" i="3"/>
  <c r="M667" i="3"/>
  <c r="N667" i="3" s="1"/>
  <c r="L667" i="3"/>
  <c r="AF667" i="3" s="1"/>
  <c r="AD666" i="3"/>
  <c r="AC666" i="3"/>
  <c r="M666" i="3"/>
  <c r="AA666" i="3" s="1"/>
  <c r="L666" i="3"/>
  <c r="AF666" i="3" s="1"/>
  <c r="AD59" i="10"/>
  <c r="AC59" i="10"/>
  <c r="AA59" i="10"/>
  <c r="Z59" i="10"/>
  <c r="N59" i="10"/>
  <c r="N60" i="10"/>
  <c r="AD60" i="10"/>
  <c r="AC60" i="10"/>
  <c r="AA60" i="10"/>
  <c r="Z60" i="10"/>
  <c r="AD68" i="8"/>
  <c r="AC68" i="8"/>
  <c r="AA68" i="8"/>
  <c r="X68" i="8"/>
  <c r="M68" i="8"/>
  <c r="AD45" i="10"/>
  <c r="AC45" i="10"/>
  <c r="AC42" i="10" s="1"/>
  <c r="AA45" i="10"/>
  <c r="X45" i="10"/>
  <c r="M45" i="10"/>
  <c r="AB159" i="8"/>
  <c r="AB155" i="8"/>
  <c r="AB148" i="8"/>
  <c r="Z30" i="7"/>
  <c r="AA30" i="7"/>
  <c r="AB30" i="7"/>
  <c r="AC30" i="7"/>
  <c r="M30" i="7"/>
  <c r="L30" i="7"/>
  <c r="AD159" i="8"/>
  <c r="AC159" i="8"/>
  <c r="AA159" i="8"/>
  <c r="N159" i="8"/>
  <c r="M159" i="8"/>
  <c r="L159" i="8"/>
  <c r="AF159" i="8" s="1"/>
  <c r="AD41" i="10"/>
  <c r="AC41" i="10"/>
  <c r="M41" i="10"/>
  <c r="AA41" i="10" s="1"/>
  <c r="L41" i="10"/>
  <c r="AB41" i="10"/>
  <c r="AD103" i="8"/>
  <c r="AC103" i="8"/>
  <c r="M103" i="8"/>
  <c r="AA103" i="8"/>
  <c r="L103" i="8"/>
  <c r="AF103" i="8" s="1"/>
  <c r="AC254" i="3"/>
  <c r="AC253" i="3"/>
  <c r="AD254" i="3"/>
  <c r="M254" i="3"/>
  <c r="AA254" i="3" s="1"/>
  <c r="X254" i="3"/>
  <c r="AD253" i="3"/>
  <c r="M253" i="3"/>
  <c r="AA253" i="3" s="1"/>
  <c r="X253" i="3"/>
  <c r="AD64" i="10"/>
  <c r="AC64" i="10"/>
  <c r="M64" i="10"/>
  <c r="AA64" i="10" s="1"/>
  <c r="L64" i="10"/>
  <c r="Z64" i="10" s="1"/>
  <c r="AD440" i="3"/>
  <c r="AD441" i="3"/>
  <c r="AC17" i="10"/>
  <c r="AA17" i="10"/>
  <c r="X17" i="10"/>
  <c r="M17" i="10"/>
  <c r="N17" i="10" s="1"/>
  <c r="AD148" i="8"/>
  <c r="AC148" i="8"/>
  <c r="M148" i="8"/>
  <c r="AA148" i="8"/>
  <c r="L148" i="8"/>
  <c r="AD57" i="10"/>
  <c r="AC57" i="10"/>
  <c r="M57" i="10"/>
  <c r="N57" i="10" s="1"/>
  <c r="L57" i="10"/>
  <c r="AD53" i="10"/>
  <c r="AC53" i="10"/>
  <c r="X53" i="10"/>
  <c r="M53" i="10"/>
  <c r="N53" i="10" s="1"/>
  <c r="AD51" i="10"/>
  <c r="AC51" i="10"/>
  <c r="M51" i="10"/>
  <c r="AA51" i="10" s="1"/>
  <c r="L51" i="10"/>
  <c r="O51" i="10" s="1"/>
  <c r="AD147" i="8"/>
  <c r="AC147" i="8"/>
  <c r="M147" i="8"/>
  <c r="AA147" i="8" s="1"/>
  <c r="L147" i="8"/>
  <c r="AB147" i="8" s="1"/>
  <c r="Z780" i="3"/>
  <c r="AA721" i="3"/>
  <c r="AD723" i="3"/>
  <c r="AC723" i="3"/>
  <c r="AD722" i="3"/>
  <c r="AC722" i="3"/>
  <c r="AD721" i="3"/>
  <c r="AC721" i="3"/>
  <c r="AD720" i="3"/>
  <c r="AC720" i="3"/>
  <c r="AD719" i="3"/>
  <c r="AC719" i="3"/>
  <c r="AA719" i="3"/>
  <c r="X723" i="3"/>
  <c r="M723" i="3"/>
  <c r="AA723" i="3" s="1"/>
  <c r="X722" i="3"/>
  <c r="M722" i="3"/>
  <c r="AA722" i="3" s="1"/>
  <c r="X721" i="3"/>
  <c r="M721" i="3"/>
  <c r="X720" i="3"/>
  <c r="M720" i="3"/>
  <c r="AA720" i="3" s="1"/>
  <c r="M719" i="3"/>
  <c r="X719" i="3"/>
  <c r="AD711" i="3"/>
  <c r="AD710" i="3"/>
  <c r="AA711" i="3"/>
  <c r="AA710" i="3"/>
  <c r="M711" i="3"/>
  <c r="X711" i="3"/>
  <c r="M710" i="3"/>
  <c r="X710" i="3"/>
  <c r="AD718" i="3"/>
  <c r="AC718" i="3"/>
  <c r="AD717" i="3"/>
  <c r="AC717" i="3"/>
  <c r="AD716" i="3"/>
  <c r="AC716" i="3"/>
  <c r="AD715" i="3"/>
  <c r="AC715" i="3"/>
  <c r="AD714" i="3"/>
  <c r="AC714" i="3"/>
  <c r="AD713" i="3"/>
  <c r="AC713" i="3"/>
  <c r="AD712" i="3"/>
  <c r="AC712" i="3"/>
  <c r="AA715" i="3"/>
  <c r="AA713" i="3"/>
  <c r="M718" i="3"/>
  <c r="AA718" i="3" s="1"/>
  <c r="X718" i="3"/>
  <c r="M717" i="3"/>
  <c r="AA717" i="3" s="1"/>
  <c r="X717" i="3"/>
  <c r="M716" i="3"/>
  <c r="AA716" i="3" s="1"/>
  <c r="X716" i="3"/>
  <c r="M715" i="3"/>
  <c r="X715" i="3"/>
  <c r="M714" i="3"/>
  <c r="AA714" i="3" s="1"/>
  <c r="X714" i="3"/>
  <c r="M713" i="3"/>
  <c r="X713" i="3"/>
  <c r="M712" i="3"/>
  <c r="AA712" i="3" s="1"/>
  <c r="X712" i="3"/>
  <c r="AD730" i="3"/>
  <c r="AD729" i="3"/>
  <c r="AC730" i="3"/>
  <c r="AC729" i="3"/>
  <c r="M730" i="3"/>
  <c r="AA730" i="3" s="1"/>
  <c r="X730" i="3"/>
  <c r="M729" i="3"/>
  <c r="AA729" i="3" s="1"/>
  <c r="X729" i="3"/>
  <c r="AC8" i="10"/>
  <c r="AB49" i="10"/>
  <c r="AB27" i="10"/>
  <c r="AB23" i="10"/>
  <c r="AB47" i="10"/>
  <c r="AB44" i="10" s="1"/>
  <c r="AB30" i="10"/>
  <c r="AB15" i="10"/>
  <c r="AB8" i="10"/>
  <c r="AB6" i="10"/>
  <c r="AA27" i="10"/>
  <c r="AA8" i="10"/>
  <c r="AD15" i="10"/>
  <c r="AC15" i="10"/>
  <c r="AA15" i="10"/>
  <c r="X15" i="10"/>
  <c r="M15" i="10"/>
  <c r="N15" i="10" s="1"/>
  <c r="AD27" i="10"/>
  <c r="AC27" i="10"/>
  <c r="X27" i="10"/>
  <c r="M27" i="10"/>
  <c r="N27" i="10"/>
  <c r="L21" i="10"/>
  <c r="AB21" i="10"/>
  <c r="M21" i="10"/>
  <c r="AA21" i="10"/>
  <c r="AC21" i="10"/>
  <c r="AD21" i="10"/>
  <c r="AD23" i="10"/>
  <c r="AC23" i="10"/>
  <c r="AA23" i="10"/>
  <c r="N23" i="10"/>
  <c r="AD49" i="10"/>
  <c r="AC49" i="10"/>
  <c r="AA49" i="10"/>
  <c r="Z49" i="10"/>
  <c r="X49" i="10"/>
  <c r="N49" i="10"/>
  <c r="AD25" i="10"/>
  <c r="AC25" i="10"/>
  <c r="M25" i="10"/>
  <c r="N25" i="10"/>
  <c r="L25" i="10"/>
  <c r="AB25" i="10"/>
  <c r="Z844" i="3"/>
  <c r="AD47" i="10"/>
  <c r="AC47" i="10"/>
  <c r="AC44" i="10"/>
  <c r="M47" i="10"/>
  <c r="AA47" i="10"/>
  <c r="AD19" i="10"/>
  <c r="AC19" i="10"/>
  <c r="M19" i="10"/>
  <c r="AA19" i="10"/>
  <c r="L19" i="10"/>
  <c r="AB19" i="10"/>
  <c r="AD30" i="10"/>
  <c r="AC30" i="10"/>
  <c r="X30" i="10"/>
  <c r="M30" i="10"/>
  <c r="N30" i="10" s="1"/>
  <c r="AD6" i="10"/>
  <c r="AC6" i="10"/>
  <c r="AA6" i="10"/>
  <c r="X6" i="10"/>
  <c r="O6" i="10"/>
  <c r="M6" i="10"/>
  <c r="N6" i="10"/>
  <c r="AD38" i="10"/>
  <c r="AC38" i="10"/>
  <c r="M38" i="10"/>
  <c r="AA38" i="10"/>
  <c r="L38" i="10"/>
  <c r="O38" i="10"/>
  <c r="AD36" i="10"/>
  <c r="AC36" i="10"/>
  <c r="M36" i="10"/>
  <c r="AA36" i="10"/>
  <c r="L36" i="10"/>
  <c r="Z36" i="10"/>
  <c r="AD33" i="10"/>
  <c r="AC33" i="10"/>
  <c r="M33" i="10"/>
  <c r="N33" i="10"/>
  <c r="L33" i="10"/>
  <c r="Z33" i="10"/>
  <c r="AD32" i="10"/>
  <c r="AC32" i="10"/>
  <c r="M32" i="10"/>
  <c r="N32" i="10"/>
  <c r="L32" i="10"/>
  <c r="Z32" i="10"/>
  <c r="AD12" i="10"/>
  <c r="AC12" i="10"/>
  <c r="M12" i="10"/>
  <c r="AA12" i="10"/>
  <c r="L12" i="10"/>
  <c r="AB12" i="10"/>
  <c r="AD10" i="10"/>
  <c r="AC10" i="10"/>
  <c r="AB10" i="10"/>
  <c r="AA10" i="10"/>
  <c r="Z10" i="10"/>
  <c r="X10" i="10"/>
  <c r="O10" i="10"/>
  <c r="N10" i="10"/>
  <c r="AD8" i="10"/>
  <c r="O8" i="10"/>
  <c r="N8" i="10"/>
  <c r="X86" i="8"/>
  <c r="M86" i="8"/>
  <c r="N86" i="8"/>
  <c r="AD86" i="8"/>
  <c r="AC86" i="8"/>
  <c r="AA86" i="8"/>
  <c r="M29" i="8"/>
  <c r="N29" i="8" s="1"/>
  <c r="L29" i="8"/>
  <c r="O29" i="8" s="1"/>
  <c r="AD29" i="8"/>
  <c r="AC29" i="8"/>
  <c r="AD26" i="8"/>
  <c r="AC26" i="8"/>
  <c r="M26" i="8"/>
  <c r="AA26" i="8" s="1"/>
  <c r="L26" i="8"/>
  <c r="AC84" i="8"/>
  <c r="AA84" i="8"/>
  <c r="X84" i="8"/>
  <c r="M84" i="8"/>
  <c r="N84" i="8" s="1"/>
  <c r="AC89" i="8"/>
  <c r="AA89" i="8"/>
  <c r="X89" i="8"/>
  <c r="M89" i="8"/>
  <c r="N89" i="8"/>
  <c r="AD67" i="8"/>
  <c r="AC67" i="8"/>
  <c r="AA67" i="8"/>
  <c r="X67" i="8"/>
  <c r="M67" i="8"/>
  <c r="AD66" i="8"/>
  <c r="AC66" i="8"/>
  <c r="X66" i="8"/>
  <c r="M66" i="8"/>
  <c r="N311" i="3"/>
  <c r="Z451" i="3"/>
  <c r="N451" i="3"/>
  <c r="Z31" i="3"/>
  <c r="Z30" i="3"/>
  <c r="Z29" i="3"/>
  <c r="Z28" i="3"/>
  <c r="Z27" i="3"/>
  <c r="AD31" i="3"/>
  <c r="AD30" i="3"/>
  <c r="AD29" i="3"/>
  <c r="AC31" i="3"/>
  <c r="AC30" i="3"/>
  <c r="AC29" i="3"/>
  <c r="X31" i="3"/>
  <c r="X30" i="3"/>
  <c r="X29" i="3"/>
  <c r="X28" i="3"/>
  <c r="X27" i="3"/>
  <c r="AA31" i="3"/>
  <c r="AA30" i="3"/>
  <c r="AA29" i="3"/>
  <c r="AA37" i="7"/>
  <c r="M37" i="7"/>
  <c r="N37" i="7"/>
  <c r="L37" i="7"/>
  <c r="X820" i="3"/>
  <c r="AF820" i="3"/>
  <c r="AD820" i="3"/>
  <c r="AC820" i="3"/>
  <c r="AA820" i="3"/>
  <c r="N820" i="3"/>
  <c r="M189" i="8"/>
  <c r="AA189" i="8" s="1"/>
  <c r="L189" i="8"/>
  <c r="AB189" i="8" s="1"/>
  <c r="AD329" i="3"/>
  <c r="AC329" i="3"/>
  <c r="AD328" i="3"/>
  <c r="AC328" i="3"/>
  <c r="AD326" i="3"/>
  <c r="AC326" i="3"/>
  <c r="AD325" i="3"/>
  <c r="AC325" i="3"/>
  <c r="M329" i="3"/>
  <c r="N329" i="3" s="1"/>
  <c r="M328" i="3"/>
  <c r="N328" i="3" s="1"/>
  <c r="AD155" i="8"/>
  <c r="AC155" i="8"/>
  <c r="N155" i="8"/>
  <c r="M155" i="8"/>
  <c r="AA155" i="8"/>
  <c r="L155" i="8"/>
  <c r="AF155" i="8"/>
  <c r="AD166" i="8"/>
  <c r="AC166" i="8"/>
  <c r="M166" i="8"/>
  <c r="AA166" i="8"/>
  <c r="L166" i="8"/>
  <c r="AB166" i="8" s="1"/>
  <c r="Z166" i="8"/>
  <c r="AD189" i="8"/>
  <c r="AC189" i="8"/>
  <c r="AD844" i="3"/>
  <c r="N844" i="3"/>
  <c r="AC844" i="3"/>
  <c r="AB844" i="3"/>
  <c r="AD304" i="3"/>
  <c r="AD303" i="3"/>
  <c r="AD302" i="3"/>
  <c r="AD301" i="3"/>
  <c r="AD300" i="3"/>
  <c r="AD299" i="3"/>
  <c r="AD298" i="3"/>
  <c r="AD297" i="3"/>
  <c r="AD296" i="3"/>
  <c r="M302" i="3"/>
  <c r="AA302" i="3" s="1"/>
  <c r="AD64" i="8"/>
  <c r="AA64" i="8"/>
  <c r="N64" i="8"/>
  <c r="AC83" i="8"/>
  <c r="AA83" i="8"/>
  <c r="X83" i="8"/>
  <c r="M83" i="8"/>
  <c r="N83" i="8" s="1"/>
  <c r="L650" i="3"/>
  <c r="Z650" i="3" s="1"/>
  <c r="AD650" i="3"/>
  <c r="AC650" i="3"/>
  <c r="AA650" i="3"/>
  <c r="AD678" i="3"/>
  <c r="AD677" i="3"/>
  <c r="AD676" i="3"/>
  <c r="AD675" i="3"/>
  <c r="AC678" i="3"/>
  <c r="AC677" i="3"/>
  <c r="AC676" i="3"/>
  <c r="AC675" i="3"/>
  <c r="AC674" i="3" s="1"/>
  <c r="AA678" i="3"/>
  <c r="AA677" i="3"/>
  <c r="AA674" i="3"/>
  <c r="AA676" i="3"/>
  <c r="AA675" i="3"/>
  <c r="AF674" i="3"/>
  <c r="L678" i="3"/>
  <c r="X678" i="3" s="1"/>
  <c r="L677" i="3"/>
  <c r="X677" i="3" s="1"/>
  <c r="L676" i="3"/>
  <c r="X676" i="3" s="1"/>
  <c r="L675" i="3"/>
  <c r="X675" i="3" s="1"/>
  <c r="N674" i="3"/>
  <c r="Z393" i="3"/>
  <c r="N76" i="8"/>
  <c r="O76" i="8"/>
  <c r="X76" i="8"/>
  <c r="AD76" i="8"/>
  <c r="AC76" i="8"/>
  <c r="AB76" i="8"/>
  <c r="AA76" i="8"/>
  <c r="Z76" i="8"/>
  <c r="AD393" i="3"/>
  <c r="AC393" i="3"/>
  <c r="AD282" i="3"/>
  <c r="AD281" i="3"/>
  <c r="AD280" i="3"/>
  <c r="AD279" i="3"/>
  <c r="AD278" i="3"/>
  <c r="M282" i="3"/>
  <c r="M281" i="3"/>
  <c r="M280" i="3"/>
  <c r="M279" i="3"/>
  <c r="M278" i="3"/>
  <c r="AC282" i="3"/>
  <c r="AC281" i="3"/>
  <c r="AC280" i="3"/>
  <c r="AC279" i="3"/>
  <c r="AC278" i="3"/>
  <c r="AD146" i="8"/>
  <c r="AC146" i="8"/>
  <c r="M146" i="8"/>
  <c r="AA146" i="8"/>
  <c r="L146" i="8"/>
  <c r="AB146" i="8" s="1"/>
  <c r="O146" i="8"/>
  <c r="AD91" i="8"/>
  <c r="AC91" i="8"/>
  <c r="AA91" i="8"/>
  <c r="X91" i="8"/>
  <c r="M91" i="8"/>
  <c r="N91" i="8"/>
  <c r="AD295" i="3"/>
  <c r="M304" i="3"/>
  <c r="N304" i="3" s="1"/>
  <c r="M303" i="3"/>
  <c r="AA303" i="3" s="1"/>
  <c r="M301" i="3"/>
  <c r="AA301" i="3" s="1"/>
  <c r="M300" i="3"/>
  <c r="AA300" i="3" s="1"/>
  <c r="M299" i="3"/>
  <c r="AA299" i="3" s="1"/>
  <c r="M298" i="3"/>
  <c r="AA298" i="3" s="1"/>
  <c r="N298" i="3"/>
  <c r="M297" i="3"/>
  <c r="N297" i="3"/>
  <c r="M296" i="3"/>
  <c r="AA296" i="3"/>
  <c r="M295" i="3"/>
  <c r="AA295" i="3"/>
  <c r="M812" i="3"/>
  <c r="AA812" i="3" s="1"/>
  <c r="AF812" i="3"/>
  <c r="AD812" i="3"/>
  <c r="AC812" i="3"/>
  <c r="AD174" i="8"/>
  <c r="AC174" i="8"/>
  <c r="M174" i="8"/>
  <c r="AA174" i="8" s="1"/>
  <c r="L174" i="8"/>
  <c r="AB174" i="8" s="1"/>
  <c r="M326" i="3"/>
  <c r="N326" i="3" s="1"/>
  <c r="M325" i="3"/>
  <c r="N325" i="3" s="1"/>
  <c r="AD695" i="3"/>
  <c r="AC695" i="3"/>
  <c r="M695" i="3"/>
  <c r="AA695" i="3" s="1"/>
  <c r="L695" i="3"/>
  <c r="X23" i="3"/>
  <c r="X22" i="3"/>
  <c r="X21" i="3"/>
  <c r="X20" i="3"/>
  <c r="AD320" i="3"/>
  <c r="AC320" i="3"/>
  <c r="AA320" i="3"/>
  <c r="X320" i="3"/>
  <c r="M320" i="3"/>
  <c r="AC741" i="3"/>
  <c r="AC740" i="3"/>
  <c r="AC739" i="3"/>
  <c r="AC738" i="3"/>
  <c r="AC737" i="3"/>
  <c r="AC736" i="3"/>
  <c r="AC735" i="3"/>
  <c r="AD741" i="3"/>
  <c r="AD740" i="3"/>
  <c r="AD739" i="3"/>
  <c r="AD738" i="3"/>
  <c r="AD737" i="3"/>
  <c r="AD736" i="3"/>
  <c r="AD735" i="3"/>
  <c r="M741" i="3"/>
  <c r="AA741" i="3" s="1"/>
  <c r="X741" i="3"/>
  <c r="M740" i="3"/>
  <c r="AA740" i="3"/>
  <c r="X740" i="3"/>
  <c r="M739" i="3"/>
  <c r="AA739" i="3" s="1"/>
  <c r="X739" i="3"/>
  <c r="M738" i="3"/>
  <c r="AA738" i="3"/>
  <c r="X738" i="3"/>
  <c r="M737" i="3"/>
  <c r="AA737" i="3" s="1"/>
  <c r="X737" i="3"/>
  <c r="M736" i="3"/>
  <c r="AA736" i="3"/>
  <c r="X736" i="3"/>
  <c r="M735" i="3"/>
  <c r="AA735" i="3" s="1"/>
  <c r="X735" i="3"/>
  <c r="AF815" i="3"/>
  <c r="AD815" i="3"/>
  <c r="AC815" i="3"/>
  <c r="AA815" i="3"/>
  <c r="X815" i="3"/>
  <c r="M815" i="3"/>
  <c r="N815" i="3"/>
  <c r="AF819" i="3"/>
  <c r="AD819" i="3"/>
  <c r="AC819" i="3"/>
  <c r="AA819" i="3"/>
  <c r="X819" i="3"/>
  <c r="M819" i="3"/>
  <c r="N819" i="3" s="1"/>
  <c r="AF818" i="3"/>
  <c r="AD818" i="3"/>
  <c r="AC818" i="3"/>
  <c r="AA818" i="3"/>
  <c r="X818" i="3"/>
  <c r="M818" i="3"/>
  <c r="N818" i="3"/>
  <c r="AF817" i="3"/>
  <c r="AD817" i="3"/>
  <c r="AC817" i="3"/>
  <c r="AA817" i="3"/>
  <c r="X817" i="3"/>
  <c r="M817" i="3"/>
  <c r="N817" i="3" s="1"/>
  <c r="AF816" i="3"/>
  <c r="AD816" i="3"/>
  <c r="AC816" i="3"/>
  <c r="AA816" i="3"/>
  <c r="X816" i="3"/>
  <c r="M816" i="3"/>
  <c r="N816" i="3"/>
  <c r="M10" i="7"/>
  <c r="N10" i="7"/>
  <c r="Y10" i="7"/>
  <c r="Z10" i="7"/>
  <c r="AA10" i="7"/>
  <c r="AB10" i="7"/>
  <c r="AD63" i="8"/>
  <c r="AA63" i="8"/>
  <c r="AA62" i="8" s="1"/>
  <c r="N63" i="8"/>
  <c r="N62" i="8" s="1"/>
  <c r="O79" i="8"/>
  <c r="N79" i="8"/>
  <c r="O78" i="8"/>
  <c r="N78" i="8"/>
  <c r="AD113" i="8"/>
  <c r="AC113" i="8"/>
  <c r="M113" i="8"/>
  <c r="N113" i="8" s="1"/>
  <c r="L113" i="8"/>
  <c r="AB113" i="8" s="1"/>
  <c r="AB28" i="7"/>
  <c r="AA28" i="7"/>
  <c r="M28" i="7"/>
  <c r="L28" i="7"/>
  <c r="Z28" i="7"/>
  <c r="AF242" i="3"/>
  <c r="AF241" i="3"/>
  <c r="AD241" i="3"/>
  <c r="AC241" i="3"/>
  <c r="X241" i="3"/>
  <c r="M241" i="3"/>
  <c r="AA241" i="3" s="1"/>
  <c r="AD316" i="3"/>
  <c r="AC316" i="3"/>
  <c r="AA316" i="3"/>
  <c r="X316" i="3"/>
  <c r="M316" i="3"/>
  <c r="AD351" i="3"/>
  <c r="AC351" i="3"/>
  <c r="X351" i="3"/>
  <c r="M351" i="3"/>
  <c r="N351" i="3" s="1"/>
  <c r="AD350" i="3"/>
  <c r="AC350" i="3"/>
  <c r="X350" i="3"/>
  <c r="M350" i="3"/>
  <c r="N350" i="3"/>
  <c r="AD293" i="3"/>
  <c r="AD292" i="3"/>
  <c r="AD291" i="3"/>
  <c r="AD290" i="3"/>
  <c r="AD289" i="3"/>
  <c r="AD288" i="3"/>
  <c r="AD287" i="3"/>
  <c r="AD286" i="3"/>
  <c r="AD285" i="3"/>
  <c r="AD284" i="3"/>
  <c r="AA293" i="3"/>
  <c r="AA292" i="3"/>
  <c r="AA291" i="3"/>
  <c r="AA290" i="3"/>
  <c r="AA289" i="3"/>
  <c r="AA288" i="3"/>
  <c r="AA287" i="3"/>
  <c r="AA286" i="3"/>
  <c r="AA285" i="3"/>
  <c r="AA284" i="3"/>
  <c r="N293" i="3"/>
  <c r="N292" i="3"/>
  <c r="N291" i="3"/>
  <c r="N290" i="3"/>
  <c r="N289" i="3"/>
  <c r="N288" i="3"/>
  <c r="N287" i="3"/>
  <c r="N286" i="3"/>
  <c r="N285" i="3"/>
  <c r="N284" i="3"/>
  <c r="AD701" i="3"/>
  <c r="AC701" i="3"/>
  <c r="M701" i="3"/>
  <c r="AA701" i="3" s="1"/>
  <c r="L701" i="3"/>
  <c r="AF701" i="3" s="1"/>
  <c r="AD700" i="3"/>
  <c r="AC700" i="3"/>
  <c r="M700" i="3"/>
  <c r="AA700" i="3" s="1"/>
  <c r="L700" i="3"/>
  <c r="AF700" i="3" s="1"/>
  <c r="AD694" i="3"/>
  <c r="AC694" i="3"/>
  <c r="M694" i="3"/>
  <c r="AA694" i="3" s="1"/>
  <c r="L694" i="3"/>
  <c r="AF694" i="3" s="1"/>
  <c r="AC252" i="3"/>
  <c r="AC251" i="3"/>
  <c r="AC250" i="3"/>
  <c r="AC249" i="3"/>
  <c r="AC248" i="3"/>
  <c r="AC247" i="3"/>
  <c r="AC246" i="3"/>
  <c r="AC245" i="3"/>
  <c r="AC244" i="3"/>
  <c r="AD252" i="3"/>
  <c r="AD251" i="3"/>
  <c r="AD250" i="3"/>
  <c r="AD249" i="3"/>
  <c r="AD248" i="3"/>
  <c r="AD247" i="3"/>
  <c r="AD246" i="3"/>
  <c r="AD245" i="3"/>
  <c r="AD244" i="3"/>
  <c r="X252" i="3"/>
  <c r="X251" i="3"/>
  <c r="X250" i="3"/>
  <c r="X249" i="3"/>
  <c r="X248" i="3"/>
  <c r="X247" i="3"/>
  <c r="X246" i="3"/>
  <c r="X245" i="3"/>
  <c r="X244" i="3"/>
  <c r="M252" i="3"/>
  <c r="AA252" i="3"/>
  <c r="M251" i="3"/>
  <c r="AA251" i="3"/>
  <c r="M250" i="3"/>
  <c r="AA250" i="3"/>
  <c r="M249" i="3"/>
  <c r="AA249" i="3"/>
  <c r="M248" i="3"/>
  <c r="AA248" i="3"/>
  <c r="M247" i="3"/>
  <c r="AA247" i="3"/>
  <c r="M246" i="3"/>
  <c r="AA246" i="3"/>
  <c r="M245" i="3"/>
  <c r="AA245" i="3"/>
  <c r="M244" i="3"/>
  <c r="AA244" i="3"/>
  <c r="AB243" i="3"/>
  <c r="AD824" i="3"/>
  <c r="AD823" i="3"/>
  <c r="AD822" i="3"/>
  <c r="AD821" i="3"/>
  <c r="AD23" i="3"/>
  <c r="AD22" i="3"/>
  <c r="AD21" i="3"/>
  <c r="AD20" i="3"/>
  <c r="AB25" i="3"/>
  <c r="AC25" i="3"/>
  <c r="AC24" i="3" s="1"/>
  <c r="AD25" i="3"/>
  <c r="N33" i="3"/>
  <c r="O33" i="3"/>
  <c r="X33" i="3"/>
  <c r="AB33" i="3"/>
  <c r="AC33" i="3"/>
  <c r="AD33" i="3"/>
  <c r="AC23" i="3"/>
  <c r="AA23" i="3"/>
  <c r="AC22" i="3"/>
  <c r="AA22" i="3"/>
  <c r="AC21" i="3"/>
  <c r="AA21" i="3"/>
  <c r="AA19" i="3" s="1"/>
  <c r="AC20" i="3"/>
  <c r="AA20" i="3"/>
  <c r="N19" i="3"/>
  <c r="AD323" i="3"/>
  <c r="AD322" i="3"/>
  <c r="AD321" i="3"/>
  <c r="AD319" i="3"/>
  <c r="AD318" i="3"/>
  <c r="AD317" i="3"/>
  <c r="AD315" i="3"/>
  <c r="AD314" i="3"/>
  <c r="AD313" i="3"/>
  <c r="AD312" i="3"/>
  <c r="AD309" i="3"/>
  <c r="AD310" i="3"/>
  <c r="AD308" i="3"/>
  <c r="AC309" i="3"/>
  <c r="AC310" i="3"/>
  <c r="AC308" i="3"/>
  <c r="X309" i="3"/>
  <c r="X310" i="3"/>
  <c r="X308" i="3"/>
  <c r="M309" i="3"/>
  <c r="M310" i="3"/>
  <c r="M308" i="3"/>
  <c r="AC312" i="3"/>
  <c r="AA323" i="3"/>
  <c r="AA322" i="3"/>
  <c r="AA321" i="3"/>
  <c r="AA319" i="3"/>
  <c r="AA317" i="3"/>
  <c r="AA315" i="3"/>
  <c r="AC323" i="3"/>
  <c r="AC322" i="3"/>
  <c r="AC321" i="3"/>
  <c r="AC319" i="3"/>
  <c r="AC318" i="3"/>
  <c r="AC317" i="3"/>
  <c r="AC315" i="3"/>
  <c r="AC314" i="3"/>
  <c r="AC313" i="3"/>
  <c r="X323" i="3"/>
  <c r="X322" i="3"/>
  <c r="X321" i="3"/>
  <c r="X319" i="3"/>
  <c r="X318" i="3"/>
  <c r="X317" i="3"/>
  <c r="X315" i="3"/>
  <c r="X314" i="3"/>
  <c r="X313" i="3"/>
  <c r="X312" i="3"/>
  <c r="M323" i="3"/>
  <c r="M322" i="3"/>
  <c r="M321" i="3"/>
  <c r="M319" i="3"/>
  <c r="M318" i="3"/>
  <c r="M317" i="3"/>
  <c r="M315" i="3"/>
  <c r="M314" i="3"/>
  <c r="M313" i="3"/>
  <c r="M312" i="3"/>
  <c r="AB311" i="3"/>
  <c r="AC36" i="7"/>
  <c r="M36" i="7"/>
  <c r="N36" i="7" s="1"/>
  <c r="L36" i="7"/>
  <c r="AD24" i="8"/>
  <c r="AC24" i="8"/>
  <c r="M24" i="8"/>
  <c r="N24" i="8"/>
  <c r="L24" i="8"/>
  <c r="O24" i="8"/>
  <c r="AD173" i="8"/>
  <c r="AC173" i="8"/>
  <c r="M173" i="8"/>
  <c r="AA173" i="8"/>
  <c r="L173" i="8"/>
  <c r="AB173" i="8" s="1"/>
  <c r="O173" i="8"/>
  <c r="AD183" i="8"/>
  <c r="AC183" i="8"/>
  <c r="M183" i="8"/>
  <c r="AA183" i="8"/>
  <c r="L183" i="8"/>
  <c r="AB183" i="8" s="1"/>
  <c r="AD172" i="8"/>
  <c r="AC172" i="8"/>
  <c r="M172" i="8"/>
  <c r="AA172" i="8" s="1"/>
  <c r="L172" i="8"/>
  <c r="AB172" i="8" s="1"/>
  <c r="AD49" i="8"/>
  <c r="AC49" i="8"/>
  <c r="AA49" i="8"/>
  <c r="N49" i="8"/>
  <c r="AD48" i="8"/>
  <c r="AC48" i="8"/>
  <c r="AA48" i="8"/>
  <c r="N48" i="8"/>
  <c r="X734" i="3"/>
  <c r="X733" i="3"/>
  <c r="X732" i="3"/>
  <c r="X731" i="3"/>
  <c r="X728" i="3"/>
  <c r="X727" i="3"/>
  <c r="X726" i="3"/>
  <c r="X725" i="3"/>
  <c r="X724" i="3"/>
  <c r="X709" i="3"/>
  <c r="X708" i="3"/>
  <c r="X707" i="3"/>
  <c r="X706" i="3"/>
  <c r="X705" i="3"/>
  <c r="AD160" i="8"/>
  <c r="AC160" i="8"/>
  <c r="M160" i="8"/>
  <c r="AA160" i="8"/>
  <c r="L160" i="8"/>
  <c r="AB160" i="8" s="1"/>
  <c r="O160" i="8"/>
  <c r="AD114" i="8"/>
  <c r="AC114" i="8"/>
  <c r="M114" i="8"/>
  <c r="AA114" i="8"/>
  <c r="L114" i="8"/>
  <c r="AB114" i="8" s="1"/>
  <c r="AF114" i="8"/>
  <c r="AD706" i="3"/>
  <c r="AD705" i="3"/>
  <c r="AD734" i="3"/>
  <c r="AC734" i="3"/>
  <c r="AD733" i="3"/>
  <c r="AC733" i="3"/>
  <c r="AD732" i="3"/>
  <c r="AC732" i="3"/>
  <c r="AD731" i="3"/>
  <c r="AC731" i="3"/>
  <c r="AD728" i="3"/>
  <c r="AC728" i="3"/>
  <c r="AD727" i="3"/>
  <c r="AC727" i="3"/>
  <c r="AD726" i="3"/>
  <c r="AC726" i="3"/>
  <c r="AD725" i="3"/>
  <c r="AC725" i="3"/>
  <c r="AD724" i="3"/>
  <c r="AC724" i="3"/>
  <c r="M734" i="3"/>
  <c r="AA734" i="3" s="1"/>
  <c r="M733" i="3"/>
  <c r="AA733" i="3" s="1"/>
  <c r="M732" i="3"/>
  <c r="AA732" i="3" s="1"/>
  <c r="M731" i="3"/>
  <c r="AA731" i="3" s="1"/>
  <c r="M728" i="3"/>
  <c r="AA728" i="3" s="1"/>
  <c r="M727" i="3"/>
  <c r="AA727" i="3" s="1"/>
  <c r="M726" i="3"/>
  <c r="AA726" i="3" s="1"/>
  <c r="M725" i="3"/>
  <c r="AA725" i="3" s="1"/>
  <c r="M724" i="3"/>
  <c r="AA724" i="3" s="1"/>
  <c r="AC709" i="3"/>
  <c r="AC708" i="3"/>
  <c r="AC707" i="3"/>
  <c r="AC706" i="3"/>
  <c r="AC705" i="3"/>
  <c r="AD709" i="3"/>
  <c r="AD708" i="3"/>
  <c r="AD707" i="3"/>
  <c r="M709" i="3"/>
  <c r="AA709" i="3" s="1"/>
  <c r="M708" i="3"/>
  <c r="AA708" i="3" s="1"/>
  <c r="M707" i="3"/>
  <c r="AA707" i="3" s="1"/>
  <c r="M706" i="3"/>
  <c r="AA706" i="3" s="1"/>
  <c r="M705" i="3"/>
  <c r="AA705" i="3" s="1"/>
  <c r="AF704" i="3"/>
  <c r="AD149" i="8"/>
  <c r="AC149" i="8"/>
  <c r="M149" i="8"/>
  <c r="AA149" i="8" s="1"/>
  <c r="L149" i="8"/>
  <c r="AB149" i="8" s="1"/>
  <c r="AD175" i="8"/>
  <c r="AC175" i="8"/>
  <c r="M175" i="8"/>
  <c r="AA175" i="8" s="1"/>
  <c r="L175" i="8"/>
  <c r="AB175" i="8" s="1"/>
  <c r="AD101" i="8"/>
  <c r="AC101" i="8"/>
  <c r="X101" i="8"/>
  <c r="M101" i="8"/>
  <c r="N101" i="8" s="1"/>
  <c r="AC343" i="3"/>
  <c r="AD348" i="3"/>
  <c r="AC348" i="3"/>
  <c r="X348" i="3"/>
  <c r="M348" i="3"/>
  <c r="N348" i="3"/>
  <c r="AD77" i="8"/>
  <c r="AC77" i="8"/>
  <c r="AB77" i="8"/>
  <c r="AA77" i="8"/>
  <c r="Z77" i="8"/>
  <c r="X77" i="8"/>
  <c r="O77" i="8"/>
  <c r="N77" i="8"/>
  <c r="AC85" i="8"/>
  <c r="X85" i="8"/>
  <c r="AC82" i="8"/>
  <c r="AC81" i="8"/>
  <c r="AA82" i="8"/>
  <c r="AA81" i="8"/>
  <c r="X81" i="8"/>
  <c r="M81" i="8"/>
  <c r="N81" i="8" s="1"/>
  <c r="X82" i="8"/>
  <c r="M82" i="8"/>
  <c r="N82" i="8"/>
  <c r="AD162" i="8"/>
  <c r="AC162" i="8"/>
  <c r="M162" i="8"/>
  <c r="AA162" i="8" s="1"/>
  <c r="L162" i="8"/>
  <c r="O162" i="8" s="1"/>
  <c r="N393" i="3"/>
  <c r="AD190" i="8"/>
  <c r="AC190" i="8"/>
  <c r="M190" i="8"/>
  <c r="AA190" i="8" s="1"/>
  <c r="L190" i="8"/>
  <c r="AB190" i="8" s="1"/>
  <c r="Z190" i="8"/>
  <c r="AC92" i="8"/>
  <c r="X92" i="8"/>
  <c r="N842" i="3"/>
  <c r="N841" i="3"/>
  <c r="N840" i="3"/>
  <c r="N839" i="3"/>
  <c r="L697" i="3"/>
  <c r="AF697" i="3" s="1"/>
  <c r="M697" i="3"/>
  <c r="AA697" i="3"/>
  <c r="L696" i="3"/>
  <c r="M696" i="3"/>
  <c r="AA696" i="3" s="1"/>
  <c r="AD697" i="3"/>
  <c r="AD696" i="3"/>
  <c r="AC697" i="3"/>
  <c r="AC696" i="3"/>
  <c r="AD21" i="8"/>
  <c r="AC21" i="8"/>
  <c r="M21" i="8"/>
  <c r="AA21" i="8" s="1"/>
  <c r="L21" i="8"/>
  <c r="AD191" i="8"/>
  <c r="AC191" i="8"/>
  <c r="M191" i="8"/>
  <c r="N191" i="8"/>
  <c r="L191" i="8"/>
  <c r="AD74" i="8"/>
  <c r="AC74" i="8"/>
  <c r="AB74" i="8"/>
  <c r="AA74" i="8"/>
  <c r="Z74" i="8"/>
  <c r="X74" i="8"/>
  <c r="O74" i="8"/>
  <c r="N74" i="8"/>
  <c r="M9" i="8"/>
  <c r="N9" i="8"/>
  <c r="AD8" i="8"/>
  <c r="AC8" i="8"/>
  <c r="AB8" i="8"/>
  <c r="M8" i="8"/>
  <c r="N8" i="8"/>
  <c r="AD15" i="8"/>
  <c r="AC15" i="8"/>
  <c r="M15" i="8"/>
  <c r="AA15" i="8"/>
  <c r="AD665" i="3"/>
  <c r="AD664" i="3"/>
  <c r="AD663" i="3"/>
  <c r="AD662" i="3"/>
  <c r="AC665" i="3"/>
  <c r="AC664" i="3"/>
  <c r="AC663" i="3"/>
  <c r="AC662" i="3"/>
  <c r="M665" i="3"/>
  <c r="M664" i="3"/>
  <c r="AA664" i="3"/>
  <c r="M663" i="3"/>
  <c r="AA663" i="3" s="1"/>
  <c r="M662" i="3"/>
  <c r="AA662" i="3" s="1"/>
  <c r="L665" i="3"/>
  <c r="AF665" i="3" s="1"/>
  <c r="L664" i="3"/>
  <c r="AF664" i="3"/>
  <c r="L663" i="3"/>
  <c r="L662" i="3"/>
  <c r="AF662" i="3"/>
  <c r="AD27" i="8"/>
  <c r="AC27" i="8"/>
  <c r="M27" i="8"/>
  <c r="AA27" i="8" s="1"/>
  <c r="L27" i="8"/>
  <c r="Z27" i="8"/>
  <c r="AD28" i="8"/>
  <c r="AC28" i="8"/>
  <c r="M28" i="8"/>
  <c r="AA28" i="8"/>
  <c r="L28" i="8"/>
  <c r="Z28" i="8" s="1"/>
  <c r="AD25" i="8"/>
  <c r="AC25" i="8"/>
  <c r="M25" i="8"/>
  <c r="AA25" i="8" s="1"/>
  <c r="L25" i="8"/>
  <c r="M9" i="7"/>
  <c r="M242" i="3"/>
  <c r="M240" i="3"/>
  <c r="M239" i="3"/>
  <c r="N239" i="3" s="1"/>
  <c r="M238" i="3"/>
  <c r="AA238" i="3"/>
  <c r="M237" i="3"/>
  <c r="M236" i="3"/>
  <c r="AA236" i="3" s="1"/>
  <c r="M235" i="3"/>
  <c r="AA235" i="3" s="1"/>
  <c r="M234" i="3"/>
  <c r="AA234" i="3" s="1"/>
  <c r="M233" i="3"/>
  <c r="M232" i="3"/>
  <c r="AD168" i="8"/>
  <c r="AC168" i="8"/>
  <c r="M168" i="8"/>
  <c r="N168" i="8"/>
  <c r="L168" i="8"/>
  <c r="AB168" i="8" s="1"/>
  <c r="AD50" i="8"/>
  <c r="AC50" i="8"/>
  <c r="AC47" i="8" s="1"/>
  <c r="AA50" i="8"/>
  <c r="AA47" i="8" s="1"/>
  <c r="N50" i="8"/>
  <c r="N47" i="8"/>
  <c r="N215" i="3"/>
  <c r="N214" i="3"/>
  <c r="N213" i="3"/>
  <c r="N212" i="3"/>
  <c r="N211" i="3"/>
  <c r="N210" i="3"/>
  <c r="N209" i="3"/>
  <c r="N208" i="3"/>
  <c r="AD182" i="8"/>
  <c r="AC182" i="8"/>
  <c r="M182" i="8"/>
  <c r="AA182" i="8" s="1"/>
  <c r="L182" i="8"/>
  <c r="AB182" i="8" s="1"/>
  <c r="AD179" i="8"/>
  <c r="AC179" i="8"/>
  <c r="M179" i="8"/>
  <c r="N179" i="8" s="1"/>
  <c r="L179" i="8"/>
  <c r="AB179" i="8" s="1"/>
  <c r="Z179" i="8"/>
  <c r="AD150" i="8"/>
  <c r="AC150" i="8"/>
  <c r="M150" i="8"/>
  <c r="N150" i="8"/>
  <c r="L150" i="8"/>
  <c r="AB150" i="8" s="1"/>
  <c r="AD151" i="8"/>
  <c r="AC151" i="8"/>
  <c r="M151" i="8"/>
  <c r="N151" i="8" s="1"/>
  <c r="L151" i="8"/>
  <c r="AB151" i="8" s="1"/>
  <c r="AF240" i="3"/>
  <c r="AF239" i="3"/>
  <c r="AF238" i="3"/>
  <c r="AF237" i="3"/>
  <c r="AF236" i="3"/>
  <c r="AF235" i="3"/>
  <c r="AF234" i="3"/>
  <c r="AF233" i="3"/>
  <c r="AF232" i="3"/>
  <c r="AI220" i="3"/>
  <c r="AI219" i="3"/>
  <c r="AI218" i="3"/>
  <c r="AI217" i="3"/>
  <c r="AD215" i="3"/>
  <c r="AD214" i="3"/>
  <c r="AD213" i="3"/>
  <c r="AD212" i="3"/>
  <c r="AD211" i="3"/>
  <c r="AD210" i="3"/>
  <c r="AD209" i="3"/>
  <c r="AD208" i="3"/>
  <c r="M824" i="3"/>
  <c r="N824" i="3" s="1"/>
  <c r="M823" i="3"/>
  <c r="N823" i="3"/>
  <c r="M822" i="3"/>
  <c r="N822" i="3" s="1"/>
  <c r="M821" i="3"/>
  <c r="N821" i="3" s="1"/>
  <c r="X824" i="3"/>
  <c r="X823" i="3"/>
  <c r="X822" i="3"/>
  <c r="X821" i="3"/>
  <c r="AF824" i="3"/>
  <c r="AF823" i="3"/>
  <c r="AF822" i="3"/>
  <c r="AF821" i="3"/>
  <c r="AC220" i="3"/>
  <c r="AC219" i="3"/>
  <c r="AC218" i="3"/>
  <c r="AC217" i="3"/>
  <c r="AC215" i="3"/>
  <c r="AC214" i="3"/>
  <c r="AC213" i="3"/>
  <c r="AC212" i="3"/>
  <c r="AC211" i="3"/>
  <c r="AC210" i="3"/>
  <c r="AC209" i="3"/>
  <c r="AC208" i="3"/>
  <c r="AA215" i="3"/>
  <c r="AA214" i="3"/>
  <c r="AA213" i="3"/>
  <c r="AA212" i="3"/>
  <c r="AA211" i="3"/>
  <c r="AA210" i="3"/>
  <c r="AA209" i="3"/>
  <c r="AA208" i="3"/>
  <c r="AA207" i="3"/>
  <c r="M220" i="3"/>
  <c r="AA220" i="3" s="1"/>
  <c r="M219" i="3"/>
  <c r="N219" i="3" s="1"/>
  <c r="M218" i="3"/>
  <c r="N218" i="3"/>
  <c r="M217" i="3"/>
  <c r="N217" i="3" s="1"/>
  <c r="AC824" i="3"/>
  <c r="AA824" i="3"/>
  <c r="AC823" i="3"/>
  <c r="AA823" i="3"/>
  <c r="AC822" i="3"/>
  <c r="AA822" i="3"/>
  <c r="AC821" i="3"/>
  <c r="AA821" i="3"/>
  <c r="M192" i="8"/>
  <c r="AA192" i="8" s="1"/>
  <c r="L192" i="8"/>
  <c r="AB192" i="8" s="1"/>
  <c r="Z192" i="8"/>
  <c r="AA441" i="3"/>
  <c r="AA440" i="3"/>
  <c r="AA439" i="3"/>
  <c r="AA438" i="3"/>
  <c r="AA437" i="3"/>
  <c r="AD437" i="3"/>
  <c r="AD436" i="3"/>
  <c r="AD435" i="3"/>
  <c r="AD433" i="3"/>
  <c r="AD432" i="3"/>
  <c r="AC441" i="3"/>
  <c r="AC440" i="3"/>
  <c r="M441" i="3"/>
  <c r="Z441" i="3" s="1"/>
  <c r="X441" i="3"/>
  <c r="M440" i="3"/>
  <c r="Z440" i="3" s="1"/>
  <c r="X440" i="3"/>
  <c r="AB32" i="7"/>
  <c r="AD592" i="3"/>
  <c r="M32" i="7"/>
  <c r="Z32" i="7" s="1"/>
  <c r="L32" i="7"/>
  <c r="L703" i="3"/>
  <c r="AF703" i="3"/>
  <c r="M703" i="3"/>
  <c r="N703" i="3"/>
  <c r="L702" i="3"/>
  <c r="AF702" i="3"/>
  <c r="M702" i="3"/>
  <c r="AA702" i="3" s="1"/>
  <c r="L699" i="3"/>
  <c r="AF699" i="3"/>
  <c r="M699" i="3"/>
  <c r="AA699" i="3"/>
  <c r="L698" i="3"/>
  <c r="AF698" i="3"/>
  <c r="M698" i="3"/>
  <c r="N698" i="3" s="1"/>
  <c r="AD703" i="3"/>
  <c r="AD702" i="3"/>
  <c r="AD699" i="3"/>
  <c r="AD698" i="3"/>
  <c r="AC703" i="3"/>
  <c r="AC702" i="3"/>
  <c r="AC699" i="3"/>
  <c r="AC698" i="3"/>
  <c r="AD625" i="3"/>
  <c r="AC625" i="3"/>
  <c r="M625" i="3"/>
  <c r="AA625" i="3"/>
  <c r="L625" i="3"/>
  <c r="Z625" i="3"/>
  <c r="AD624" i="3"/>
  <c r="AC624" i="3"/>
  <c r="M624" i="3"/>
  <c r="AA624" i="3" s="1"/>
  <c r="L624" i="3"/>
  <c r="AD623" i="3"/>
  <c r="AC623" i="3"/>
  <c r="M623" i="3"/>
  <c r="N623" i="3" s="1"/>
  <c r="L623" i="3"/>
  <c r="AD593" i="3"/>
  <c r="AC593" i="3"/>
  <c r="M593" i="3"/>
  <c r="AA593" i="3" s="1"/>
  <c r="L593" i="3"/>
  <c r="AF593" i="3"/>
  <c r="AD585" i="3"/>
  <c r="AC585" i="3"/>
  <c r="M585" i="3"/>
  <c r="N585" i="3" s="1"/>
  <c r="L585" i="3"/>
  <c r="AF585" i="3" s="1"/>
  <c r="AD584" i="3"/>
  <c r="AC584" i="3"/>
  <c r="M584" i="3"/>
  <c r="AA584" i="3" s="1"/>
  <c r="L584" i="3"/>
  <c r="AD583" i="3"/>
  <c r="AC583" i="3"/>
  <c r="M583" i="3"/>
  <c r="AA583" i="3" s="1"/>
  <c r="L583" i="3"/>
  <c r="AD582" i="3"/>
  <c r="AC582" i="3"/>
  <c r="M582" i="3"/>
  <c r="AA582" i="3" s="1"/>
  <c r="L582" i="3"/>
  <c r="AF582" i="3" s="1"/>
  <c r="AD581" i="3"/>
  <c r="AC581" i="3"/>
  <c r="M581" i="3"/>
  <c r="N581" i="3" s="1"/>
  <c r="L581" i="3"/>
  <c r="AF581" i="3" s="1"/>
  <c r="AD580" i="3"/>
  <c r="AC580" i="3"/>
  <c r="M580" i="3"/>
  <c r="N580" i="3"/>
  <c r="L580" i="3"/>
  <c r="AD591" i="3"/>
  <c r="AC591" i="3"/>
  <c r="M591" i="3"/>
  <c r="AA591" i="3"/>
  <c r="L591" i="3"/>
  <c r="AF230" i="3"/>
  <c r="AF229" i="3"/>
  <c r="AF228" i="3"/>
  <c r="AF227" i="3"/>
  <c r="AF226" i="3"/>
  <c r="AF225" i="3"/>
  <c r="AF224" i="3"/>
  <c r="AF223" i="3"/>
  <c r="AF222" i="3"/>
  <c r="AD343" i="3"/>
  <c r="Z343" i="3"/>
  <c r="X343" i="3"/>
  <c r="M343" i="3"/>
  <c r="N343" i="3"/>
  <c r="AD125" i="8"/>
  <c r="AC125" i="8"/>
  <c r="M125" i="8"/>
  <c r="N125" i="8"/>
  <c r="L125" i="8"/>
  <c r="AB125" i="8" s="1"/>
  <c r="AD157" i="8"/>
  <c r="AC157" i="8"/>
  <c r="M157" i="8"/>
  <c r="AA157" i="8"/>
  <c r="L157" i="8"/>
  <c r="AB157" i="8" s="1"/>
  <c r="AD122" i="8"/>
  <c r="AC122" i="8"/>
  <c r="M122" i="8"/>
  <c r="N122" i="8" s="1"/>
  <c r="L122" i="8"/>
  <c r="AB122" i="8" s="1"/>
  <c r="AD192" i="8"/>
  <c r="AC192" i="8"/>
  <c r="AD193" i="8"/>
  <c r="AC193" i="8"/>
  <c r="M193" i="8"/>
  <c r="AA193" i="8" s="1"/>
  <c r="L193" i="8"/>
  <c r="AB193" i="8" s="1"/>
  <c r="Z193" i="8"/>
  <c r="O188" i="8"/>
  <c r="AA41" i="8"/>
  <c r="N41" i="8"/>
  <c r="AF813" i="3"/>
  <c r="AD809" i="3"/>
  <c r="AC809" i="3"/>
  <c r="M809" i="3"/>
  <c r="N809" i="3"/>
  <c r="AF810" i="3"/>
  <c r="AF809" i="3"/>
  <c r="AF808" i="3"/>
  <c r="AF807" i="3"/>
  <c r="AF806" i="3"/>
  <c r="AF805" i="3"/>
  <c r="AD794" i="3"/>
  <c r="AF792" i="3"/>
  <c r="AC792" i="3"/>
  <c r="AD792" i="3"/>
  <c r="M792" i="3"/>
  <c r="AA792" i="3"/>
  <c r="N891" i="3"/>
  <c r="N890" i="3"/>
  <c r="N889" i="3"/>
  <c r="AA393" i="3"/>
  <c r="X393" i="3"/>
  <c r="AB7" i="7"/>
  <c r="AA7" i="7"/>
  <c r="AA6" i="7"/>
  <c r="Z7" i="7"/>
  <c r="Z6" i="7"/>
  <c r="Y7" i="7"/>
  <c r="W7" i="7"/>
  <c r="N7" i="7"/>
  <c r="AA242" i="3"/>
  <c r="X242" i="3"/>
  <c r="N240" i="3"/>
  <c r="X240" i="3"/>
  <c r="X239" i="3"/>
  <c r="X238" i="3"/>
  <c r="AA237" i="3"/>
  <c r="X237" i="3"/>
  <c r="X236" i="3"/>
  <c r="X235" i="3"/>
  <c r="X234" i="3"/>
  <c r="AA233" i="3"/>
  <c r="X233" i="3"/>
  <c r="AC242" i="3"/>
  <c r="AD242" i="3"/>
  <c r="AC240" i="3"/>
  <c r="AD240" i="3"/>
  <c r="AC239" i="3"/>
  <c r="AD239" i="3"/>
  <c r="AC238" i="3"/>
  <c r="AD238" i="3"/>
  <c r="AC237" i="3"/>
  <c r="AD237" i="3"/>
  <c r="AC236" i="3"/>
  <c r="AD236" i="3"/>
  <c r="AC235" i="3"/>
  <c r="AD235" i="3"/>
  <c r="AC234" i="3"/>
  <c r="AD234" i="3"/>
  <c r="AC233" i="3"/>
  <c r="AC231" i="3" s="1"/>
  <c r="AD233" i="3"/>
  <c r="AD232" i="3"/>
  <c r="AC232" i="3"/>
  <c r="X232" i="3"/>
  <c r="N232" i="3"/>
  <c r="AB231" i="3"/>
  <c r="AD156" i="8"/>
  <c r="AC156" i="8"/>
  <c r="M156" i="8"/>
  <c r="AA156" i="8"/>
  <c r="L156" i="8"/>
  <c r="AB156" i="8" s="1"/>
  <c r="O156" i="8"/>
  <c r="Z447" i="3"/>
  <c r="Z446" i="3"/>
  <c r="Z445" i="3"/>
  <c r="Z444" i="3"/>
  <c r="Z449" i="3"/>
  <c r="N449" i="3"/>
  <c r="AD118" i="8"/>
  <c r="AC118" i="8"/>
  <c r="M118" i="8"/>
  <c r="N118" i="8"/>
  <c r="L118" i="8"/>
  <c r="AB118" i="8" s="1"/>
  <c r="Z118" i="8"/>
  <c r="AD16" i="8"/>
  <c r="AC16" i="8"/>
  <c r="M16" i="8"/>
  <c r="N16" i="8"/>
  <c r="AD632" i="3"/>
  <c r="AC632" i="3"/>
  <c r="M632" i="3"/>
  <c r="AA632" i="3"/>
  <c r="L632" i="3"/>
  <c r="Z632" i="3"/>
  <c r="AD631" i="3"/>
  <c r="AC631" i="3"/>
  <c r="M631" i="3"/>
  <c r="N631" i="3"/>
  <c r="L631" i="3"/>
  <c r="AF631" i="3"/>
  <c r="AD630" i="3"/>
  <c r="AC630" i="3"/>
  <c r="M630" i="3"/>
  <c r="N630" i="3"/>
  <c r="L630" i="3"/>
  <c r="AD629" i="3"/>
  <c r="AC629" i="3"/>
  <c r="M629" i="3"/>
  <c r="N629" i="3" s="1"/>
  <c r="L629" i="3"/>
  <c r="Z629" i="3" s="1"/>
  <c r="AD628" i="3"/>
  <c r="AC628" i="3"/>
  <c r="M628" i="3"/>
  <c r="AA628" i="3" s="1"/>
  <c r="L628" i="3"/>
  <c r="AF628" i="3" s="1"/>
  <c r="AD627" i="3"/>
  <c r="AC627" i="3"/>
  <c r="M627" i="3"/>
  <c r="N627" i="3" s="1"/>
  <c r="L627" i="3"/>
  <c r="AF627" i="3" s="1"/>
  <c r="AD626" i="3"/>
  <c r="AC626" i="3"/>
  <c r="M626" i="3"/>
  <c r="AA626" i="3" s="1"/>
  <c r="L626" i="3"/>
  <c r="Z626" i="3" s="1"/>
  <c r="M661" i="3"/>
  <c r="N661" i="3" s="1"/>
  <c r="M660" i="3"/>
  <c r="AA660" i="3" s="1"/>
  <c r="M658" i="3"/>
  <c r="N658" i="3" s="1"/>
  <c r="M659" i="3"/>
  <c r="AA659" i="3" s="1"/>
  <c r="M657" i="3"/>
  <c r="AA657" i="3" s="1"/>
  <c r="M655" i="3"/>
  <c r="M656" i="3"/>
  <c r="N656" i="3"/>
  <c r="M654" i="3"/>
  <c r="AA654" i="3"/>
  <c r="M653" i="3"/>
  <c r="N653" i="3"/>
  <c r="M652" i="3"/>
  <c r="AA652" i="3"/>
  <c r="M651" i="3"/>
  <c r="AA651" i="3"/>
  <c r="M640" i="3"/>
  <c r="M639" i="3"/>
  <c r="AA639" i="3" s="1"/>
  <c r="M638" i="3"/>
  <c r="N638" i="3" s="1"/>
  <c r="M637" i="3"/>
  <c r="N637" i="3" s="1"/>
  <c r="M636" i="3"/>
  <c r="N636" i="3" s="1"/>
  <c r="M635" i="3"/>
  <c r="N635" i="3" s="1"/>
  <c r="N633" i="3" s="1"/>
  <c r="M634" i="3"/>
  <c r="AA634" i="3"/>
  <c r="M693" i="3"/>
  <c r="AA693" i="3"/>
  <c r="M692" i="3"/>
  <c r="AA692" i="3"/>
  <c r="M691" i="3"/>
  <c r="AA691" i="3"/>
  <c r="M690" i="3"/>
  <c r="M689" i="3"/>
  <c r="AA689" i="3" s="1"/>
  <c r="M688" i="3"/>
  <c r="AA688" i="3" s="1"/>
  <c r="M648" i="3"/>
  <c r="AA648" i="3" s="1"/>
  <c r="M647" i="3"/>
  <c r="M646" i="3"/>
  <c r="N646" i="3"/>
  <c r="M645" i="3"/>
  <c r="M644" i="3"/>
  <c r="AA644" i="3" s="1"/>
  <c r="M643" i="3"/>
  <c r="AA643" i="3" s="1"/>
  <c r="M642" i="3"/>
  <c r="N642" i="3" s="1"/>
  <c r="M685" i="3"/>
  <c r="M683" i="3"/>
  <c r="AA683" i="3"/>
  <c r="M681" i="3"/>
  <c r="N681" i="3"/>
  <c r="M686" i="3"/>
  <c r="N686" i="3"/>
  <c r="M684" i="3"/>
  <c r="N684" i="3"/>
  <c r="M682" i="3"/>
  <c r="AA682" i="3"/>
  <c r="M680" i="3"/>
  <c r="AA680" i="3"/>
  <c r="AD169" i="8"/>
  <c r="AC169" i="8"/>
  <c r="M169" i="8"/>
  <c r="AA169" i="8"/>
  <c r="L169" i="8"/>
  <c r="AB169" i="8" s="1"/>
  <c r="AD158" i="8"/>
  <c r="AC158" i="8"/>
  <c r="M158" i="8"/>
  <c r="AA158" i="8" s="1"/>
  <c r="L158" i="8"/>
  <c r="L634" i="3"/>
  <c r="AD634" i="3"/>
  <c r="AC634" i="3"/>
  <c r="AD170" i="8"/>
  <c r="AC170" i="8"/>
  <c r="M170" i="8"/>
  <c r="AA170" i="8"/>
  <c r="L170" i="8"/>
  <c r="AB170" i="8" s="1"/>
  <c r="Z170" i="8"/>
  <c r="AD167" i="8"/>
  <c r="AC167" i="8"/>
  <c r="M167" i="8"/>
  <c r="AA167" i="8"/>
  <c r="L167" i="8"/>
  <c r="AB167" i="8" s="1"/>
  <c r="Q276" i="3"/>
  <c r="AD276" i="3"/>
  <c r="M276" i="3"/>
  <c r="X276" i="3" s="1"/>
  <c r="AC276" i="3"/>
  <c r="AB276" i="3"/>
  <c r="N837" i="3"/>
  <c r="AD751" i="3"/>
  <c r="AD750" i="3"/>
  <c r="M748" i="3"/>
  <c r="M747" i="3"/>
  <c r="M746" i="3"/>
  <c r="M745" i="3"/>
  <c r="M744" i="3"/>
  <c r="M743" i="3"/>
  <c r="AC751" i="3"/>
  <c r="AC750" i="3"/>
  <c r="M751" i="3"/>
  <c r="AA751" i="3"/>
  <c r="M750" i="3"/>
  <c r="AA750" i="3"/>
  <c r="N749" i="3"/>
  <c r="AD117" i="8"/>
  <c r="AC117" i="8"/>
  <c r="M117" i="8"/>
  <c r="AA117" i="8" s="1"/>
  <c r="L117" i="8"/>
  <c r="AB117" i="8" s="1"/>
  <c r="M306" i="3"/>
  <c r="AD306" i="3"/>
  <c r="AD693" i="3"/>
  <c r="AD692" i="3"/>
  <c r="AD691" i="3"/>
  <c r="AD690" i="3"/>
  <c r="AD689" i="3"/>
  <c r="AD688" i="3"/>
  <c r="AD685" i="3"/>
  <c r="AD683" i="3"/>
  <c r="AD681" i="3"/>
  <c r="AD686" i="3"/>
  <c r="AD684" i="3"/>
  <c r="AD682" i="3"/>
  <c r="AD680" i="3"/>
  <c r="AD661" i="3"/>
  <c r="AD660" i="3"/>
  <c r="AD658" i="3"/>
  <c r="AD659" i="3"/>
  <c r="AD657" i="3"/>
  <c r="AD655" i="3"/>
  <c r="AD656" i="3"/>
  <c r="AD654" i="3"/>
  <c r="AD653" i="3"/>
  <c r="AD652" i="3"/>
  <c r="AD651" i="3"/>
  <c r="AC681" i="3"/>
  <c r="L681" i="3"/>
  <c r="AF681" i="3" s="1"/>
  <c r="AF679" i="3" s="1"/>
  <c r="L651" i="3"/>
  <c r="Z651" i="3"/>
  <c r="AC659" i="3"/>
  <c r="L659" i="3"/>
  <c r="AF659" i="3" s="1"/>
  <c r="AC657" i="3"/>
  <c r="L657" i="3"/>
  <c r="AF657" i="3"/>
  <c r="AC655" i="3"/>
  <c r="L655" i="3"/>
  <c r="AC656" i="3"/>
  <c r="L656" i="3"/>
  <c r="AF656" i="3" s="1"/>
  <c r="AC693" i="3"/>
  <c r="L693" i="3"/>
  <c r="AC692" i="3"/>
  <c r="L692" i="3"/>
  <c r="AF692" i="3"/>
  <c r="AC691" i="3"/>
  <c r="L691" i="3"/>
  <c r="AF691" i="3" s="1"/>
  <c r="AC690" i="3"/>
  <c r="L690" i="3"/>
  <c r="AF690" i="3"/>
  <c r="AC689" i="3"/>
  <c r="L689" i="3"/>
  <c r="AC688" i="3"/>
  <c r="L688" i="3"/>
  <c r="AF688" i="3" s="1"/>
  <c r="AC685" i="3"/>
  <c r="L685" i="3"/>
  <c r="AF685" i="3"/>
  <c r="AC683" i="3"/>
  <c r="L683" i="3"/>
  <c r="AF683" i="3" s="1"/>
  <c r="AC686" i="3"/>
  <c r="L686" i="3"/>
  <c r="AF686" i="3"/>
  <c r="AC684" i="3"/>
  <c r="L684" i="3"/>
  <c r="AF684" i="3" s="1"/>
  <c r="AC682" i="3"/>
  <c r="L682" i="3"/>
  <c r="AC680" i="3"/>
  <c r="L680" i="3"/>
  <c r="AC661" i="3"/>
  <c r="L661" i="3"/>
  <c r="Z661" i="3"/>
  <c r="AC660" i="3"/>
  <c r="L660" i="3"/>
  <c r="AF660" i="3" s="1"/>
  <c r="AC658" i="3"/>
  <c r="L658" i="3"/>
  <c r="AF658" i="3"/>
  <c r="AC654" i="3"/>
  <c r="L654" i="3"/>
  <c r="AF654" i="3" s="1"/>
  <c r="AC653" i="3"/>
  <c r="L653" i="3"/>
  <c r="Z653" i="3"/>
  <c r="AC652" i="3"/>
  <c r="L652" i="3"/>
  <c r="AF652" i="3" s="1"/>
  <c r="AC651" i="3"/>
  <c r="AD498" i="3"/>
  <c r="AC498" i="3"/>
  <c r="M498" i="3"/>
  <c r="AA498" i="3"/>
  <c r="L498" i="3"/>
  <c r="AF498" i="3"/>
  <c r="AD104" i="8"/>
  <c r="AC104" i="8"/>
  <c r="M104" i="8"/>
  <c r="AA104" i="8"/>
  <c r="L104" i="8"/>
  <c r="AF104" i="8"/>
  <c r="AD120" i="8"/>
  <c r="AC120" i="8"/>
  <c r="M120" i="8"/>
  <c r="N120" i="8"/>
  <c r="L120" i="8"/>
  <c r="AB120" i="8" s="1"/>
  <c r="Z120" i="8"/>
  <c r="N832" i="3"/>
  <c r="AD22" i="8"/>
  <c r="AC22" i="8"/>
  <c r="M22" i="8"/>
  <c r="N22" i="8" s="1"/>
  <c r="L22" i="8"/>
  <c r="AD23" i="8"/>
  <c r="AC23" i="8"/>
  <c r="M23" i="8"/>
  <c r="AA23" i="8"/>
  <c r="L23" i="8"/>
  <c r="AD187" i="8"/>
  <c r="AC187" i="8"/>
  <c r="M187" i="8"/>
  <c r="AA187" i="8" s="1"/>
  <c r="L187" i="8"/>
  <c r="AD186" i="8"/>
  <c r="AC186" i="8"/>
  <c r="M186" i="8"/>
  <c r="AA186" i="8" s="1"/>
  <c r="L186" i="8"/>
  <c r="AD185" i="8"/>
  <c r="AC185" i="8"/>
  <c r="M185" i="8"/>
  <c r="AA185" i="8" s="1"/>
  <c r="L185" i="8"/>
  <c r="AB185" i="8" s="1"/>
  <c r="AD184" i="8"/>
  <c r="AC184" i="8"/>
  <c r="M184" i="8"/>
  <c r="AA184" i="8" s="1"/>
  <c r="L184" i="8"/>
  <c r="AD181" i="8"/>
  <c r="AC181" i="8"/>
  <c r="M181" i="8"/>
  <c r="AA181" i="8" s="1"/>
  <c r="L181" i="8"/>
  <c r="AD180" i="8"/>
  <c r="AC180" i="8"/>
  <c r="M180" i="8"/>
  <c r="AA180" i="8" s="1"/>
  <c r="L180" i="8"/>
  <c r="AD178" i="8"/>
  <c r="AC178" i="8"/>
  <c r="M178" i="8"/>
  <c r="AA178" i="8" s="1"/>
  <c r="L178" i="8"/>
  <c r="AB178" i="8" s="1"/>
  <c r="AD171" i="8"/>
  <c r="AC171" i="8"/>
  <c r="M171" i="8"/>
  <c r="AA171" i="8" s="1"/>
  <c r="L171" i="8"/>
  <c r="AD164" i="8"/>
  <c r="AC164" i="8"/>
  <c r="M164" i="8"/>
  <c r="N164" i="8" s="1"/>
  <c r="L164" i="8"/>
  <c r="AD163" i="8"/>
  <c r="AC163" i="8"/>
  <c r="M163" i="8"/>
  <c r="AA163" i="8" s="1"/>
  <c r="L163" i="8"/>
  <c r="AD161" i="8"/>
  <c r="AC161" i="8"/>
  <c r="M161" i="8"/>
  <c r="N161" i="8" s="1"/>
  <c r="L161" i="8"/>
  <c r="AB161" i="8" s="1"/>
  <c r="AD144" i="8"/>
  <c r="AC144" i="8"/>
  <c r="M144" i="8"/>
  <c r="AA144" i="8" s="1"/>
  <c r="L144" i="8"/>
  <c r="AD143" i="8"/>
  <c r="AC143" i="8"/>
  <c r="M143" i="8"/>
  <c r="AA143" i="8" s="1"/>
  <c r="L143" i="8"/>
  <c r="AB143" i="8" s="1"/>
  <c r="AD142" i="8"/>
  <c r="AC142" i="8"/>
  <c r="M142" i="8"/>
  <c r="AA142" i="8"/>
  <c r="L142" i="8"/>
  <c r="AB142" i="8" s="1"/>
  <c r="Z142" i="8"/>
  <c r="AD141" i="8"/>
  <c r="AC141" i="8"/>
  <c r="M141" i="8"/>
  <c r="N141" i="8"/>
  <c r="L141" i="8"/>
  <c r="AB141" i="8" s="1"/>
  <c r="O141" i="8"/>
  <c r="AD140" i="8"/>
  <c r="AC140" i="8"/>
  <c r="M140" i="8"/>
  <c r="AA140" i="8"/>
  <c r="L140" i="8"/>
  <c r="AB140" i="8" s="1"/>
  <c r="Z140" i="8"/>
  <c r="AD139" i="8"/>
  <c r="AC139" i="8"/>
  <c r="M139" i="8"/>
  <c r="N139" i="8"/>
  <c r="L139" i="8"/>
  <c r="AB139" i="8" s="1"/>
  <c r="O139" i="8"/>
  <c r="AD138" i="8"/>
  <c r="AC138" i="8"/>
  <c r="M138" i="8"/>
  <c r="AA138" i="8"/>
  <c r="L138" i="8"/>
  <c r="AB138" i="8" s="1"/>
  <c r="O138" i="8"/>
  <c r="AD137" i="8"/>
  <c r="AC137" i="8"/>
  <c r="M137" i="8"/>
  <c r="N137" i="8"/>
  <c r="L137" i="8"/>
  <c r="AB137" i="8" s="1"/>
  <c r="O137" i="8"/>
  <c r="AD136" i="8"/>
  <c r="AC136" i="8"/>
  <c r="M136" i="8"/>
  <c r="AA136" i="8"/>
  <c r="L136" i="8"/>
  <c r="AB136" i="8" s="1"/>
  <c r="AD135" i="8"/>
  <c r="AC135" i="8"/>
  <c r="M135" i="8"/>
  <c r="AA135" i="8" s="1"/>
  <c r="L135" i="8"/>
  <c r="AB135" i="8" s="1"/>
  <c r="AD134" i="8"/>
  <c r="AC134" i="8"/>
  <c r="M134" i="8"/>
  <c r="AA134" i="8"/>
  <c r="L134" i="8"/>
  <c r="AB134" i="8" s="1"/>
  <c r="AD133" i="8"/>
  <c r="AC133" i="8"/>
  <c r="M133" i="8"/>
  <c r="N133" i="8" s="1"/>
  <c r="L133" i="8"/>
  <c r="AD132" i="8"/>
  <c r="AC132" i="8"/>
  <c r="M132" i="8"/>
  <c r="N132" i="8" s="1"/>
  <c r="L132" i="8"/>
  <c r="AD131" i="8"/>
  <c r="AC131" i="8"/>
  <c r="M131" i="8"/>
  <c r="N131" i="8" s="1"/>
  <c r="L131" i="8"/>
  <c r="AB131" i="8" s="1"/>
  <c r="AD130" i="8"/>
  <c r="AC130" i="8"/>
  <c r="M130" i="8"/>
  <c r="N130" i="8"/>
  <c r="L130" i="8"/>
  <c r="AB130" i="8" s="1"/>
  <c r="AF130" i="8"/>
  <c r="AD129" i="8"/>
  <c r="AC129" i="8"/>
  <c r="M129" i="8"/>
  <c r="N129" i="8"/>
  <c r="L129" i="8"/>
  <c r="AB129" i="8" s="1"/>
  <c r="AF129" i="8"/>
  <c r="AD128" i="8"/>
  <c r="AC128" i="8"/>
  <c r="M128" i="8"/>
  <c r="N128" i="8"/>
  <c r="L128" i="8"/>
  <c r="AB128" i="8" s="1"/>
  <c r="O128" i="8"/>
  <c r="AD127" i="8"/>
  <c r="AC127" i="8"/>
  <c r="M127" i="8"/>
  <c r="N127" i="8"/>
  <c r="L127" i="8"/>
  <c r="AB127" i="8" s="1"/>
  <c r="O127" i="8"/>
  <c r="AD124" i="8"/>
  <c r="AC124" i="8"/>
  <c r="M124" i="8"/>
  <c r="AA124" i="8"/>
  <c r="L124" i="8"/>
  <c r="AB124" i="8" s="1"/>
  <c r="AF124" i="8"/>
  <c r="AD123" i="8"/>
  <c r="AC123" i="8"/>
  <c r="M123" i="8"/>
  <c r="N123" i="8"/>
  <c r="L123" i="8"/>
  <c r="AB123" i="8" s="1"/>
  <c r="AF123" i="8"/>
  <c r="AD121" i="8"/>
  <c r="AC121" i="8"/>
  <c r="M121" i="8"/>
  <c r="AA121" i="8"/>
  <c r="L121" i="8"/>
  <c r="AB121" i="8" s="1"/>
  <c r="O121" i="8"/>
  <c r="AD115" i="8"/>
  <c r="AC115" i="8"/>
  <c r="M115" i="8"/>
  <c r="AA115" i="8"/>
  <c r="L115" i="8"/>
  <c r="AB115" i="8" s="1"/>
  <c r="Z115" i="8"/>
  <c r="AD116" i="8"/>
  <c r="AC116" i="8"/>
  <c r="M116" i="8"/>
  <c r="AA116" i="8"/>
  <c r="L116" i="8"/>
  <c r="AB116" i="8" s="1"/>
  <c r="AF116" i="8"/>
  <c r="AD111" i="8"/>
  <c r="AC111" i="8"/>
  <c r="M111" i="8"/>
  <c r="AA111" i="8"/>
  <c r="L111" i="8"/>
  <c r="Z111" i="8"/>
  <c r="AD110" i="8"/>
  <c r="AC110" i="8"/>
  <c r="M110" i="8"/>
  <c r="N110" i="8"/>
  <c r="L110" i="8"/>
  <c r="O110" i="8"/>
  <c r="AD109" i="8"/>
  <c r="AC109" i="8"/>
  <c r="M109" i="8"/>
  <c r="N109" i="8"/>
  <c r="L109" i="8"/>
  <c r="Z109" i="8"/>
  <c r="AD108" i="8"/>
  <c r="AC108" i="8"/>
  <c r="M108" i="8"/>
  <c r="N108" i="8"/>
  <c r="L108" i="8"/>
  <c r="O108" i="8"/>
  <c r="AD107" i="8"/>
  <c r="AC107" i="8"/>
  <c r="M107" i="8"/>
  <c r="AA107" i="8"/>
  <c r="L107" i="8"/>
  <c r="Z107" i="8"/>
  <c r="AD106" i="8"/>
  <c r="AC106" i="8"/>
  <c r="M106" i="8"/>
  <c r="AA106" i="8"/>
  <c r="L106" i="8"/>
  <c r="AB106" i="8"/>
  <c r="AD105" i="8"/>
  <c r="AC105" i="8"/>
  <c r="M105" i="8"/>
  <c r="AA105" i="8"/>
  <c r="L105" i="8"/>
  <c r="Z105" i="8"/>
  <c r="AD99" i="8"/>
  <c r="AC99" i="8"/>
  <c r="Z99" i="8"/>
  <c r="X99" i="8"/>
  <c r="AD94" i="8"/>
  <c r="AC94" i="8"/>
  <c r="Z94" i="8"/>
  <c r="X94" i="8"/>
  <c r="AC90" i="8"/>
  <c r="X90" i="8"/>
  <c r="AD72" i="8"/>
  <c r="AC72" i="8"/>
  <c r="AB72" i="8"/>
  <c r="AA72" i="8"/>
  <c r="Z72" i="8"/>
  <c r="O72" i="8"/>
  <c r="N72" i="8"/>
  <c r="AD70" i="8"/>
  <c r="AC70" i="8"/>
  <c r="M70" i="8"/>
  <c r="N70" i="8" s="1"/>
  <c r="L70" i="8"/>
  <c r="Z70" i="8" s="1"/>
  <c r="N61" i="8"/>
  <c r="N52" i="8"/>
  <c r="AF38" i="8"/>
  <c r="AD38" i="8"/>
  <c r="AC38" i="8"/>
  <c r="AA38" i="8"/>
  <c r="Z38" i="8"/>
  <c r="X38" i="8"/>
  <c r="N38" i="8"/>
  <c r="AF37" i="8"/>
  <c r="AD37" i="8"/>
  <c r="AC37" i="8"/>
  <c r="AA37" i="8"/>
  <c r="Z37" i="8"/>
  <c r="X37" i="8"/>
  <c r="N37" i="8"/>
  <c r="AF36" i="8"/>
  <c r="AD36" i="8"/>
  <c r="AC36" i="8"/>
  <c r="AA36" i="8"/>
  <c r="Z36" i="8"/>
  <c r="X36" i="8"/>
  <c r="N36" i="8"/>
  <c r="AF34" i="8"/>
  <c r="AD34" i="8"/>
  <c r="AC34" i="8"/>
  <c r="AB34" i="8"/>
  <c r="AA34" i="8"/>
  <c r="Z34" i="8"/>
  <c r="X34" i="8"/>
  <c r="O34" i="8"/>
  <c r="N34" i="8"/>
  <c r="AF33" i="8"/>
  <c r="AD33" i="8"/>
  <c r="AC33" i="8"/>
  <c r="AB33" i="8"/>
  <c r="AA33" i="8"/>
  <c r="Z33" i="8"/>
  <c r="X33" i="8"/>
  <c r="O33" i="8"/>
  <c r="N33" i="8"/>
  <c r="AF32" i="8"/>
  <c r="AD32" i="8"/>
  <c r="AC32" i="8"/>
  <c r="AB32" i="8"/>
  <c r="AA32" i="8"/>
  <c r="Z32" i="8"/>
  <c r="X32" i="8"/>
  <c r="O32" i="8"/>
  <c r="N32" i="8"/>
  <c r="AF31" i="8"/>
  <c r="AD31" i="8"/>
  <c r="AC31" i="8"/>
  <c r="AB31" i="8"/>
  <c r="AA31" i="8"/>
  <c r="Z31" i="8"/>
  <c r="X31" i="8"/>
  <c r="O31" i="8"/>
  <c r="N31" i="8"/>
  <c r="M19" i="8"/>
  <c r="N19" i="8"/>
  <c r="L19" i="8"/>
  <c r="O19" i="8"/>
  <c r="AD17" i="8"/>
  <c r="AC17" i="8"/>
  <c r="AB17" i="8"/>
  <c r="M17" i="8"/>
  <c r="AA17" i="8" s="1"/>
  <c r="AD13" i="8"/>
  <c r="AC13" i="8"/>
  <c r="AB13" i="8"/>
  <c r="O13" i="8"/>
  <c r="M13" i="8"/>
  <c r="N13" i="8" s="1"/>
  <c r="AD9" i="8"/>
  <c r="AC9" i="8"/>
  <c r="AB9" i="8"/>
  <c r="AA9" i="8"/>
  <c r="AD6" i="8"/>
  <c r="AC6" i="8"/>
  <c r="AB6" i="8"/>
  <c r="O6" i="8"/>
  <c r="M6" i="8"/>
  <c r="N6" i="8" s="1"/>
  <c r="AC592" i="3"/>
  <c r="M592" i="3"/>
  <c r="AA592" i="3"/>
  <c r="L592" i="3"/>
  <c r="AF592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C199" i="3" s="1"/>
  <c r="M206" i="3"/>
  <c r="N206" i="3" s="1"/>
  <c r="L206" i="3"/>
  <c r="Z206" i="3" s="1"/>
  <c r="M205" i="3"/>
  <c r="AA205" i="3" s="1"/>
  <c r="L205" i="3"/>
  <c r="Z205" i="3" s="1"/>
  <c r="M204" i="3"/>
  <c r="AA204" i="3" s="1"/>
  <c r="L204" i="3"/>
  <c r="Z204" i="3" s="1"/>
  <c r="M203" i="3"/>
  <c r="L203" i="3"/>
  <c r="O203" i="3"/>
  <c r="M202" i="3"/>
  <c r="AA202" i="3"/>
  <c r="L202" i="3"/>
  <c r="M201" i="3"/>
  <c r="AA201" i="3" s="1"/>
  <c r="L201" i="3"/>
  <c r="M200" i="3"/>
  <c r="L200" i="3"/>
  <c r="Z200" i="3" s="1"/>
  <c r="N447" i="3"/>
  <c r="N446" i="3"/>
  <c r="N445" i="3"/>
  <c r="N444" i="3"/>
  <c r="AD439" i="3"/>
  <c r="AD438" i="3"/>
  <c r="AC439" i="3"/>
  <c r="X439" i="3"/>
  <c r="M439" i="3"/>
  <c r="N439" i="3" s="1"/>
  <c r="AC438" i="3"/>
  <c r="X438" i="3"/>
  <c r="M438" i="3"/>
  <c r="N438" i="3" s="1"/>
  <c r="AC437" i="3"/>
  <c r="M437" i="3"/>
  <c r="Z437" i="3" s="1"/>
  <c r="N437" i="3"/>
  <c r="X437" i="3"/>
  <c r="N829" i="3"/>
  <c r="AF795" i="3"/>
  <c r="AF793" i="3"/>
  <c r="AF791" i="3"/>
  <c r="AF790" i="3"/>
  <c r="AF789" i="3"/>
  <c r="AF788" i="3"/>
  <c r="AD74" i="3"/>
  <c r="AA74" i="3"/>
  <c r="X74" i="3"/>
  <c r="O74" i="3"/>
  <c r="AC74" i="3"/>
  <c r="N74" i="3"/>
  <c r="AB74" i="3"/>
  <c r="AA170" i="3"/>
  <c r="AA169" i="3"/>
  <c r="AA165" i="3"/>
  <c r="AA167" i="3"/>
  <c r="AA164" i="3"/>
  <c r="AA172" i="3"/>
  <c r="AA171" i="3"/>
  <c r="AA168" i="3"/>
  <c r="AA166" i="3"/>
  <c r="AA163" i="3"/>
  <c r="N170" i="3"/>
  <c r="N169" i="3"/>
  <c r="N165" i="3"/>
  <c r="N167" i="3"/>
  <c r="N164" i="3"/>
  <c r="N172" i="3"/>
  <c r="N171" i="3"/>
  <c r="N168" i="3"/>
  <c r="N166" i="3"/>
  <c r="N163" i="3"/>
  <c r="AC142" i="3"/>
  <c r="AB142" i="3"/>
  <c r="X142" i="3"/>
  <c r="U142" i="3" s="1"/>
  <c r="AD142" i="3" s="1"/>
  <c r="AC141" i="3"/>
  <c r="AB141" i="3"/>
  <c r="X141" i="3"/>
  <c r="U141" i="3"/>
  <c r="AD141" i="3" s="1"/>
  <c r="AC140" i="3"/>
  <c r="AB140" i="3"/>
  <c r="X140" i="3"/>
  <c r="U140" i="3" s="1"/>
  <c r="AD140" i="3"/>
  <c r="X139" i="3"/>
  <c r="M139" i="3"/>
  <c r="X138" i="3"/>
  <c r="M138" i="3"/>
  <c r="X137" i="3"/>
  <c r="M137" i="3"/>
  <c r="X136" i="3"/>
  <c r="M136" i="3"/>
  <c r="X135" i="3"/>
  <c r="M135" i="3"/>
  <c r="X133" i="3"/>
  <c r="M133" i="3"/>
  <c r="X132" i="3"/>
  <c r="M132" i="3"/>
  <c r="X134" i="3"/>
  <c r="M134" i="3"/>
  <c r="L113" i="3"/>
  <c r="AF113" i="3"/>
  <c r="L112" i="3"/>
  <c r="AF112" i="3"/>
  <c r="L111" i="3"/>
  <c r="O111" i="3"/>
  <c r="L110" i="3"/>
  <c r="O110" i="3"/>
  <c r="L109" i="3"/>
  <c r="O109" i="3"/>
  <c r="L108" i="3"/>
  <c r="AF108" i="3"/>
  <c r="L107" i="3"/>
  <c r="AB107" i="3"/>
  <c r="L106" i="3"/>
  <c r="L148" i="3"/>
  <c r="AF148" i="3" s="1"/>
  <c r="O143" i="3"/>
  <c r="L146" i="3"/>
  <c r="L145" i="3"/>
  <c r="AF145" i="3" s="1"/>
  <c r="L153" i="3"/>
  <c r="L152" i="3"/>
  <c r="U152" i="3"/>
  <c r="AD152" i="3" s="1"/>
  <c r="L151" i="3"/>
  <c r="L150" i="3"/>
  <c r="AB150" i="3"/>
  <c r="L149" i="3"/>
  <c r="U149" i="3"/>
  <c r="AD149" i="3" s="1"/>
  <c r="L147" i="3"/>
  <c r="L144" i="3"/>
  <c r="AD399" i="3"/>
  <c r="AC399" i="3"/>
  <c r="AB399" i="3"/>
  <c r="AA399" i="3"/>
  <c r="Z399" i="3"/>
  <c r="X399" i="3"/>
  <c r="O399" i="3"/>
  <c r="N399" i="3"/>
  <c r="AD398" i="3"/>
  <c r="AC398" i="3"/>
  <c r="AB398" i="3"/>
  <c r="AA398" i="3"/>
  <c r="Z398" i="3"/>
  <c r="X398" i="3"/>
  <c r="O398" i="3"/>
  <c r="N398" i="3"/>
  <c r="AD397" i="3"/>
  <c r="AC397" i="3"/>
  <c r="AB397" i="3"/>
  <c r="AA397" i="3"/>
  <c r="Z397" i="3"/>
  <c r="X397" i="3"/>
  <c r="O397" i="3"/>
  <c r="N397" i="3"/>
  <c r="X396" i="3"/>
  <c r="O396" i="3"/>
  <c r="N396" i="3"/>
  <c r="X395" i="3"/>
  <c r="O395" i="3"/>
  <c r="N395" i="3"/>
  <c r="X394" i="3"/>
  <c r="O394" i="3"/>
  <c r="N394" i="3"/>
  <c r="AD396" i="3"/>
  <c r="AC396" i="3"/>
  <c r="AB396" i="3"/>
  <c r="AA396" i="3"/>
  <c r="Z396" i="3"/>
  <c r="AD395" i="3"/>
  <c r="AC395" i="3"/>
  <c r="AB395" i="3"/>
  <c r="AA395" i="3"/>
  <c r="Z395" i="3"/>
  <c r="AD394" i="3"/>
  <c r="AC394" i="3"/>
  <c r="AB394" i="3"/>
  <c r="AA394" i="3"/>
  <c r="Z394" i="3"/>
  <c r="AB45" i="7"/>
  <c r="M45" i="7"/>
  <c r="N45" i="7" s="1"/>
  <c r="AB43" i="7"/>
  <c r="AA43" i="7"/>
  <c r="Z43" i="7"/>
  <c r="N43" i="7"/>
  <c r="AF118" i="3"/>
  <c r="AD118" i="3"/>
  <c r="AC118" i="3"/>
  <c r="AA118" i="3"/>
  <c r="Z118" i="3"/>
  <c r="X118" i="3"/>
  <c r="N118" i="3"/>
  <c r="AD344" i="3"/>
  <c r="AD345" i="3"/>
  <c r="AD346" i="3"/>
  <c r="AD347" i="3"/>
  <c r="M347" i="3"/>
  <c r="N347" i="3"/>
  <c r="M346" i="3"/>
  <c r="N346" i="3"/>
  <c r="M345" i="3"/>
  <c r="N345" i="3"/>
  <c r="M344" i="3"/>
  <c r="N344" i="3"/>
  <c r="AC347" i="3"/>
  <c r="X347" i="3"/>
  <c r="AC346" i="3"/>
  <c r="X346" i="3"/>
  <c r="AC345" i="3"/>
  <c r="X345" i="3"/>
  <c r="AC344" i="3"/>
  <c r="Z344" i="3"/>
  <c r="X344" i="3"/>
  <c r="AB342" i="3"/>
  <c r="AD810" i="3"/>
  <c r="AC810" i="3"/>
  <c r="M810" i="3"/>
  <c r="N810" i="3" s="1"/>
  <c r="AD648" i="3"/>
  <c r="AC648" i="3"/>
  <c r="L648" i="3"/>
  <c r="AF648" i="3" s="1"/>
  <c r="AD646" i="3"/>
  <c r="AC646" i="3"/>
  <c r="L646" i="3"/>
  <c r="AD647" i="3"/>
  <c r="AC647" i="3"/>
  <c r="L647" i="3"/>
  <c r="AF647" i="3"/>
  <c r="AD645" i="3"/>
  <c r="AC645" i="3"/>
  <c r="AA645" i="3"/>
  <c r="L645" i="3"/>
  <c r="AF645" i="3" s="1"/>
  <c r="AD644" i="3"/>
  <c r="AC644" i="3"/>
  <c r="L644" i="3"/>
  <c r="AF644" i="3" s="1"/>
  <c r="AD643" i="3"/>
  <c r="AC643" i="3"/>
  <c r="L643" i="3"/>
  <c r="AD642" i="3"/>
  <c r="AC642" i="3"/>
  <c r="L642" i="3"/>
  <c r="AF642" i="3"/>
  <c r="AD640" i="3"/>
  <c r="AC640" i="3"/>
  <c r="L640" i="3"/>
  <c r="AF640" i="3"/>
  <c r="AD639" i="3"/>
  <c r="AC639" i="3"/>
  <c r="L639" i="3"/>
  <c r="AF639" i="3"/>
  <c r="AD638" i="3"/>
  <c r="AC638" i="3"/>
  <c r="L638" i="3"/>
  <c r="AD637" i="3"/>
  <c r="AC637" i="3"/>
  <c r="L637" i="3"/>
  <c r="AF637" i="3" s="1"/>
  <c r="AD636" i="3"/>
  <c r="AC636" i="3"/>
  <c r="L636" i="3"/>
  <c r="AF636" i="3" s="1"/>
  <c r="AD635" i="3"/>
  <c r="AC635" i="3"/>
  <c r="L635" i="3"/>
  <c r="AF436" i="3"/>
  <c r="AF435" i="3"/>
  <c r="AF434" i="3"/>
  <c r="AF433" i="3"/>
  <c r="AF432" i="3"/>
  <c r="AF431" i="3"/>
  <c r="X434" i="3"/>
  <c r="M434" i="3"/>
  <c r="N434" i="3" s="1"/>
  <c r="X431" i="3"/>
  <c r="M431" i="3"/>
  <c r="N431" i="3"/>
  <c r="N836" i="3"/>
  <c r="N835" i="3"/>
  <c r="N834" i="3"/>
  <c r="Z788" i="3"/>
  <c r="AC794" i="3"/>
  <c r="M794" i="3"/>
  <c r="AA794" i="3" s="1"/>
  <c r="AD795" i="3"/>
  <c r="AC795" i="3"/>
  <c r="M795" i="3"/>
  <c r="N795" i="3" s="1"/>
  <c r="AD793" i="3"/>
  <c r="AC793" i="3"/>
  <c r="AA793" i="3"/>
  <c r="AD791" i="3"/>
  <c r="AC791" i="3"/>
  <c r="M791" i="3"/>
  <c r="AD790" i="3"/>
  <c r="AC790" i="3"/>
  <c r="M790" i="3"/>
  <c r="N790" i="3" s="1"/>
  <c r="AD789" i="3"/>
  <c r="AC789" i="3"/>
  <c r="M789" i="3"/>
  <c r="AD788" i="3"/>
  <c r="AC788" i="3"/>
  <c r="M788" i="3"/>
  <c r="AD230" i="3"/>
  <c r="AD229" i="3"/>
  <c r="AD228" i="3"/>
  <c r="AD227" i="3"/>
  <c r="AD226" i="3"/>
  <c r="AD225" i="3"/>
  <c r="AD224" i="3"/>
  <c r="AD223" i="3"/>
  <c r="AD222" i="3"/>
  <c r="AC230" i="3"/>
  <c r="AB230" i="3"/>
  <c r="X230" i="3"/>
  <c r="M230" i="3"/>
  <c r="AA230" i="3" s="1"/>
  <c r="AC229" i="3"/>
  <c r="AB229" i="3"/>
  <c r="X229" i="3"/>
  <c r="M229" i="3"/>
  <c r="N229" i="3"/>
  <c r="AC228" i="3"/>
  <c r="AB228" i="3"/>
  <c r="X228" i="3"/>
  <c r="M228" i="3"/>
  <c r="AC227" i="3"/>
  <c r="AB227" i="3"/>
  <c r="X227" i="3"/>
  <c r="M227" i="3"/>
  <c r="AA227" i="3" s="1"/>
  <c r="AC226" i="3"/>
  <c r="AB226" i="3"/>
  <c r="X226" i="3"/>
  <c r="M226" i="3"/>
  <c r="AA226" i="3"/>
  <c r="AC225" i="3"/>
  <c r="AB225" i="3"/>
  <c r="X225" i="3"/>
  <c r="M225" i="3"/>
  <c r="AA225" i="3" s="1"/>
  <c r="AC224" i="3"/>
  <c r="AB224" i="3"/>
  <c r="X224" i="3"/>
  <c r="M224" i="3"/>
  <c r="N224" i="3"/>
  <c r="AC223" i="3"/>
  <c r="AB223" i="3"/>
  <c r="X223" i="3"/>
  <c r="M223" i="3"/>
  <c r="N223" i="3"/>
  <c r="AC222" i="3"/>
  <c r="AB222" i="3"/>
  <c r="AB221" i="3"/>
  <c r="X222" i="3"/>
  <c r="M222" i="3"/>
  <c r="AA222" i="3" s="1"/>
  <c r="N831" i="3"/>
  <c r="N830" i="3"/>
  <c r="M161" i="3"/>
  <c r="N161" i="3" s="1"/>
  <c r="M160" i="3"/>
  <c r="N160" i="3" s="1"/>
  <c r="M159" i="3"/>
  <c r="N159" i="3" s="1"/>
  <c r="M158" i="3"/>
  <c r="N158" i="3"/>
  <c r="M157" i="3"/>
  <c r="N157" i="3" s="1"/>
  <c r="M156" i="3"/>
  <c r="N156" i="3" s="1"/>
  <c r="M155" i="3"/>
  <c r="N155" i="3" s="1"/>
  <c r="L157" i="3"/>
  <c r="L156" i="3"/>
  <c r="L155" i="3"/>
  <c r="L161" i="3"/>
  <c r="O161" i="3"/>
  <c r="L160" i="3"/>
  <c r="O160" i="3"/>
  <c r="L159" i="3"/>
  <c r="L158" i="3"/>
  <c r="O158" i="3"/>
  <c r="AB9" i="7"/>
  <c r="N9" i="7"/>
  <c r="AA9" i="7"/>
  <c r="AA8" i="7" s="1"/>
  <c r="Z9" i="7"/>
  <c r="Z8" i="7" s="1"/>
  <c r="Y9" i="7"/>
  <c r="M366" i="3"/>
  <c r="N366" i="3"/>
  <c r="M365" i="3"/>
  <c r="N365" i="3"/>
  <c r="M364" i="3"/>
  <c r="N364" i="3"/>
  <c r="M363" i="3"/>
  <c r="N363" i="3"/>
  <c r="M362" i="3"/>
  <c r="N362" i="3"/>
  <c r="M361" i="3"/>
  <c r="N361" i="3"/>
  <c r="M360" i="3"/>
  <c r="N360" i="3"/>
  <c r="M359" i="3"/>
  <c r="N359" i="3"/>
  <c r="M358" i="3"/>
  <c r="N358" i="3"/>
  <c r="M357" i="3"/>
  <c r="N357" i="3"/>
  <c r="M356" i="3"/>
  <c r="N356" i="3"/>
  <c r="M355" i="3"/>
  <c r="N355" i="3"/>
  <c r="AF162" i="3"/>
  <c r="AC162" i="3"/>
  <c r="M599" i="3"/>
  <c r="AA599" i="3"/>
  <c r="L599" i="3"/>
  <c r="M598" i="3"/>
  <c r="AA598" i="3" s="1"/>
  <c r="L598" i="3"/>
  <c r="AF598" i="3" s="1"/>
  <c r="M597" i="3"/>
  <c r="N597" i="3" s="1"/>
  <c r="L597" i="3"/>
  <c r="AF597" i="3" s="1"/>
  <c r="M596" i="3"/>
  <c r="L596" i="3"/>
  <c r="M595" i="3"/>
  <c r="N595" i="3" s="1"/>
  <c r="L595" i="3"/>
  <c r="M594" i="3"/>
  <c r="AA594" i="3"/>
  <c r="L594" i="3"/>
  <c r="AF594" i="3"/>
  <c r="M589" i="3"/>
  <c r="AA589" i="3"/>
  <c r="L589" i="3"/>
  <c r="M590" i="3"/>
  <c r="N590" i="3" s="1"/>
  <c r="L590" i="3"/>
  <c r="M588" i="3"/>
  <c r="N588" i="3"/>
  <c r="L588" i="3"/>
  <c r="M587" i="3"/>
  <c r="N587" i="3" s="1"/>
  <c r="L587" i="3"/>
  <c r="M607" i="3"/>
  <c r="N607" i="3"/>
  <c r="L607" i="3"/>
  <c r="AF607" i="3"/>
  <c r="M606" i="3"/>
  <c r="N606" i="3"/>
  <c r="L606" i="3"/>
  <c r="AF606" i="3"/>
  <c r="M605" i="3"/>
  <c r="N605" i="3"/>
  <c r="L605" i="3"/>
  <c r="AF605" i="3"/>
  <c r="M604" i="3"/>
  <c r="N604" i="3"/>
  <c r="L604" i="3"/>
  <c r="AF604" i="3"/>
  <c r="M603" i="3"/>
  <c r="N603" i="3"/>
  <c r="L603" i="3"/>
  <c r="AF603" i="3"/>
  <c r="M602" i="3"/>
  <c r="AA602" i="3"/>
  <c r="L602" i="3"/>
  <c r="AF602" i="3"/>
  <c r="M601" i="3"/>
  <c r="N601" i="3"/>
  <c r="L601" i="3"/>
  <c r="AF601" i="3"/>
  <c r="M621" i="3"/>
  <c r="AA621" i="3"/>
  <c r="L621" i="3"/>
  <c r="AF621" i="3"/>
  <c r="M620" i="3"/>
  <c r="AA620" i="3"/>
  <c r="L620" i="3"/>
  <c r="AF620" i="3"/>
  <c r="M619" i="3"/>
  <c r="N619" i="3"/>
  <c r="L619" i="3"/>
  <c r="AF619" i="3"/>
  <c r="M618" i="3"/>
  <c r="AA618" i="3"/>
  <c r="L618" i="3"/>
  <c r="AF618" i="3"/>
  <c r="M617" i="3"/>
  <c r="L617" i="3"/>
  <c r="AF617" i="3" s="1"/>
  <c r="M616" i="3"/>
  <c r="AA616" i="3" s="1"/>
  <c r="L616" i="3"/>
  <c r="AF616" i="3" s="1"/>
  <c r="M615" i="3"/>
  <c r="AA615" i="3" s="1"/>
  <c r="L615" i="3"/>
  <c r="AF615" i="3" s="1"/>
  <c r="M614" i="3"/>
  <c r="N614" i="3" s="1"/>
  <c r="L614" i="3"/>
  <c r="AF614" i="3" s="1"/>
  <c r="M613" i="3"/>
  <c r="AA613" i="3" s="1"/>
  <c r="L613" i="3"/>
  <c r="AF613" i="3" s="1"/>
  <c r="M612" i="3"/>
  <c r="AA612" i="3" s="1"/>
  <c r="L612" i="3"/>
  <c r="AF612" i="3" s="1"/>
  <c r="M611" i="3"/>
  <c r="AA611" i="3" s="1"/>
  <c r="L611" i="3"/>
  <c r="AF611" i="3" s="1"/>
  <c r="M610" i="3"/>
  <c r="N610" i="3" s="1"/>
  <c r="L610" i="3"/>
  <c r="AF610" i="3" s="1"/>
  <c r="M609" i="3"/>
  <c r="AA609" i="3" s="1"/>
  <c r="L609" i="3"/>
  <c r="AF609" i="3" s="1"/>
  <c r="AD602" i="3"/>
  <c r="AC602" i="3"/>
  <c r="AD605" i="3"/>
  <c r="AC605" i="3"/>
  <c r="AD604" i="3"/>
  <c r="AC604" i="3"/>
  <c r="AD603" i="3"/>
  <c r="AC603" i="3"/>
  <c r="AD601" i="3"/>
  <c r="AC601" i="3"/>
  <c r="AD598" i="3"/>
  <c r="AC598" i="3"/>
  <c r="AD597" i="3"/>
  <c r="AC597" i="3"/>
  <c r="L272" i="3"/>
  <c r="AB272" i="3" s="1"/>
  <c r="X272" i="3"/>
  <c r="L271" i="3"/>
  <c r="AB271" i="3"/>
  <c r="X271" i="3"/>
  <c r="AC272" i="3"/>
  <c r="AC271" i="3"/>
  <c r="AD272" i="3"/>
  <c r="AD271" i="3"/>
  <c r="M895" i="3"/>
  <c r="M894" i="3"/>
  <c r="M893" i="3"/>
  <c r="M900" i="3"/>
  <c r="M899" i="3"/>
  <c r="M898" i="3"/>
  <c r="M897" i="3"/>
  <c r="AD895" i="3"/>
  <c r="AC895" i="3"/>
  <c r="AD894" i="3"/>
  <c r="AC894" i="3"/>
  <c r="AD893" i="3"/>
  <c r="AC893" i="3"/>
  <c r="AD900" i="3"/>
  <c r="AC900" i="3"/>
  <c r="AD899" i="3"/>
  <c r="AC899" i="3"/>
  <c r="AD898" i="3"/>
  <c r="AC898" i="3"/>
  <c r="AD897" i="3"/>
  <c r="AC897" i="3"/>
  <c r="AC903" i="3"/>
  <c r="AC902" i="3"/>
  <c r="AC901" i="3"/>
  <c r="AD903" i="3"/>
  <c r="AD902" i="3"/>
  <c r="AD901" i="3"/>
  <c r="M903" i="3"/>
  <c r="M902" i="3"/>
  <c r="M901" i="3"/>
  <c r="AB896" i="3"/>
  <c r="AD596" i="3"/>
  <c r="AC596" i="3"/>
  <c r="AD595" i="3"/>
  <c r="AC595" i="3"/>
  <c r="AD594" i="3"/>
  <c r="AC594" i="3"/>
  <c r="AD589" i="3"/>
  <c r="AC589" i="3"/>
  <c r="AD621" i="3"/>
  <c r="AC621" i="3"/>
  <c r="AD620" i="3"/>
  <c r="AC620" i="3"/>
  <c r="AD619" i="3"/>
  <c r="AC619" i="3"/>
  <c r="AD618" i="3"/>
  <c r="AC618" i="3"/>
  <c r="AD617" i="3"/>
  <c r="AC617" i="3"/>
  <c r="AD616" i="3"/>
  <c r="AC616" i="3"/>
  <c r="AD615" i="3"/>
  <c r="AC615" i="3"/>
  <c r="AD614" i="3"/>
  <c r="AC614" i="3"/>
  <c r="AD613" i="3"/>
  <c r="AC613" i="3"/>
  <c r="AD612" i="3"/>
  <c r="AC612" i="3"/>
  <c r="AD611" i="3"/>
  <c r="AC611" i="3"/>
  <c r="AD610" i="3"/>
  <c r="AC610" i="3"/>
  <c r="AD609" i="3"/>
  <c r="AC609" i="3"/>
  <c r="AD607" i="3"/>
  <c r="AC607" i="3"/>
  <c r="AD606" i="3"/>
  <c r="AC606" i="3"/>
  <c r="AD813" i="3"/>
  <c r="AD811" i="3"/>
  <c r="AD808" i="3"/>
  <c r="AD807" i="3"/>
  <c r="AD806" i="3"/>
  <c r="AD805" i="3"/>
  <c r="AC813" i="3"/>
  <c r="AC811" i="3"/>
  <c r="AC808" i="3"/>
  <c r="AC807" i="3"/>
  <c r="AC806" i="3"/>
  <c r="AC805" i="3"/>
  <c r="M813" i="3"/>
  <c r="N813" i="3"/>
  <c r="M811" i="3"/>
  <c r="N811" i="3"/>
  <c r="M808" i="3"/>
  <c r="M807" i="3"/>
  <c r="N807" i="3"/>
  <c r="M806" i="3"/>
  <c r="N806" i="3" s="1"/>
  <c r="M805" i="3"/>
  <c r="N805" i="3" s="1"/>
  <c r="N827" i="3"/>
  <c r="N826" i="3"/>
  <c r="AA34" i="7"/>
  <c r="M34" i="7"/>
  <c r="Z34" i="7"/>
  <c r="L34" i="7"/>
  <c r="Y34" i="7"/>
  <c r="M442" i="3"/>
  <c r="N442" i="3"/>
  <c r="M436" i="3"/>
  <c r="Z436" i="3" s="1"/>
  <c r="M435" i="3"/>
  <c r="Z435" i="3" s="1"/>
  <c r="N435" i="3"/>
  <c r="M433" i="3"/>
  <c r="Z433" i="3" s="1"/>
  <c r="N433" i="3"/>
  <c r="M432" i="3"/>
  <c r="Z432" i="3" s="1"/>
  <c r="N432" i="3"/>
  <c r="AD378" i="3"/>
  <c r="AC378" i="3"/>
  <c r="M378" i="3"/>
  <c r="N378" i="3"/>
  <c r="L378" i="3"/>
  <c r="O378" i="3"/>
  <c r="AD377" i="3"/>
  <c r="AC377" i="3"/>
  <c r="M377" i="3"/>
  <c r="N377" i="3"/>
  <c r="L377" i="3"/>
  <c r="AD376" i="3"/>
  <c r="AC376" i="3"/>
  <c r="M376" i="3"/>
  <c r="N376" i="3" s="1"/>
  <c r="L376" i="3"/>
  <c r="O376" i="3" s="1"/>
  <c r="AD375" i="3"/>
  <c r="AC375" i="3"/>
  <c r="M375" i="3"/>
  <c r="N375" i="3" s="1"/>
  <c r="L375" i="3"/>
  <c r="AD374" i="3"/>
  <c r="AC374" i="3"/>
  <c r="M374" i="3"/>
  <c r="N374" i="3"/>
  <c r="L374" i="3"/>
  <c r="O374" i="3"/>
  <c r="AD373" i="3"/>
  <c r="AC373" i="3"/>
  <c r="M373" i="3"/>
  <c r="N373" i="3"/>
  <c r="L373" i="3"/>
  <c r="AD372" i="3"/>
  <c r="AC372" i="3"/>
  <c r="M372" i="3"/>
  <c r="N372" i="3" s="1"/>
  <c r="L372" i="3"/>
  <c r="Z372" i="3" s="1"/>
  <c r="AD371" i="3"/>
  <c r="AC371" i="3"/>
  <c r="M371" i="3"/>
  <c r="N371" i="3" s="1"/>
  <c r="L371" i="3"/>
  <c r="AD370" i="3"/>
  <c r="AC370" i="3"/>
  <c r="M370" i="3"/>
  <c r="N370" i="3"/>
  <c r="L370" i="3"/>
  <c r="AA370" i="3"/>
  <c r="AD369" i="3"/>
  <c r="AC369" i="3"/>
  <c r="M369" i="3"/>
  <c r="N369" i="3"/>
  <c r="L369" i="3"/>
  <c r="AD368" i="3"/>
  <c r="AC368" i="3"/>
  <c r="M368" i="3"/>
  <c r="N368" i="3" s="1"/>
  <c r="L368" i="3"/>
  <c r="AA368" i="3" s="1"/>
  <c r="AD341" i="3"/>
  <c r="AC341" i="3"/>
  <c r="X341" i="3"/>
  <c r="M341" i="3"/>
  <c r="N341" i="3"/>
  <c r="AD340" i="3"/>
  <c r="AC340" i="3"/>
  <c r="X340" i="3"/>
  <c r="M340" i="3"/>
  <c r="N340" i="3" s="1"/>
  <c r="AD339" i="3"/>
  <c r="AC339" i="3"/>
  <c r="X339" i="3"/>
  <c r="M339" i="3"/>
  <c r="N339" i="3"/>
  <c r="AD338" i="3"/>
  <c r="AC338" i="3"/>
  <c r="Z338" i="3"/>
  <c r="X338" i="3"/>
  <c r="M338" i="3"/>
  <c r="N338" i="3"/>
  <c r="AD337" i="3"/>
  <c r="AC337" i="3"/>
  <c r="X337" i="3"/>
  <c r="M337" i="3"/>
  <c r="N337" i="3" s="1"/>
  <c r="Z336" i="3"/>
  <c r="X336" i="3"/>
  <c r="M336" i="3"/>
  <c r="N336" i="3" s="1"/>
  <c r="AB335" i="3"/>
  <c r="M803" i="3"/>
  <c r="N803" i="3"/>
  <c r="M802" i="3"/>
  <c r="N802" i="3"/>
  <c r="M801" i="3"/>
  <c r="N801" i="3"/>
  <c r="M800" i="3"/>
  <c r="N800" i="3"/>
  <c r="M799" i="3"/>
  <c r="N799" i="3"/>
  <c r="M798" i="3"/>
  <c r="N798" i="3"/>
  <c r="M797" i="3"/>
  <c r="N797" i="3"/>
  <c r="AD803" i="3"/>
  <c r="AC803" i="3"/>
  <c r="AD802" i="3"/>
  <c r="AC802" i="3"/>
  <c r="AD801" i="3"/>
  <c r="AC801" i="3"/>
  <c r="AD800" i="3"/>
  <c r="AC800" i="3"/>
  <c r="AD799" i="3"/>
  <c r="AC799" i="3"/>
  <c r="AD798" i="3"/>
  <c r="AC798" i="3"/>
  <c r="AD797" i="3"/>
  <c r="AC797" i="3"/>
  <c r="Z803" i="3"/>
  <c r="Z802" i="3"/>
  <c r="Z801" i="3"/>
  <c r="Z800" i="3"/>
  <c r="Z799" i="3"/>
  <c r="Z798" i="3"/>
  <c r="Z797" i="3"/>
  <c r="Z390" i="3"/>
  <c r="N12" i="3"/>
  <c r="AD18" i="3"/>
  <c r="AD16" i="3"/>
  <c r="AD15" i="3"/>
  <c r="AD14" i="3"/>
  <c r="AD13" i="3"/>
  <c r="AC18" i="3"/>
  <c r="AC16" i="3"/>
  <c r="AC15" i="3"/>
  <c r="AC14" i="3"/>
  <c r="AC13" i="3"/>
  <c r="AA18" i="3"/>
  <c r="AA16" i="3"/>
  <c r="AA15" i="3"/>
  <c r="AA14" i="3"/>
  <c r="AA13" i="3"/>
  <c r="X18" i="3"/>
  <c r="X16" i="3"/>
  <c r="X15" i="3"/>
  <c r="X14" i="3"/>
  <c r="X13" i="3"/>
  <c r="AD198" i="3"/>
  <c r="AC198" i="3"/>
  <c r="AB198" i="3"/>
  <c r="X198" i="3"/>
  <c r="M198" i="3"/>
  <c r="N198" i="3" s="1"/>
  <c r="AF184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97" i="3"/>
  <c r="AD183" i="3"/>
  <c r="AD182" i="3"/>
  <c r="AD181" i="3"/>
  <c r="AD180" i="3"/>
  <c r="AD179" i="3"/>
  <c r="AD178" i="3"/>
  <c r="AD177" i="3"/>
  <c r="AD176" i="3"/>
  <c r="AD175" i="3"/>
  <c r="AD174" i="3"/>
  <c r="AF173" i="3"/>
  <c r="M181" i="3"/>
  <c r="AA181" i="3"/>
  <c r="X181" i="3"/>
  <c r="AC180" i="3"/>
  <c r="AB180" i="3"/>
  <c r="X180" i="3"/>
  <c r="M180" i="3"/>
  <c r="AA180" i="3"/>
  <c r="AC179" i="3"/>
  <c r="AB179" i="3"/>
  <c r="X179" i="3"/>
  <c r="M179" i="3"/>
  <c r="N179" i="3" s="1"/>
  <c r="AC178" i="3"/>
  <c r="AB178" i="3"/>
  <c r="X178" i="3"/>
  <c r="M178" i="3"/>
  <c r="AC177" i="3"/>
  <c r="AB177" i="3"/>
  <c r="X177" i="3"/>
  <c r="M177" i="3"/>
  <c r="N177" i="3" s="1"/>
  <c r="AC176" i="3"/>
  <c r="AB176" i="3"/>
  <c r="X176" i="3"/>
  <c r="M176" i="3"/>
  <c r="N176" i="3" s="1"/>
  <c r="AC175" i="3"/>
  <c r="AB175" i="3"/>
  <c r="X175" i="3"/>
  <c r="M175" i="3"/>
  <c r="AA175" i="3"/>
  <c r="AC174" i="3"/>
  <c r="AB174" i="3"/>
  <c r="X174" i="3"/>
  <c r="M174" i="3"/>
  <c r="AA174" i="3" s="1"/>
  <c r="AC182" i="3"/>
  <c r="AB182" i="3"/>
  <c r="X182" i="3"/>
  <c r="M182" i="3"/>
  <c r="AA182" i="3"/>
  <c r="AD599" i="3"/>
  <c r="AD590" i="3"/>
  <c r="AD588" i="3"/>
  <c r="AD587" i="3"/>
  <c r="AC588" i="3"/>
  <c r="AC587" i="3"/>
  <c r="N47" i="7"/>
  <c r="AA124" i="3"/>
  <c r="X384" i="3"/>
  <c r="X383" i="3"/>
  <c r="X382" i="3"/>
  <c r="X381" i="3"/>
  <c r="X380" i="3"/>
  <c r="X391" i="3"/>
  <c r="X390" i="3"/>
  <c r="X389" i="3"/>
  <c r="X388" i="3"/>
  <c r="X387" i="3"/>
  <c r="X386" i="3"/>
  <c r="N391" i="3"/>
  <c r="N390" i="3"/>
  <c r="N389" i="3"/>
  <c r="N388" i="3"/>
  <c r="N387" i="3"/>
  <c r="N386" i="3"/>
  <c r="AD391" i="3"/>
  <c r="AD390" i="3"/>
  <c r="AD389" i="3"/>
  <c r="AD388" i="3"/>
  <c r="AD387" i="3"/>
  <c r="AD386" i="3"/>
  <c r="AC391" i="3"/>
  <c r="AC390" i="3"/>
  <c r="AC389" i="3"/>
  <c r="AC388" i="3"/>
  <c r="AC387" i="3"/>
  <c r="AC386" i="3"/>
  <c r="AA391" i="3"/>
  <c r="AA390" i="3"/>
  <c r="AA389" i="3"/>
  <c r="AA388" i="3"/>
  <c r="AA387" i="3"/>
  <c r="AA386" i="3"/>
  <c r="AB385" i="3"/>
  <c r="O385" i="3"/>
  <c r="AC436" i="3"/>
  <c r="AC435" i="3"/>
  <c r="AC433" i="3"/>
  <c r="AC432" i="3"/>
  <c r="X442" i="3"/>
  <c r="X436" i="3"/>
  <c r="X435" i="3"/>
  <c r="X433" i="3"/>
  <c r="X432" i="3"/>
  <c r="Z453" i="3"/>
  <c r="AD456" i="3"/>
  <c r="AD455" i="3"/>
  <c r="AD454" i="3"/>
  <c r="AD453" i="3"/>
  <c r="Z456" i="3"/>
  <c r="N456" i="3"/>
  <c r="N5" i="3"/>
  <c r="AA5" i="3"/>
  <c r="AB5" i="3"/>
  <c r="AC5" i="3"/>
  <c r="AD5" i="3"/>
  <c r="N6" i="3"/>
  <c r="AA6" i="3"/>
  <c r="AB6" i="3"/>
  <c r="AC6" i="3"/>
  <c r="AD6" i="3"/>
  <c r="N8" i="3"/>
  <c r="O8" i="3"/>
  <c r="X8" i="3"/>
  <c r="Z8" i="3"/>
  <c r="AA8" i="3"/>
  <c r="AB8" i="3"/>
  <c r="AC8" i="3"/>
  <c r="AD8" i="3"/>
  <c r="N9" i="3"/>
  <c r="O9" i="3"/>
  <c r="X9" i="3"/>
  <c r="Z9" i="3"/>
  <c r="AA9" i="3"/>
  <c r="AB9" i="3"/>
  <c r="AC9" i="3"/>
  <c r="AD9" i="3"/>
  <c r="N10" i="3"/>
  <c r="O10" i="3"/>
  <c r="X10" i="3"/>
  <c r="Z10" i="3"/>
  <c r="AA10" i="3"/>
  <c r="AB10" i="3"/>
  <c r="AC10" i="3"/>
  <c r="AD10" i="3"/>
  <c r="N11" i="3"/>
  <c r="O11" i="3"/>
  <c r="X11" i="3"/>
  <c r="Z11" i="3"/>
  <c r="AA11" i="3"/>
  <c r="AB11" i="3"/>
  <c r="AC11" i="3"/>
  <c r="AD11" i="3"/>
  <c r="N34" i="3"/>
  <c r="O34" i="3"/>
  <c r="X34" i="3"/>
  <c r="AB34" i="3"/>
  <c r="AC34" i="3"/>
  <c r="AD34" i="3"/>
  <c r="N35" i="3"/>
  <c r="O35" i="3"/>
  <c r="X35" i="3"/>
  <c r="AB35" i="3"/>
  <c r="AC35" i="3"/>
  <c r="AD35" i="3"/>
  <c r="N36" i="3"/>
  <c r="O36" i="3"/>
  <c r="X36" i="3"/>
  <c r="AB36" i="3"/>
  <c r="AC36" i="3"/>
  <c r="AD36" i="3"/>
  <c r="N37" i="3"/>
  <c r="O37" i="3"/>
  <c r="X37" i="3"/>
  <c r="AB37" i="3"/>
  <c r="AC37" i="3"/>
  <c r="AD37" i="3"/>
  <c r="N38" i="3"/>
  <c r="O38" i="3"/>
  <c r="X38" i="3"/>
  <c r="AB38" i="3"/>
  <c r="AC38" i="3"/>
  <c r="AD38" i="3"/>
  <c r="N39" i="3"/>
  <c r="O39" i="3"/>
  <c r="X39" i="3"/>
  <c r="AB39" i="3"/>
  <c r="AC39" i="3"/>
  <c r="AD39" i="3"/>
  <c r="N40" i="3"/>
  <c r="O40" i="3"/>
  <c r="X40" i="3"/>
  <c r="AB40" i="3"/>
  <c r="AC40" i="3"/>
  <c r="AD40" i="3"/>
  <c r="N41" i="3"/>
  <c r="O41" i="3"/>
  <c r="X41" i="3"/>
  <c r="AB41" i="3"/>
  <c r="AC41" i="3"/>
  <c r="AD41" i="3"/>
  <c r="N42" i="3"/>
  <c r="O42" i="3"/>
  <c r="X42" i="3"/>
  <c r="AB42" i="3"/>
  <c r="AC42" i="3"/>
  <c r="AD42" i="3"/>
  <c r="N44" i="3"/>
  <c r="O44" i="3"/>
  <c r="X44" i="3"/>
  <c r="AB44" i="3"/>
  <c r="AC44" i="3"/>
  <c r="AD44" i="3"/>
  <c r="N45" i="3"/>
  <c r="O45" i="3"/>
  <c r="X45" i="3"/>
  <c r="AB45" i="3"/>
  <c r="AC45" i="3"/>
  <c r="AD45" i="3"/>
  <c r="N46" i="3"/>
  <c r="O46" i="3"/>
  <c r="X46" i="3"/>
  <c r="AB46" i="3"/>
  <c r="AC46" i="3"/>
  <c r="AD46" i="3"/>
  <c r="N47" i="3"/>
  <c r="O47" i="3"/>
  <c r="X47" i="3"/>
  <c r="AB47" i="3"/>
  <c r="AC47" i="3"/>
  <c r="AD47" i="3"/>
  <c r="N48" i="3"/>
  <c r="O48" i="3"/>
  <c r="X48" i="3"/>
  <c r="AB48" i="3"/>
  <c r="AC48" i="3"/>
  <c r="AD48" i="3"/>
  <c r="L50" i="3"/>
  <c r="M50" i="3" s="1"/>
  <c r="N50" i="3" s="1"/>
  <c r="L51" i="3"/>
  <c r="Z51" i="3"/>
  <c r="L52" i="3"/>
  <c r="Z52" i="3"/>
  <c r="L53" i="3"/>
  <c r="Z53" i="3"/>
  <c r="N55" i="3"/>
  <c r="N56" i="3"/>
  <c r="N57" i="3"/>
  <c r="N58" i="3"/>
  <c r="N59" i="3"/>
  <c r="N72" i="3"/>
  <c r="O72" i="3"/>
  <c r="X72" i="3"/>
  <c r="Z72" i="3"/>
  <c r="AA72" i="3"/>
  <c r="AB72" i="3"/>
  <c r="AC72" i="3"/>
  <c r="AD72" i="3"/>
  <c r="N73" i="3"/>
  <c r="O73" i="3"/>
  <c r="X73" i="3"/>
  <c r="Z73" i="3"/>
  <c r="AA73" i="3"/>
  <c r="AB73" i="3"/>
  <c r="AC73" i="3"/>
  <c r="AD73" i="3"/>
  <c r="N75" i="3"/>
  <c r="O75" i="3"/>
  <c r="X75" i="3"/>
  <c r="Z75" i="3"/>
  <c r="AA75" i="3"/>
  <c r="AB75" i="3"/>
  <c r="AC75" i="3"/>
  <c r="AD75" i="3"/>
  <c r="N76" i="3"/>
  <c r="O76" i="3"/>
  <c r="X76" i="3"/>
  <c r="Z76" i="3"/>
  <c r="AA76" i="3"/>
  <c r="AB76" i="3"/>
  <c r="AC76" i="3"/>
  <c r="AD76" i="3"/>
  <c r="N77" i="3"/>
  <c r="O77" i="3"/>
  <c r="X77" i="3"/>
  <c r="Z77" i="3"/>
  <c r="AA77" i="3"/>
  <c r="AB77" i="3"/>
  <c r="AC77" i="3"/>
  <c r="AD77" i="3"/>
  <c r="N78" i="3"/>
  <c r="O78" i="3"/>
  <c r="X78" i="3"/>
  <c r="Z78" i="3"/>
  <c r="AA78" i="3"/>
  <c r="AB78" i="3"/>
  <c r="AC78" i="3"/>
  <c r="AD78" i="3"/>
  <c r="N91" i="3"/>
  <c r="O91" i="3"/>
  <c r="X91" i="3"/>
  <c r="Z91" i="3"/>
  <c r="AA91" i="3"/>
  <c r="AB91" i="3"/>
  <c r="AC91" i="3"/>
  <c r="AD91" i="3"/>
  <c r="AF91" i="3"/>
  <c r="N92" i="3"/>
  <c r="O92" i="3"/>
  <c r="X92" i="3"/>
  <c r="Z92" i="3"/>
  <c r="AA92" i="3"/>
  <c r="AB92" i="3"/>
  <c r="AC92" i="3"/>
  <c r="AD92" i="3"/>
  <c r="AF92" i="3"/>
  <c r="N93" i="3"/>
  <c r="O93" i="3"/>
  <c r="X93" i="3"/>
  <c r="Z93" i="3"/>
  <c r="AA93" i="3"/>
  <c r="AB93" i="3"/>
  <c r="AC93" i="3"/>
  <c r="AD93" i="3"/>
  <c r="AF93" i="3"/>
  <c r="N94" i="3"/>
  <c r="O94" i="3"/>
  <c r="X94" i="3"/>
  <c r="Z94" i="3"/>
  <c r="AA94" i="3"/>
  <c r="AB94" i="3"/>
  <c r="AC94" i="3"/>
  <c r="AD94" i="3"/>
  <c r="AF94" i="3"/>
  <c r="N95" i="3"/>
  <c r="O95" i="3"/>
  <c r="X95" i="3"/>
  <c r="Z95" i="3"/>
  <c r="AA95" i="3"/>
  <c r="AB95" i="3"/>
  <c r="AC95" i="3"/>
  <c r="AD95" i="3"/>
  <c r="AF95" i="3"/>
  <c r="N96" i="3"/>
  <c r="O96" i="3"/>
  <c r="X96" i="3"/>
  <c r="Z96" i="3"/>
  <c r="AA96" i="3"/>
  <c r="AB96" i="3"/>
  <c r="AC96" i="3"/>
  <c r="AD96" i="3"/>
  <c r="AF96" i="3"/>
  <c r="N97" i="3"/>
  <c r="O97" i="3"/>
  <c r="X97" i="3"/>
  <c r="Z97" i="3"/>
  <c r="AA97" i="3"/>
  <c r="AB97" i="3"/>
  <c r="AC97" i="3"/>
  <c r="AD97" i="3"/>
  <c r="AF97" i="3"/>
  <c r="N98" i="3"/>
  <c r="O98" i="3"/>
  <c r="X98" i="3"/>
  <c r="Z98" i="3"/>
  <c r="AA98" i="3"/>
  <c r="AB98" i="3"/>
  <c r="AC98" i="3"/>
  <c r="AD98" i="3"/>
  <c r="AF98" i="3"/>
  <c r="AB114" i="3"/>
  <c r="N115" i="3"/>
  <c r="X115" i="3"/>
  <c r="Z115" i="3"/>
  <c r="AA115" i="3"/>
  <c r="AC115" i="3"/>
  <c r="AD115" i="3"/>
  <c r="N116" i="3"/>
  <c r="X116" i="3"/>
  <c r="Z116" i="3"/>
  <c r="AA116" i="3"/>
  <c r="AC116" i="3"/>
  <c r="AD116" i="3"/>
  <c r="N117" i="3"/>
  <c r="X117" i="3"/>
  <c r="Z117" i="3"/>
  <c r="AA117" i="3"/>
  <c r="AC117" i="3"/>
  <c r="AD117" i="3"/>
  <c r="AF117" i="3"/>
  <c r="N119" i="3"/>
  <c r="X119" i="3"/>
  <c r="Z119" i="3"/>
  <c r="AA119" i="3"/>
  <c r="AC119" i="3"/>
  <c r="AD119" i="3"/>
  <c r="AF119" i="3"/>
  <c r="N120" i="3"/>
  <c r="X120" i="3"/>
  <c r="Z120" i="3"/>
  <c r="AA120" i="3"/>
  <c r="AC120" i="3"/>
  <c r="AD120" i="3"/>
  <c r="N121" i="3"/>
  <c r="X121" i="3"/>
  <c r="Z121" i="3"/>
  <c r="AA121" i="3"/>
  <c r="AC121" i="3"/>
  <c r="AD121" i="3"/>
  <c r="N122" i="3"/>
  <c r="X122" i="3"/>
  <c r="Z122" i="3"/>
  <c r="AA122" i="3"/>
  <c r="AC122" i="3"/>
  <c r="AD122" i="3"/>
  <c r="AF122" i="3"/>
  <c r="N123" i="3"/>
  <c r="X123" i="3"/>
  <c r="Z123" i="3"/>
  <c r="AA123" i="3"/>
  <c r="AC123" i="3"/>
  <c r="AD123" i="3"/>
  <c r="AF123" i="3"/>
  <c r="N124" i="3"/>
  <c r="X124" i="3"/>
  <c r="Z124" i="3"/>
  <c r="AC124" i="3"/>
  <c r="AD124" i="3"/>
  <c r="AF124" i="3"/>
  <c r="N125" i="3"/>
  <c r="X125" i="3"/>
  <c r="Z125" i="3"/>
  <c r="AA125" i="3"/>
  <c r="AC125" i="3"/>
  <c r="AD125" i="3"/>
  <c r="AF125" i="3"/>
  <c r="N126" i="3"/>
  <c r="X126" i="3"/>
  <c r="Z126" i="3"/>
  <c r="AA126" i="3"/>
  <c r="AC126" i="3"/>
  <c r="AD126" i="3"/>
  <c r="AF126" i="3"/>
  <c r="N127" i="3"/>
  <c r="X127" i="3"/>
  <c r="Z127" i="3"/>
  <c r="AA127" i="3"/>
  <c r="AC127" i="3"/>
  <c r="AD127" i="3"/>
  <c r="AF127" i="3"/>
  <c r="N128" i="3"/>
  <c r="X128" i="3"/>
  <c r="Z128" i="3"/>
  <c r="AA128" i="3"/>
  <c r="AC128" i="3"/>
  <c r="AD128" i="3"/>
  <c r="AF128" i="3"/>
  <c r="N129" i="3"/>
  <c r="X129" i="3"/>
  <c r="Z129" i="3"/>
  <c r="AA129" i="3"/>
  <c r="AC129" i="3"/>
  <c r="AD129" i="3"/>
  <c r="AF129" i="3"/>
  <c r="N130" i="3"/>
  <c r="X130" i="3"/>
  <c r="Z130" i="3"/>
  <c r="AA130" i="3"/>
  <c r="AC130" i="3"/>
  <c r="AD130" i="3"/>
  <c r="AF130" i="3"/>
  <c r="L61" i="3"/>
  <c r="AB61" i="3"/>
  <c r="M61" i="3"/>
  <c r="N61" i="3"/>
  <c r="AC61" i="3"/>
  <c r="AD61" i="3"/>
  <c r="L62" i="3"/>
  <c r="AB62" i="3" s="1"/>
  <c r="M62" i="3"/>
  <c r="N62" i="3"/>
  <c r="AC62" i="3"/>
  <c r="AD62" i="3"/>
  <c r="L63" i="3"/>
  <c r="M63" i="3"/>
  <c r="N63" i="3"/>
  <c r="AC63" i="3"/>
  <c r="AD63" i="3"/>
  <c r="L64" i="3"/>
  <c r="AF64" i="3" s="1"/>
  <c r="M64" i="3"/>
  <c r="N64" i="3" s="1"/>
  <c r="AC64" i="3"/>
  <c r="AD64" i="3"/>
  <c r="L65" i="3"/>
  <c r="O65" i="3" s="1"/>
  <c r="M65" i="3"/>
  <c r="N65" i="3" s="1"/>
  <c r="AC65" i="3"/>
  <c r="AD65" i="3"/>
  <c r="L66" i="3"/>
  <c r="O66" i="3" s="1"/>
  <c r="M66" i="3"/>
  <c r="AC66" i="3"/>
  <c r="AD66" i="3"/>
  <c r="L67" i="3"/>
  <c r="O67" i="3"/>
  <c r="M67" i="3"/>
  <c r="AA67" i="3"/>
  <c r="AC67" i="3"/>
  <c r="AD67" i="3"/>
  <c r="L68" i="3"/>
  <c r="AB68" i="3"/>
  <c r="M68" i="3"/>
  <c r="AA68" i="3"/>
  <c r="AC68" i="3"/>
  <c r="AD68" i="3"/>
  <c r="L69" i="3"/>
  <c r="AB69" i="3"/>
  <c r="M69" i="3"/>
  <c r="N69" i="3"/>
  <c r="AC69" i="3"/>
  <c r="AD69" i="3"/>
  <c r="L70" i="3"/>
  <c r="AF70" i="3"/>
  <c r="M70" i="3"/>
  <c r="N70" i="3"/>
  <c r="AC70" i="3"/>
  <c r="AD70" i="3"/>
  <c r="O80" i="3"/>
  <c r="X80" i="3"/>
  <c r="AB80" i="3"/>
  <c r="AC80" i="3"/>
  <c r="AD80" i="3"/>
  <c r="O81" i="3"/>
  <c r="X81" i="3"/>
  <c r="AB81" i="3"/>
  <c r="AC81" i="3"/>
  <c r="AD81" i="3"/>
  <c r="O82" i="3"/>
  <c r="X82" i="3"/>
  <c r="AB82" i="3"/>
  <c r="AC82" i="3"/>
  <c r="AD82" i="3"/>
  <c r="AB83" i="3"/>
  <c r="AC83" i="3"/>
  <c r="L84" i="3"/>
  <c r="AF84" i="3" s="1"/>
  <c r="M84" i="3"/>
  <c r="N84" i="3" s="1"/>
  <c r="AD84" i="3"/>
  <c r="L85" i="3"/>
  <c r="AF85" i="3"/>
  <c r="M85" i="3"/>
  <c r="N85" i="3"/>
  <c r="AD85" i="3"/>
  <c r="L86" i="3"/>
  <c r="AF86" i="3" s="1"/>
  <c r="M86" i="3"/>
  <c r="N86" i="3" s="1"/>
  <c r="AD86" i="3"/>
  <c r="L87" i="3"/>
  <c r="AF87" i="3"/>
  <c r="M87" i="3"/>
  <c r="AA87" i="3"/>
  <c r="AD87" i="3"/>
  <c r="L88" i="3"/>
  <c r="AF88" i="3"/>
  <c r="M88" i="3"/>
  <c r="AA88" i="3"/>
  <c r="AD88" i="3"/>
  <c r="L89" i="3"/>
  <c r="AF89" i="3" s="1"/>
  <c r="M89" i="3"/>
  <c r="N89" i="3" s="1"/>
  <c r="N83" i="3" s="1"/>
  <c r="AD89" i="3"/>
  <c r="M100" i="3"/>
  <c r="AA100" i="3"/>
  <c r="AB100" i="3"/>
  <c r="AC100" i="3"/>
  <c r="AD100" i="3"/>
  <c r="M101" i="3"/>
  <c r="AA101" i="3"/>
  <c r="AB101" i="3"/>
  <c r="AC101" i="3"/>
  <c r="AD101" i="3"/>
  <c r="M102" i="3"/>
  <c r="AA102" i="3"/>
  <c r="AB102" i="3"/>
  <c r="AC102" i="3"/>
  <c r="AD102" i="3"/>
  <c r="M103" i="3"/>
  <c r="AA103" i="3"/>
  <c r="AB103" i="3"/>
  <c r="AC103" i="3"/>
  <c r="AD103" i="3"/>
  <c r="M104" i="3"/>
  <c r="AA104" i="3"/>
  <c r="AB104" i="3"/>
  <c r="AC104" i="3"/>
  <c r="AD104" i="3"/>
  <c r="AB132" i="3"/>
  <c r="AC132" i="3"/>
  <c r="AD132" i="3"/>
  <c r="AB133" i="3"/>
  <c r="AC133" i="3"/>
  <c r="AD133" i="3"/>
  <c r="AB134" i="3"/>
  <c r="AC134" i="3"/>
  <c r="AD134" i="3"/>
  <c r="AB135" i="3"/>
  <c r="AC135" i="3"/>
  <c r="AD135" i="3"/>
  <c r="AB136" i="3"/>
  <c r="AC136" i="3"/>
  <c r="AD136" i="3"/>
  <c r="AB137" i="3"/>
  <c r="AC137" i="3"/>
  <c r="AD137" i="3"/>
  <c r="AB138" i="3"/>
  <c r="AC138" i="3"/>
  <c r="AD138" i="3"/>
  <c r="AB139" i="3"/>
  <c r="AC139" i="3"/>
  <c r="AD139" i="3"/>
  <c r="M106" i="3"/>
  <c r="N106" i="3" s="1"/>
  <c r="AC106" i="3"/>
  <c r="AD106" i="3"/>
  <c r="M107" i="3"/>
  <c r="N107" i="3" s="1"/>
  <c r="AC107" i="3"/>
  <c r="AD107" i="3"/>
  <c r="M108" i="3"/>
  <c r="AA108" i="3" s="1"/>
  <c r="AC108" i="3"/>
  <c r="AD108" i="3"/>
  <c r="M109" i="3"/>
  <c r="AA109" i="3" s="1"/>
  <c r="AC109" i="3"/>
  <c r="AD109" i="3"/>
  <c r="AB110" i="3"/>
  <c r="M110" i="3"/>
  <c r="AC110" i="3"/>
  <c r="AD110" i="3"/>
  <c r="M111" i="3"/>
  <c r="N111" i="3" s="1"/>
  <c r="AC111" i="3"/>
  <c r="AD111" i="3"/>
  <c r="M112" i="3"/>
  <c r="AA112" i="3" s="1"/>
  <c r="AC112" i="3"/>
  <c r="AD112" i="3"/>
  <c r="M113" i="3"/>
  <c r="N113" i="3" s="1"/>
  <c r="AC113" i="3"/>
  <c r="AD113" i="3"/>
  <c r="AF144" i="3"/>
  <c r="M144" i="3"/>
  <c r="N144" i="3"/>
  <c r="AC144" i="3"/>
  <c r="AD144" i="3"/>
  <c r="M145" i="3"/>
  <c r="AA145" i="3"/>
  <c r="AC145" i="3"/>
  <c r="AD145" i="3"/>
  <c r="M146" i="3"/>
  <c r="N146" i="3"/>
  <c r="U146" i="3"/>
  <c r="AD146" i="3"/>
  <c r="AC146" i="3"/>
  <c r="M148" i="3"/>
  <c r="AA148" i="3" s="1"/>
  <c r="AC148" i="3"/>
  <c r="AD148" i="3"/>
  <c r="M147" i="3"/>
  <c r="N147" i="3" s="1"/>
  <c r="AC147" i="3"/>
  <c r="M149" i="3"/>
  <c r="AC149" i="3"/>
  <c r="M150" i="3"/>
  <c r="AA150" i="3"/>
  <c r="AC150" i="3"/>
  <c r="AB151" i="3"/>
  <c r="M151" i="3"/>
  <c r="AA151" i="3"/>
  <c r="U151" i="3"/>
  <c r="AD151" i="3"/>
  <c r="AC151" i="3"/>
  <c r="M152" i="3"/>
  <c r="N152" i="3" s="1"/>
  <c r="AC152" i="3"/>
  <c r="M153" i="3"/>
  <c r="N153" i="3"/>
  <c r="AC153" i="3"/>
  <c r="AB181" i="3"/>
  <c r="AC181" i="3"/>
  <c r="M183" i="3"/>
  <c r="AA183" i="3" s="1"/>
  <c r="X183" i="3"/>
  <c r="AB183" i="3"/>
  <c r="AC183" i="3"/>
  <c r="O184" i="3"/>
  <c r="M185" i="3"/>
  <c r="N185" i="3" s="1"/>
  <c r="X185" i="3"/>
  <c r="AB185" i="3"/>
  <c r="AC185" i="3"/>
  <c r="M186" i="3"/>
  <c r="AA186" i="3"/>
  <c r="X186" i="3"/>
  <c r="AB186" i="3"/>
  <c r="AC186" i="3"/>
  <c r="M187" i="3"/>
  <c r="X187" i="3"/>
  <c r="AB187" i="3"/>
  <c r="AC187" i="3"/>
  <c r="M188" i="3"/>
  <c r="AA188" i="3" s="1"/>
  <c r="X188" i="3"/>
  <c r="AB188" i="3"/>
  <c r="AC188" i="3"/>
  <c r="M189" i="3"/>
  <c r="AA189" i="3"/>
  <c r="X189" i="3"/>
  <c r="AB189" i="3"/>
  <c r="AC189" i="3"/>
  <c r="M190" i="3"/>
  <c r="AA190" i="3" s="1"/>
  <c r="X190" i="3"/>
  <c r="AB190" i="3"/>
  <c r="AC190" i="3"/>
  <c r="M191" i="3"/>
  <c r="AA191" i="3"/>
  <c r="X191" i="3"/>
  <c r="AB191" i="3"/>
  <c r="AC191" i="3"/>
  <c r="M192" i="3"/>
  <c r="AA192" i="3" s="1"/>
  <c r="X192" i="3"/>
  <c r="AB192" i="3"/>
  <c r="AC192" i="3"/>
  <c r="M193" i="3"/>
  <c r="AA193" i="3"/>
  <c r="X193" i="3"/>
  <c r="AB193" i="3"/>
  <c r="AC193" i="3"/>
  <c r="M194" i="3"/>
  <c r="AA194" i="3" s="1"/>
  <c r="X194" i="3"/>
  <c r="AB194" i="3"/>
  <c r="AC194" i="3"/>
  <c r="M195" i="3"/>
  <c r="AA195" i="3"/>
  <c r="X195" i="3"/>
  <c r="AB195" i="3"/>
  <c r="AC195" i="3"/>
  <c r="M196" i="3"/>
  <c r="X196" i="3"/>
  <c r="AB196" i="3"/>
  <c r="AC196" i="3"/>
  <c r="M197" i="3"/>
  <c r="AA197" i="3" s="1"/>
  <c r="X197" i="3"/>
  <c r="AB197" i="3"/>
  <c r="AC197" i="3"/>
  <c r="L331" i="3"/>
  <c r="M331" i="3"/>
  <c r="N331" i="3" s="1"/>
  <c r="N330" i="3" s="1"/>
  <c r="AD331" i="3"/>
  <c r="L332" i="3"/>
  <c r="AD332" i="3"/>
  <c r="L333" i="3"/>
  <c r="O333" i="3"/>
  <c r="AC333" i="3"/>
  <c r="AD333" i="3"/>
  <c r="L334" i="3"/>
  <c r="Z334" i="3"/>
  <c r="AC334" i="3"/>
  <c r="AD334" i="3"/>
  <c r="L355" i="3"/>
  <c r="O355" i="3"/>
  <c r="AC355" i="3"/>
  <c r="AD355" i="3"/>
  <c r="L356" i="3"/>
  <c r="O356" i="3"/>
  <c r="AC356" i="3"/>
  <c r="AD356" i="3"/>
  <c r="L357" i="3"/>
  <c r="AB357" i="3"/>
  <c r="AC357" i="3"/>
  <c r="AD357" i="3"/>
  <c r="L358" i="3"/>
  <c r="AA358" i="3"/>
  <c r="AC358" i="3"/>
  <c r="AD358" i="3"/>
  <c r="L359" i="3"/>
  <c r="AB359" i="3" s="1"/>
  <c r="AC359" i="3"/>
  <c r="AD359" i="3"/>
  <c r="L360" i="3"/>
  <c r="AB360" i="3" s="1"/>
  <c r="AC360" i="3"/>
  <c r="AD360" i="3"/>
  <c r="L361" i="3"/>
  <c r="O361" i="3" s="1"/>
  <c r="AC361" i="3"/>
  <c r="AD361" i="3"/>
  <c r="L362" i="3"/>
  <c r="AB362" i="3" s="1"/>
  <c r="AC362" i="3"/>
  <c r="AD362" i="3"/>
  <c r="L363" i="3"/>
  <c r="O363" i="3" s="1"/>
  <c r="AC363" i="3"/>
  <c r="AD363" i="3"/>
  <c r="L364" i="3"/>
  <c r="AA364" i="3" s="1"/>
  <c r="AC364" i="3"/>
  <c r="AD364" i="3"/>
  <c r="L365" i="3"/>
  <c r="O365" i="3" s="1"/>
  <c r="AC365" i="3"/>
  <c r="AD365" i="3"/>
  <c r="L366" i="3"/>
  <c r="AC366" i="3"/>
  <c r="AD366" i="3"/>
  <c r="N380" i="3"/>
  <c r="O380" i="3"/>
  <c r="Z380" i="3"/>
  <c r="AA380" i="3"/>
  <c r="AB380" i="3"/>
  <c r="AC380" i="3"/>
  <c r="AD380" i="3"/>
  <c r="N381" i="3"/>
  <c r="O381" i="3"/>
  <c r="Z381" i="3"/>
  <c r="AA381" i="3"/>
  <c r="AB381" i="3"/>
  <c r="AC381" i="3"/>
  <c r="AD381" i="3"/>
  <c r="N382" i="3"/>
  <c r="O382" i="3"/>
  <c r="Z382" i="3"/>
  <c r="AA382" i="3"/>
  <c r="AB382" i="3"/>
  <c r="AC382" i="3"/>
  <c r="AD382" i="3"/>
  <c r="N383" i="3"/>
  <c r="O383" i="3"/>
  <c r="Z383" i="3"/>
  <c r="AA383" i="3"/>
  <c r="AB383" i="3"/>
  <c r="AC383" i="3"/>
  <c r="AD383" i="3"/>
  <c r="N384" i="3"/>
  <c r="O384" i="3"/>
  <c r="Z384" i="3"/>
  <c r="AA384" i="3"/>
  <c r="AB384" i="3"/>
  <c r="AC384" i="3"/>
  <c r="AD384" i="3"/>
  <c r="L401" i="3"/>
  <c r="AB401" i="3" s="1"/>
  <c r="AC401" i="3"/>
  <c r="AD401" i="3"/>
  <c r="L402" i="3"/>
  <c r="AB402" i="3" s="1"/>
  <c r="AC402" i="3"/>
  <c r="AD402" i="3"/>
  <c r="L403" i="3"/>
  <c r="AB403" i="3" s="1"/>
  <c r="AC403" i="3"/>
  <c r="AD403" i="3"/>
  <c r="L404" i="3"/>
  <c r="AB404" i="3" s="1"/>
  <c r="AC404" i="3"/>
  <c r="AD404" i="3"/>
  <c r="L406" i="3"/>
  <c r="O406" i="3" s="1"/>
  <c r="M406" i="3"/>
  <c r="N406" i="3" s="1"/>
  <c r="AC406" i="3"/>
  <c r="AD406" i="3"/>
  <c r="L407" i="3"/>
  <c r="AB407" i="3" s="1"/>
  <c r="M407" i="3"/>
  <c r="N407" i="3" s="1"/>
  <c r="N405" i="3" s="1"/>
  <c r="AC407" i="3"/>
  <c r="AD407" i="3"/>
  <c r="L408" i="3"/>
  <c r="O408" i="3" s="1"/>
  <c r="M408" i="3"/>
  <c r="N408" i="3" s="1"/>
  <c r="AC408" i="3"/>
  <c r="AD408" i="3"/>
  <c r="L409" i="3"/>
  <c r="AB409" i="3" s="1"/>
  <c r="M409" i="3"/>
  <c r="N409" i="3" s="1"/>
  <c r="AC409" i="3"/>
  <c r="AD409" i="3"/>
  <c r="L410" i="3"/>
  <c r="O410" i="3" s="1"/>
  <c r="M410" i="3"/>
  <c r="N410" i="3" s="1"/>
  <c r="AC410" i="3"/>
  <c r="AD410" i="3"/>
  <c r="L412" i="3"/>
  <c r="AF412" i="3" s="1"/>
  <c r="AF411" i="3" s="1"/>
  <c r="M412" i="3"/>
  <c r="N412" i="3"/>
  <c r="AC412" i="3"/>
  <c r="AD412" i="3"/>
  <c r="L413" i="3"/>
  <c r="AF413" i="3"/>
  <c r="M413" i="3"/>
  <c r="N413" i="3"/>
  <c r="AC413" i="3"/>
  <c r="AD413" i="3"/>
  <c r="L414" i="3"/>
  <c r="AF414" i="3"/>
  <c r="M414" i="3"/>
  <c r="N414" i="3"/>
  <c r="AC414" i="3"/>
  <c r="AD414" i="3"/>
  <c r="L415" i="3"/>
  <c r="AF415" i="3"/>
  <c r="M415" i="3"/>
  <c r="N415" i="3"/>
  <c r="AC415" i="3"/>
  <c r="AD415" i="3"/>
  <c r="L416" i="3"/>
  <c r="AA416" i="3"/>
  <c r="M416" i="3"/>
  <c r="N416" i="3"/>
  <c r="AC416" i="3"/>
  <c r="AD416" i="3"/>
  <c r="L418" i="3"/>
  <c r="O418" i="3"/>
  <c r="AC418" i="3"/>
  <c r="AD418" i="3"/>
  <c r="L419" i="3"/>
  <c r="AB419" i="3"/>
  <c r="AC419" i="3"/>
  <c r="AD419" i="3"/>
  <c r="L420" i="3"/>
  <c r="AC420" i="3"/>
  <c r="AD420" i="3"/>
  <c r="L421" i="3"/>
  <c r="AB421" i="3" s="1"/>
  <c r="AC421" i="3"/>
  <c r="AD421" i="3"/>
  <c r="L422" i="3"/>
  <c r="AC422" i="3"/>
  <c r="AD422" i="3"/>
  <c r="Z424" i="3"/>
  <c r="AB424" i="3"/>
  <c r="AC424" i="3"/>
  <c r="AD424" i="3"/>
  <c r="AF424" i="3"/>
  <c r="L425" i="3"/>
  <c r="AF425" i="3" s="1"/>
  <c r="AC425" i="3"/>
  <c r="AD425" i="3"/>
  <c r="L426" i="3"/>
  <c r="Z426" i="3" s="1"/>
  <c r="AC426" i="3"/>
  <c r="AD426" i="3"/>
  <c r="L427" i="3"/>
  <c r="AC427" i="3"/>
  <c r="AD427" i="3"/>
  <c r="AD428" i="3"/>
  <c r="L429" i="3"/>
  <c r="AF429" i="3" s="1"/>
  <c r="AC429" i="3"/>
  <c r="AD429" i="3"/>
  <c r="L458" i="3"/>
  <c r="AF458" i="3" s="1"/>
  <c r="M458" i="3"/>
  <c r="N458" i="3" s="1"/>
  <c r="N457" i="3" s="1"/>
  <c r="AC458" i="3"/>
  <c r="AD458" i="3"/>
  <c r="L459" i="3"/>
  <c r="AB459" i="3" s="1"/>
  <c r="M459" i="3"/>
  <c r="N459" i="3" s="1"/>
  <c r="AC459" i="3"/>
  <c r="AD459" i="3"/>
  <c r="L460" i="3"/>
  <c r="O460" i="3" s="1"/>
  <c r="M460" i="3"/>
  <c r="N460" i="3" s="1"/>
  <c r="AC460" i="3"/>
  <c r="AD460" i="3"/>
  <c r="L461" i="3"/>
  <c r="AF461" i="3" s="1"/>
  <c r="M461" i="3"/>
  <c r="N461" i="3" s="1"/>
  <c r="AC461" i="3"/>
  <c r="AD461" i="3"/>
  <c r="L462" i="3"/>
  <c r="AB462" i="3" s="1"/>
  <c r="M462" i="3"/>
  <c r="N462" i="3" s="1"/>
  <c r="AC462" i="3"/>
  <c r="AD462" i="3"/>
  <c r="L463" i="3"/>
  <c r="O463" i="3" s="1"/>
  <c r="M463" i="3"/>
  <c r="N463" i="3" s="1"/>
  <c r="AC463" i="3"/>
  <c r="AD463" i="3"/>
  <c r="L464" i="3"/>
  <c r="O464" i="3" s="1"/>
  <c r="M464" i="3"/>
  <c r="N464" i="3" s="1"/>
  <c r="AC464" i="3"/>
  <c r="AD464" i="3"/>
  <c r="L466" i="3"/>
  <c r="AB466" i="3" s="1"/>
  <c r="M466" i="3"/>
  <c r="AA466" i="3" s="1"/>
  <c r="AC466" i="3"/>
  <c r="AD466" i="3"/>
  <c r="L467" i="3"/>
  <c r="Z467" i="3" s="1"/>
  <c r="M467" i="3"/>
  <c r="AA467" i="3" s="1"/>
  <c r="AA465" i="3" s="1"/>
  <c r="AC467" i="3"/>
  <c r="AD467" i="3"/>
  <c r="L468" i="3"/>
  <c r="O468" i="3" s="1"/>
  <c r="M468" i="3"/>
  <c r="N468" i="3" s="1"/>
  <c r="AC468" i="3"/>
  <c r="AD468" i="3"/>
  <c r="L469" i="3"/>
  <c r="M469" i="3"/>
  <c r="AA469" i="3"/>
  <c r="AC469" i="3"/>
  <c r="AD469" i="3"/>
  <c r="L470" i="3"/>
  <c r="AB470" i="3"/>
  <c r="M470" i="3"/>
  <c r="N470" i="3"/>
  <c r="AC470" i="3"/>
  <c r="AD470" i="3"/>
  <c r="L471" i="3"/>
  <c r="Z471" i="3"/>
  <c r="M471" i="3"/>
  <c r="N471" i="3"/>
  <c r="AC471" i="3"/>
  <c r="AD471" i="3"/>
  <c r="L472" i="3"/>
  <c r="Z472" i="3"/>
  <c r="M472" i="3"/>
  <c r="AA472" i="3"/>
  <c r="AC472" i="3"/>
  <c r="AD472" i="3"/>
  <c r="L473" i="3"/>
  <c r="AF473" i="3"/>
  <c r="M473" i="3"/>
  <c r="AA473" i="3"/>
  <c r="AC473" i="3"/>
  <c r="AD473" i="3"/>
  <c r="L474" i="3"/>
  <c r="AF474" i="3"/>
  <c r="M474" i="3"/>
  <c r="N474" i="3"/>
  <c r="AC474" i="3"/>
  <c r="AD474" i="3"/>
  <c r="L475" i="3"/>
  <c r="O475" i="3"/>
  <c r="M475" i="3"/>
  <c r="AA475" i="3"/>
  <c r="AC475" i="3"/>
  <c r="AD475" i="3"/>
  <c r="L476" i="3"/>
  <c r="AF476" i="3"/>
  <c r="M476" i="3"/>
  <c r="AA476" i="3"/>
  <c r="AC476" i="3"/>
  <c r="AD476" i="3"/>
  <c r="L477" i="3"/>
  <c r="O477" i="3"/>
  <c r="M477" i="3"/>
  <c r="N477" i="3"/>
  <c r="AC477" i="3"/>
  <c r="AD477" i="3"/>
  <c r="L478" i="3"/>
  <c r="M478" i="3"/>
  <c r="N478" i="3" s="1"/>
  <c r="AC478" i="3"/>
  <c r="AD478" i="3"/>
  <c r="L479" i="3"/>
  <c r="O479" i="3" s="1"/>
  <c r="O465" i="3" s="1"/>
  <c r="M479" i="3"/>
  <c r="AA479" i="3" s="1"/>
  <c r="AC479" i="3"/>
  <c r="AD479" i="3"/>
  <c r="L480" i="3"/>
  <c r="M480" i="3"/>
  <c r="N480" i="3"/>
  <c r="AC480" i="3"/>
  <c r="AD480" i="3"/>
  <c r="L481" i="3"/>
  <c r="AF481" i="3"/>
  <c r="M481" i="3"/>
  <c r="AC481" i="3"/>
  <c r="AD481" i="3"/>
  <c r="L482" i="3"/>
  <c r="M482" i="3"/>
  <c r="AA482" i="3"/>
  <c r="AC482" i="3"/>
  <c r="AD482" i="3"/>
  <c r="L483" i="3"/>
  <c r="AB483" i="3"/>
  <c r="M483" i="3"/>
  <c r="N483" i="3"/>
  <c r="AC483" i="3"/>
  <c r="AD483" i="3"/>
  <c r="L484" i="3"/>
  <c r="Z484" i="3"/>
  <c r="M484" i="3"/>
  <c r="N484" i="3"/>
  <c r="AC484" i="3"/>
  <c r="AD484" i="3"/>
  <c r="L485" i="3"/>
  <c r="AF485" i="3"/>
  <c r="M485" i="3"/>
  <c r="N485" i="3"/>
  <c r="AC485" i="3"/>
  <c r="AD485" i="3"/>
  <c r="L487" i="3"/>
  <c r="AF487" i="3"/>
  <c r="M487" i="3"/>
  <c r="N487" i="3"/>
  <c r="AC487" i="3"/>
  <c r="AD487" i="3"/>
  <c r="L488" i="3"/>
  <c r="Z488" i="3"/>
  <c r="M488" i="3"/>
  <c r="N488" i="3"/>
  <c r="AC488" i="3"/>
  <c r="AD488" i="3"/>
  <c r="L489" i="3"/>
  <c r="AF489" i="3"/>
  <c r="M489" i="3"/>
  <c r="AC489" i="3"/>
  <c r="AD489" i="3"/>
  <c r="L490" i="3"/>
  <c r="AF490" i="3" s="1"/>
  <c r="M490" i="3"/>
  <c r="N490" i="3" s="1"/>
  <c r="AC490" i="3"/>
  <c r="AD490" i="3"/>
  <c r="L491" i="3"/>
  <c r="AF491" i="3" s="1"/>
  <c r="M491" i="3"/>
  <c r="N491" i="3" s="1"/>
  <c r="AC491" i="3"/>
  <c r="AD491" i="3"/>
  <c r="L492" i="3"/>
  <c r="AF492" i="3" s="1"/>
  <c r="M492" i="3"/>
  <c r="AA492" i="3" s="1"/>
  <c r="AC492" i="3"/>
  <c r="AD492" i="3"/>
  <c r="L493" i="3"/>
  <c r="M493" i="3"/>
  <c r="N493" i="3"/>
  <c r="AC493" i="3"/>
  <c r="AD493" i="3"/>
  <c r="L494" i="3"/>
  <c r="O494" i="3"/>
  <c r="M494" i="3"/>
  <c r="AA494" i="3"/>
  <c r="AC494" i="3"/>
  <c r="AD494" i="3"/>
  <c r="L495" i="3"/>
  <c r="M495" i="3"/>
  <c r="AA495" i="3" s="1"/>
  <c r="AC495" i="3"/>
  <c r="AD495" i="3"/>
  <c r="L496" i="3"/>
  <c r="AF496" i="3" s="1"/>
  <c r="M496" i="3"/>
  <c r="N496" i="3" s="1"/>
  <c r="AC496" i="3"/>
  <c r="AD496" i="3"/>
  <c r="L497" i="3"/>
  <c r="AF497" i="3" s="1"/>
  <c r="M497" i="3"/>
  <c r="N497" i="3" s="1"/>
  <c r="AC497" i="3"/>
  <c r="AD497" i="3"/>
  <c r="L500" i="3"/>
  <c r="AF500" i="3" s="1"/>
  <c r="M500" i="3"/>
  <c r="N500" i="3" s="1"/>
  <c r="AC500" i="3"/>
  <c r="AD500" i="3"/>
  <c r="L501" i="3"/>
  <c r="AF501" i="3" s="1"/>
  <c r="M501" i="3"/>
  <c r="AA501" i="3" s="1"/>
  <c r="AC501" i="3"/>
  <c r="AD501" i="3"/>
  <c r="L502" i="3"/>
  <c r="AF502" i="3" s="1"/>
  <c r="M502" i="3"/>
  <c r="AA502" i="3" s="1"/>
  <c r="AC502" i="3"/>
  <c r="AD502" i="3"/>
  <c r="L503" i="3"/>
  <c r="AF503" i="3" s="1"/>
  <c r="M503" i="3"/>
  <c r="AA503" i="3" s="1"/>
  <c r="AC503" i="3"/>
  <c r="AD503" i="3"/>
  <c r="L504" i="3"/>
  <c r="AF504" i="3" s="1"/>
  <c r="M504" i="3"/>
  <c r="AC504" i="3"/>
  <c r="AD504" i="3"/>
  <c r="L505" i="3"/>
  <c r="M505" i="3"/>
  <c r="N505" i="3" s="1"/>
  <c r="AC505" i="3"/>
  <c r="AD505" i="3"/>
  <c r="L506" i="3"/>
  <c r="AF506" i="3" s="1"/>
  <c r="M506" i="3"/>
  <c r="AA506" i="3" s="1"/>
  <c r="AC506" i="3"/>
  <c r="AD506" i="3"/>
  <c r="L507" i="3"/>
  <c r="M507" i="3"/>
  <c r="AC507" i="3"/>
  <c r="AD507" i="3"/>
  <c r="L508" i="3"/>
  <c r="AF508" i="3" s="1"/>
  <c r="M508" i="3"/>
  <c r="AA508" i="3" s="1"/>
  <c r="AC508" i="3"/>
  <c r="AD508" i="3"/>
  <c r="L509" i="3"/>
  <c r="AF509" i="3" s="1"/>
  <c r="M509" i="3"/>
  <c r="AC509" i="3"/>
  <c r="AD509" i="3"/>
  <c r="L510" i="3"/>
  <c r="AB510" i="3"/>
  <c r="M510" i="3"/>
  <c r="AC510" i="3"/>
  <c r="AD510" i="3"/>
  <c r="AB511" i="3"/>
  <c r="AC511" i="3"/>
  <c r="N512" i="3"/>
  <c r="O512" i="3"/>
  <c r="AA512" i="3"/>
  <c r="AD512" i="3"/>
  <c r="AF512" i="3"/>
  <c r="N513" i="3"/>
  <c r="O513" i="3"/>
  <c r="AA513" i="3"/>
  <c r="AD513" i="3"/>
  <c r="AF513" i="3"/>
  <c r="N514" i="3"/>
  <c r="O514" i="3"/>
  <c r="AA514" i="3"/>
  <c r="AD514" i="3"/>
  <c r="AF514" i="3"/>
  <c r="N515" i="3"/>
  <c r="O515" i="3"/>
  <c r="AA515" i="3"/>
  <c r="AD515" i="3"/>
  <c r="AF515" i="3"/>
  <c r="N516" i="3"/>
  <c r="O516" i="3"/>
  <c r="AA516" i="3"/>
  <c r="AD516" i="3"/>
  <c r="AF516" i="3"/>
  <c r="N517" i="3"/>
  <c r="O517" i="3"/>
  <c r="AA517" i="3"/>
  <c r="AD517" i="3"/>
  <c r="AF517" i="3"/>
  <c r="N518" i="3"/>
  <c r="O518" i="3"/>
  <c r="AA518" i="3"/>
  <c r="AD518" i="3"/>
  <c r="AF518" i="3"/>
  <c r="N519" i="3"/>
  <c r="O519" i="3"/>
  <c r="AA519" i="3"/>
  <c r="AD519" i="3"/>
  <c r="AF519" i="3"/>
  <c r="N520" i="3"/>
  <c r="O520" i="3"/>
  <c r="AA520" i="3"/>
  <c r="AD520" i="3"/>
  <c r="AF520" i="3"/>
  <c r="N521" i="3"/>
  <c r="O521" i="3"/>
  <c r="AA521" i="3"/>
  <c r="AD521" i="3"/>
  <c r="AF521" i="3"/>
  <c r="N522" i="3"/>
  <c r="O522" i="3"/>
  <c r="AA522" i="3"/>
  <c r="AD522" i="3"/>
  <c r="AF522" i="3"/>
  <c r="N523" i="3"/>
  <c r="O523" i="3"/>
  <c r="AA523" i="3"/>
  <c r="AD523" i="3"/>
  <c r="AF523" i="3"/>
  <c r="N524" i="3"/>
  <c r="O524" i="3"/>
  <c r="AA524" i="3"/>
  <c r="AD524" i="3"/>
  <c r="AF524" i="3"/>
  <c r="N525" i="3"/>
  <c r="O525" i="3"/>
  <c r="AA525" i="3"/>
  <c r="AD525" i="3"/>
  <c r="AF525" i="3"/>
  <c r="N526" i="3"/>
  <c r="O526" i="3"/>
  <c r="AA526" i="3"/>
  <c r="AD526" i="3"/>
  <c r="AF526" i="3"/>
  <c r="N527" i="3"/>
  <c r="O527" i="3"/>
  <c r="AA527" i="3"/>
  <c r="AD527" i="3"/>
  <c r="AF527" i="3"/>
  <c r="N528" i="3"/>
  <c r="O528" i="3"/>
  <c r="AA528" i="3"/>
  <c r="AD528" i="3"/>
  <c r="AF528" i="3"/>
  <c r="L530" i="3"/>
  <c r="O530" i="3"/>
  <c r="M530" i="3"/>
  <c r="AA530" i="3"/>
  <c r="AC530" i="3"/>
  <c r="AD530" i="3"/>
  <c r="L531" i="3"/>
  <c r="AB531" i="3"/>
  <c r="M531" i="3"/>
  <c r="N531" i="3"/>
  <c r="AC531" i="3"/>
  <c r="AD531" i="3"/>
  <c r="L532" i="3"/>
  <c r="O532" i="3"/>
  <c r="M532" i="3"/>
  <c r="AC532" i="3"/>
  <c r="AD532" i="3"/>
  <c r="L533" i="3"/>
  <c r="AF533" i="3" s="1"/>
  <c r="M533" i="3"/>
  <c r="N533" i="3" s="1"/>
  <c r="AC533" i="3"/>
  <c r="AD533" i="3"/>
  <c r="L534" i="3"/>
  <c r="Z534" i="3" s="1"/>
  <c r="M534" i="3"/>
  <c r="N534" i="3" s="1"/>
  <c r="AC534" i="3"/>
  <c r="AD534" i="3"/>
  <c r="L535" i="3"/>
  <c r="M535" i="3"/>
  <c r="N535" i="3"/>
  <c r="AC535" i="3"/>
  <c r="AD535" i="3"/>
  <c r="L536" i="3"/>
  <c r="AF536" i="3"/>
  <c r="M536" i="3"/>
  <c r="N536" i="3"/>
  <c r="AC536" i="3"/>
  <c r="AD536" i="3"/>
  <c r="L537" i="3"/>
  <c r="AF537" i="3"/>
  <c r="M537" i="3"/>
  <c r="N537" i="3"/>
  <c r="AC537" i="3"/>
  <c r="AD537" i="3"/>
  <c r="L538" i="3"/>
  <c r="Z538" i="3"/>
  <c r="M538" i="3"/>
  <c r="AA538" i="3"/>
  <c r="AC538" i="3"/>
  <c r="AD538" i="3"/>
  <c r="L539" i="3"/>
  <c r="M539" i="3"/>
  <c r="N539" i="3" s="1"/>
  <c r="AC539" i="3"/>
  <c r="AD539" i="3"/>
  <c r="L540" i="3"/>
  <c r="Z540" i="3" s="1"/>
  <c r="M540" i="3"/>
  <c r="N540" i="3" s="1"/>
  <c r="AC540" i="3"/>
  <c r="AD540" i="3"/>
  <c r="L541" i="3"/>
  <c r="AB541" i="3" s="1"/>
  <c r="M541" i="3"/>
  <c r="AA541" i="3" s="1"/>
  <c r="AC541" i="3"/>
  <c r="AD541" i="3"/>
  <c r="L542" i="3"/>
  <c r="AB542" i="3" s="1"/>
  <c r="M542" i="3"/>
  <c r="AA542" i="3" s="1"/>
  <c r="AC542" i="3"/>
  <c r="AD542" i="3"/>
  <c r="L543" i="3"/>
  <c r="M543" i="3"/>
  <c r="AA543" i="3"/>
  <c r="AC543" i="3"/>
  <c r="AD543" i="3"/>
  <c r="L544" i="3"/>
  <c r="AB544" i="3"/>
  <c r="M544" i="3"/>
  <c r="N544" i="3"/>
  <c r="AC544" i="3"/>
  <c r="AD544" i="3"/>
  <c r="L545" i="3"/>
  <c r="Z545" i="3"/>
  <c r="M545" i="3"/>
  <c r="AA545" i="3"/>
  <c r="AC545" i="3"/>
  <c r="AD545" i="3"/>
  <c r="L546" i="3"/>
  <c r="AB546" i="3"/>
  <c r="M546" i="3"/>
  <c r="N546" i="3"/>
  <c r="AC546" i="3"/>
  <c r="AD546" i="3"/>
  <c r="L548" i="3"/>
  <c r="AF548" i="3"/>
  <c r="M548" i="3"/>
  <c r="AA548" i="3"/>
  <c r="AC548" i="3"/>
  <c r="AD548" i="3"/>
  <c r="L549" i="3"/>
  <c r="AB549" i="3"/>
  <c r="M549" i="3"/>
  <c r="AA549" i="3"/>
  <c r="AC549" i="3"/>
  <c r="AD549" i="3"/>
  <c r="L550" i="3"/>
  <c r="AF550" i="3"/>
  <c r="M550" i="3"/>
  <c r="N550" i="3"/>
  <c r="AC550" i="3"/>
  <c r="AD550" i="3"/>
  <c r="L551" i="3"/>
  <c r="Z551" i="3"/>
  <c r="M551" i="3"/>
  <c r="N551" i="3"/>
  <c r="AC551" i="3"/>
  <c r="AD551" i="3"/>
  <c r="L552" i="3"/>
  <c r="AB552" i="3"/>
  <c r="M552" i="3"/>
  <c r="AA552" i="3"/>
  <c r="AC552" i="3"/>
  <c r="AD552" i="3"/>
  <c r="L553" i="3"/>
  <c r="Z553" i="3"/>
  <c r="M553" i="3"/>
  <c r="AA553" i="3"/>
  <c r="AC553" i="3"/>
  <c r="AD553" i="3"/>
  <c r="L554" i="3"/>
  <c r="AF554" i="3"/>
  <c r="M554" i="3"/>
  <c r="AA554" i="3"/>
  <c r="AC554" i="3"/>
  <c r="AD554" i="3"/>
  <c r="L555" i="3"/>
  <c r="Z555" i="3"/>
  <c r="M555" i="3"/>
  <c r="N555" i="3"/>
  <c r="AC555" i="3"/>
  <c r="AD555" i="3"/>
  <c r="L556" i="3"/>
  <c r="M556" i="3"/>
  <c r="AA556" i="3" s="1"/>
  <c r="AC556" i="3"/>
  <c r="AD556" i="3"/>
  <c r="L557" i="3"/>
  <c r="Z557" i="3" s="1"/>
  <c r="M557" i="3"/>
  <c r="N557" i="3" s="1"/>
  <c r="AC557" i="3"/>
  <c r="AD557" i="3"/>
  <c r="L558" i="3"/>
  <c r="AB558" i="3" s="1"/>
  <c r="M558" i="3"/>
  <c r="N558" i="3" s="1"/>
  <c r="AC558" i="3"/>
  <c r="AD558" i="3"/>
  <c r="L559" i="3"/>
  <c r="AF559" i="3" s="1"/>
  <c r="AF547" i="3" s="1"/>
  <c r="M559" i="3"/>
  <c r="AA559" i="3" s="1"/>
  <c r="AC559" i="3"/>
  <c r="AD559" i="3"/>
  <c r="L560" i="3"/>
  <c r="M560" i="3"/>
  <c r="AA560" i="3"/>
  <c r="AC560" i="3"/>
  <c r="AD560" i="3"/>
  <c r="L561" i="3"/>
  <c r="AF561" i="3"/>
  <c r="M561" i="3"/>
  <c r="AA561" i="3"/>
  <c r="AC561" i="3"/>
  <c r="AD561" i="3"/>
  <c r="L562" i="3"/>
  <c r="AF562" i="3"/>
  <c r="M562" i="3"/>
  <c r="AA562" i="3"/>
  <c r="AC562" i="3"/>
  <c r="AD562" i="3"/>
  <c r="L563" i="3"/>
  <c r="AF563" i="3"/>
  <c r="M563" i="3"/>
  <c r="N563" i="3"/>
  <c r="AC563" i="3"/>
  <c r="AD563" i="3"/>
  <c r="L564" i="3"/>
  <c r="AF564" i="3"/>
  <c r="M564" i="3"/>
  <c r="N564" i="3"/>
  <c r="AC564" i="3"/>
  <c r="AD564" i="3"/>
  <c r="L566" i="3"/>
  <c r="AB566" i="3"/>
  <c r="M566" i="3"/>
  <c r="AC566" i="3"/>
  <c r="AD566" i="3"/>
  <c r="L567" i="3"/>
  <c r="AB567" i="3" s="1"/>
  <c r="M567" i="3"/>
  <c r="AA567" i="3" s="1"/>
  <c r="AC567" i="3"/>
  <c r="AD567" i="3"/>
  <c r="L568" i="3"/>
  <c r="AB568" i="3" s="1"/>
  <c r="M568" i="3"/>
  <c r="AA568" i="3" s="1"/>
  <c r="AC568" i="3"/>
  <c r="AD568" i="3"/>
  <c r="L569" i="3"/>
  <c r="M569" i="3"/>
  <c r="N569" i="3"/>
  <c r="AC569" i="3"/>
  <c r="AD569" i="3"/>
  <c r="L570" i="3"/>
  <c r="O570" i="3"/>
  <c r="M570" i="3"/>
  <c r="N570" i="3"/>
  <c r="AC570" i="3"/>
  <c r="AD570" i="3"/>
  <c r="L571" i="3"/>
  <c r="Z571" i="3"/>
  <c r="M571" i="3"/>
  <c r="AA571" i="3"/>
  <c r="AC571" i="3"/>
  <c r="AD571" i="3"/>
  <c r="L572" i="3"/>
  <c r="Z572" i="3"/>
  <c r="M572" i="3"/>
  <c r="N572" i="3"/>
  <c r="AC572" i="3"/>
  <c r="AD572" i="3"/>
  <c r="L573" i="3"/>
  <c r="M573" i="3"/>
  <c r="N573" i="3" s="1"/>
  <c r="AC573" i="3"/>
  <c r="AD573" i="3"/>
  <c r="L574" i="3"/>
  <c r="M574" i="3"/>
  <c r="AA574" i="3"/>
  <c r="AC574" i="3"/>
  <c r="AD574" i="3"/>
  <c r="L575" i="3"/>
  <c r="AF575" i="3"/>
  <c r="M575" i="3"/>
  <c r="N575" i="3"/>
  <c r="AC575" i="3"/>
  <c r="AD575" i="3"/>
  <c r="L576" i="3"/>
  <c r="Z576" i="3"/>
  <c r="M576" i="3"/>
  <c r="N576" i="3"/>
  <c r="AC576" i="3"/>
  <c r="AD576" i="3"/>
  <c r="L577" i="3"/>
  <c r="AF577" i="3"/>
  <c r="M577" i="3"/>
  <c r="AA577" i="3"/>
  <c r="AC577" i="3"/>
  <c r="AD577" i="3"/>
  <c r="L578" i="3"/>
  <c r="AF578" i="3"/>
  <c r="M578" i="3"/>
  <c r="AA578" i="3"/>
  <c r="AC578" i="3"/>
  <c r="AD578" i="3"/>
  <c r="AC590" i="3"/>
  <c r="AC599" i="3"/>
  <c r="AB743" i="3"/>
  <c r="AC743" i="3"/>
  <c r="AD743" i="3"/>
  <c r="AB744" i="3"/>
  <c r="AC744" i="3"/>
  <c r="AD744" i="3"/>
  <c r="AB745" i="3"/>
  <c r="AC745" i="3"/>
  <c r="AD745" i="3"/>
  <c r="AB746" i="3"/>
  <c r="AC746" i="3"/>
  <c r="AD746" i="3"/>
  <c r="AB747" i="3"/>
  <c r="AC747" i="3"/>
  <c r="AD747" i="3"/>
  <c r="AB748" i="3"/>
  <c r="AC748" i="3"/>
  <c r="AD748" i="3"/>
  <c r="M753" i="3"/>
  <c r="N753" i="3"/>
  <c r="O753" i="3"/>
  <c r="AB753" i="3"/>
  <c r="AC753" i="3"/>
  <c r="AD753" i="3"/>
  <c r="M754" i="3"/>
  <c r="N754" i="3"/>
  <c r="O754" i="3"/>
  <c r="AB754" i="3"/>
  <c r="AC754" i="3"/>
  <c r="AD754" i="3"/>
  <c r="M755" i="3"/>
  <c r="N755" i="3"/>
  <c r="O755" i="3"/>
  <c r="AB755" i="3"/>
  <c r="AC755" i="3"/>
  <c r="AD755" i="3"/>
  <c r="M756" i="3"/>
  <c r="N756" i="3"/>
  <c r="O756" i="3"/>
  <c r="AB756" i="3"/>
  <c r="AC756" i="3"/>
  <c r="AD756" i="3"/>
  <c r="M757" i="3"/>
  <c r="N757" i="3"/>
  <c r="O757" i="3"/>
  <c r="AB757" i="3"/>
  <c r="AC757" i="3"/>
  <c r="AD757" i="3"/>
  <c r="M758" i="3"/>
  <c r="N758" i="3"/>
  <c r="O758" i="3"/>
  <c r="AB758" i="3"/>
  <c r="AC758" i="3"/>
  <c r="AD758" i="3"/>
  <c r="M759" i="3"/>
  <c r="N759" i="3"/>
  <c r="O759" i="3"/>
  <c r="AB759" i="3"/>
  <c r="AC759" i="3"/>
  <c r="AD759" i="3"/>
  <c r="M761" i="3"/>
  <c r="N761" i="3"/>
  <c r="O761" i="3"/>
  <c r="Z761" i="3"/>
  <c r="AD761" i="3"/>
  <c r="M762" i="3"/>
  <c r="N762" i="3" s="1"/>
  <c r="O762" i="3"/>
  <c r="Z762" i="3"/>
  <c r="AD762" i="3"/>
  <c r="M763" i="3"/>
  <c r="N763" i="3"/>
  <c r="O763" i="3"/>
  <c r="Z763" i="3"/>
  <c r="AD763" i="3"/>
  <c r="M764" i="3"/>
  <c r="N764" i="3" s="1"/>
  <c r="O764" i="3"/>
  <c r="Z764" i="3"/>
  <c r="AD764" i="3"/>
  <c r="M765" i="3"/>
  <c r="N765" i="3"/>
  <c r="O765" i="3"/>
  <c r="AB765" i="3"/>
  <c r="AC765" i="3"/>
  <c r="AD765" i="3"/>
  <c r="M766" i="3"/>
  <c r="N766" i="3"/>
  <c r="O766" i="3"/>
  <c r="AB766" i="3"/>
  <c r="AC766" i="3"/>
  <c r="AD766" i="3"/>
  <c r="M767" i="3"/>
  <c r="N767" i="3"/>
  <c r="O767" i="3"/>
  <c r="Z767" i="3"/>
  <c r="AB767" i="3"/>
  <c r="AC767" i="3"/>
  <c r="AD767" i="3"/>
  <c r="M768" i="3"/>
  <c r="N768" i="3" s="1"/>
  <c r="O768" i="3"/>
  <c r="AB768" i="3"/>
  <c r="AC768" i="3"/>
  <c r="AD768" i="3"/>
  <c r="M769" i="3"/>
  <c r="N769" i="3" s="1"/>
  <c r="O769" i="3"/>
  <c r="AB769" i="3"/>
  <c r="AC769" i="3"/>
  <c r="AD769" i="3"/>
  <c r="M770" i="3"/>
  <c r="N770" i="3" s="1"/>
  <c r="O770" i="3"/>
  <c r="Z770" i="3"/>
  <c r="AB770" i="3"/>
  <c r="AC770" i="3"/>
  <c r="AD770" i="3"/>
  <c r="M771" i="3"/>
  <c r="N771" i="3"/>
  <c r="O771" i="3"/>
  <c r="AB771" i="3"/>
  <c r="AC771" i="3"/>
  <c r="AD771" i="3"/>
  <c r="M772" i="3"/>
  <c r="N772" i="3"/>
  <c r="O772" i="3"/>
  <c r="AB772" i="3"/>
  <c r="AC772" i="3"/>
  <c r="AD772" i="3"/>
  <c r="M773" i="3"/>
  <c r="N773" i="3"/>
  <c r="O773" i="3"/>
  <c r="AB773" i="3"/>
  <c r="AC773" i="3"/>
  <c r="AD773" i="3"/>
  <c r="M774" i="3"/>
  <c r="N774" i="3"/>
  <c r="O774" i="3"/>
  <c r="AB774" i="3"/>
  <c r="AC774" i="3"/>
  <c r="AD774" i="3"/>
  <c r="M776" i="3"/>
  <c r="N776" i="3"/>
  <c r="Z776" i="3"/>
  <c r="M777" i="3"/>
  <c r="N777" i="3" s="1"/>
  <c r="O777" i="3"/>
  <c r="Z777" i="3"/>
  <c r="AD777" i="3"/>
  <c r="M778" i="3"/>
  <c r="N778" i="3"/>
  <c r="M779" i="3"/>
  <c r="N779" i="3"/>
  <c r="O779" i="3"/>
  <c r="Z779" i="3"/>
  <c r="AD779" i="3"/>
  <c r="M780" i="3"/>
  <c r="N780" i="3" s="1"/>
  <c r="O780" i="3"/>
  <c r="AB780" i="3"/>
  <c r="AC780" i="3"/>
  <c r="AD780" i="3"/>
  <c r="M781" i="3"/>
  <c r="N781" i="3" s="1"/>
  <c r="O781" i="3"/>
  <c r="AB781" i="3"/>
  <c r="AC781" i="3"/>
  <c r="AD781" i="3"/>
  <c r="M782" i="3"/>
  <c r="N782" i="3" s="1"/>
  <c r="O782" i="3"/>
  <c r="Z782" i="3"/>
  <c r="AB782" i="3"/>
  <c r="AC782" i="3"/>
  <c r="AD782" i="3"/>
  <c r="M783" i="3"/>
  <c r="N783" i="3"/>
  <c r="O783" i="3"/>
  <c r="AB783" i="3"/>
  <c r="AC783" i="3"/>
  <c r="AD783" i="3"/>
  <c r="M784" i="3"/>
  <c r="N784" i="3"/>
  <c r="O784" i="3"/>
  <c r="Z784" i="3"/>
  <c r="AB784" i="3"/>
  <c r="AC784" i="3"/>
  <c r="AD784" i="3"/>
  <c r="M785" i="3"/>
  <c r="N785" i="3" s="1"/>
  <c r="O785" i="3"/>
  <c r="AB785" i="3"/>
  <c r="AC785" i="3"/>
  <c r="AD785" i="3"/>
  <c r="M786" i="3"/>
  <c r="N786" i="3" s="1"/>
  <c r="O786" i="3"/>
  <c r="AB786" i="3"/>
  <c r="AC786" i="3"/>
  <c r="AD786" i="3"/>
  <c r="AB846" i="3"/>
  <c r="AC846" i="3"/>
  <c r="AD846" i="3"/>
  <c r="AB848" i="3"/>
  <c r="AC848" i="3"/>
  <c r="AD848" i="3"/>
  <c r="AB849" i="3"/>
  <c r="AC849" i="3"/>
  <c r="AD849" i="3"/>
  <c r="AB850" i="3"/>
  <c r="AC850" i="3"/>
  <c r="AD850" i="3"/>
  <c r="AB851" i="3"/>
  <c r="AC851" i="3"/>
  <c r="AD851" i="3"/>
  <c r="AB852" i="3"/>
  <c r="AC852" i="3"/>
  <c r="AD852" i="3"/>
  <c r="AB853" i="3"/>
  <c r="AC853" i="3"/>
  <c r="AD853" i="3"/>
  <c r="AB855" i="3"/>
  <c r="AC855" i="3"/>
  <c r="AD855" i="3"/>
  <c r="AB856" i="3"/>
  <c r="AC856" i="3"/>
  <c r="AD856" i="3"/>
  <c r="AB857" i="3"/>
  <c r="AC857" i="3"/>
  <c r="AD857" i="3"/>
  <c r="AB858" i="3"/>
  <c r="AC858" i="3"/>
  <c r="AD858" i="3"/>
  <c r="AB859" i="3"/>
  <c r="AC859" i="3"/>
  <c r="AD859" i="3"/>
  <c r="AB861" i="3"/>
  <c r="AC861" i="3"/>
  <c r="AD861" i="3"/>
  <c r="AB862" i="3"/>
  <c r="AC862" i="3"/>
  <c r="AD862" i="3"/>
  <c r="AB863" i="3"/>
  <c r="AC863" i="3"/>
  <c r="AD863" i="3"/>
  <c r="AB864" i="3"/>
  <c r="AC864" i="3"/>
  <c r="AD864" i="3"/>
  <c r="AB865" i="3"/>
  <c r="AC865" i="3"/>
  <c r="AD865" i="3"/>
  <c r="AB866" i="3"/>
  <c r="AC866" i="3"/>
  <c r="AD866" i="3"/>
  <c r="AB867" i="3"/>
  <c r="AC867" i="3"/>
  <c r="AD867" i="3"/>
  <c r="AB868" i="3"/>
  <c r="AC868" i="3"/>
  <c r="AD868" i="3"/>
  <c r="AB870" i="3"/>
  <c r="AC870" i="3"/>
  <c r="AD870" i="3"/>
  <c r="AB871" i="3"/>
  <c r="AC871" i="3"/>
  <c r="AD871" i="3"/>
  <c r="AB872" i="3"/>
  <c r="AC872" i="3"/>
  <c r="AD872" i="3"/>
  <c r="AB873" i="3"/>
  <c r="AC873" i="3"/>
  <c r="AD873" i="3"/>
  <c r="AB874" i="3"/>
  <c r="AC874" i="3"/>
  <c r="AD874" i="3"/>
  <c r="AB884" i="3"/>
  <c r="AC884" i="3"/>
  <c r="AD884" i="3"/>
  <c r="AB885" i="3"/>
  <c r="AC885" i="3"/>
  <c r="AD885" i="3"/>
  <c r="AB886" i="3"/>
  <c r="AC886" i="3"/>
  <c r="AD886" i="3"/>
  <c r="AB887" i="3"/>
  <c r="AC887" i="3"/>
  <c r="AD887" i="3"/>
  <c r="L260" i="3"/>
  <c r="AB260" i="3"/>
  <c r="X260" i="3"/>
  <c r="AC260" i="3"/>
  <c r="AD260" i="3"/>
  <c r="L261" i="3"/>
  <c r="AB261" i="3" s="1"/>
  <c r="X261" i="3"/>
  <c r="AC261" i="3"/>
  <c r="AD261" i="3"/>
  <c r="L262" i="3"/>
  <c r="AB262" i="3"/>
  <c r="X262" i="3"/>
  <c r="AC262" i="3"/>
  <c r="AD262" i="3"/>
  <c r="L263" i="3"/>
  <c r="AB263" i="3" s="1"/>
  <c r="X263" i="3"/>
  <c r="AC263" i="3"/>
  <c r="AD263" i="3"/>
  <c r="L264" i="3"/>
  <c r="AB264" i="3"/>
  <c r="X264" i="3"/>
  <c r="AC264" i="3"/>
  <c r="AD264" i="3"/>
  <c r="L265" i="3"/>
  <c r="AB265" i="3" s="1"/>
  <c r="X265" i="3"/>
  <c r="AC265" i="3"/>
  <c r="AD265" i="3"/>
  <c r="L267" i="3"/>
  <c r="AB267" i="3"/>
  <c r="X267" i="3"/>
  <c r="AC267" i="3"/>
  <c r="AD267" i="3"/>
  <c r="L268" i="3"/>
  <c r="AB268" i="3" s="1"/>
  <c r="X268" i="3"/>
  <c r="AC268" i="3"/>
  <c r="AD268" i="3"/>
  <c r="L269" i="3"/>
  <c r="AB269" i="3"/>
  <c r="X269" i="3"/>
  <c r="AC269" i="3"/>
  <c r="AD269" i="3"/>
  <c r="L270" i="3"/>
  <c r="AB270" i="3" s="1"/>
  <c r="X270" i="3"/>
  <c r="AC270" i="3"/>
  <c r="AD270" i="3"/>
  <c r="L273" i="3"/>
  <c r="AB273" i="3"/>
  <c r="X273" i="3"/>
  <c r="AC273" i="3"/>
  <c r="AD273" i="3"/>
  <c r="L274" i="3"/>
  <c r="AB274" i="3" s="1"/>
  <c r="X274" i="3"/>
  <c r="AC274" i="3"/>
  <c r="AD274" i="3"/>
  <c r="L275" i="3"/>
  <c r="AB275" i="3"/>
  <c r="X275" i="3"/>
  <c r="AC275" i="3"/>
  <c r="AD275" i="3"/>
  <c r="N5" i="7"/>
  <c r="W5" i="7"/>
  <c r="Y5" i="7"/>
  <c r="Z5" i="7"/>
  <c r="AA5" i="7"/>
  <c r="AA4" i="7" s="1"/>
  <c r="AB5" i="7"/>
  <c r="N12" i="7"/>
  <c r="W12" i="7"/>
  <c r="Z12" i="7"/>
  <c r="AA12" i="7"/>
  <c r="AA11" i="7" s="1"/>
  <c r="AB12" i="7"/>
  <c r="AD12" i="7"/>
  <c r="L14" i="7"/>
  <c r="Z14" i="7" s="1"/>
  <c r="Z13" i="7" s="1"/>
  <c r="AA14" i="7"/>
  <c r="AB14" i="7"/>
  <c r="L16" i="7"/>
  <c r="Z16" i="7"/>
  <c r="Z15" i="7" s="1"/>
  <c r="AA16" i="7"/>
  <c r="AA15" i="7" s="1"/>
  <c r="AB16" i="7"/>
  <c r="L18" i="7"/>
  <c r="Z18" i="7" s="1"/>
  <c r="Z17" i="7" s="1"/>
  <c r="M18" i="7"/>
  <c r="AA18" i="7"/>
  <c r="AB18" i="7"/>
  <c r="L20" i="7"/>
  <c r="Z20" i="7"/>
  <c r="Z19" i="7" s="1"/>
  <c r="M20" i="7"/>
  <c r="AA20" i="7"/>
  <c r="AA19" i="7"/>
  <c r="AB20" i="7"/>
  <c r="L21" i="7"/>
  <c r="Y21" i="7" s="1"/>
  <c r="M21" i="7"/>
  <c r="AA21" i="7"/>
  <c r="AB21" i="7"/>
  <c r="L22" i="7"/>
  <c r="Y22" i="7"/>
  <c r="M22" i="7"/>
  <c r="AA22" i="7"/>
  <c r="AB22" i="7"/>
  <c r="L23" i="7"/>
  <c r="N23" i="7" s="1"/>
  <c r="M23" i="7"/>
  <c r="AA23" i="7"/>
  <c r="AB23" i="7"/>
  <c r="Z24" i="7"/>
  <c r="AA24" i="7"/>
  <c r="N25" i="7"/>
  <c r="AB25" i="7"/>
  <c r="AD25" i="7"/>
  <c r="L27" i="7"/>
  <c r="Y27" i="7" s="1"/>
  <c r="M27" i="7"/>
  <c r="AA27" i="7"/>
  <c r="AB27" i="7"/>
  <c r="N39" i="7"/>
  <c r="Z39" i="7"/>
  <c r="AA39" i="7"/>
  <c r="AB39" i="7"/>
  <c r="N41" i="7"/>
  <c r="N33" i="7" s="1"/>
  <c r="Z41" i="7"/>
  <c r="AA41" i="7"/>
  <c r="AB41" i="7"/>
  <c r="Z45" i="7"/>
  <c r="AA45" i="7"/>
  <c r="N48" i="7"/>
  <c r="Z48" i="7"/>
  <c r="AA48" i="7"/>
  <c r="AB48" i="7"/>
  <c r="AA360" i="3"/>
  <c r="AB479" i="3"/>
  <c r="AA414" i="3"/>
  <c r="O358" i="3"/>
  <c r="AB358" i="3"/>
  <c r="AA62" i="3"/>
  <c r="AB355" i="3"/>
  <c r="N506" i="3"/>
  <c r="AB471" i="3"/>
  <c r="O491" i="3"/>
  <c r="N469" i="3"/>
  <c r="Z479" i="3"/>
  <c r="AF471" i="3"/>
  <c r="AB533" i="3"/>
  <c r="AB429" i="3"/>
  <c r="O106" i="3"/>
  <c r="AB71" i="3"/>
  <c r="AB477" i="3"/>
  <c r="Z470" i="3"/>
  <c r="AB146" i="3"/>
  <c r="AF146" i="3"/>
  <c r="AF472" i="3"/>
  <c r="AB144" i="3"/>
  <c r="AF479" i="3"/>
  <c r="AB474" i="3"/>
  <c r="AA362" i="3"/>
  <c r="O473" i="3"/>
  <c r="O487" i="3"/>
  <c r="AF460" i="3"/>
  <c r="AB460" i="3"/>
  <c r="O461" i="3"/>
  <c r="AB426" i="3"/>
  <c r="AA144" i="3"/>
  <c r="N197" i="3"/>
  <c r="O359" i="3"/>
  <c r="AB892" i="3"/>
  <c r="N34" i="7"/>
  <c r="Z11" i="7"/>
  <c r="Z23" i="7"/>
  <c r="Z21" i="7"/>
  <c r="Y23" i="7"/>
  <c r="Z4" i="7"/>
  <c r="AA17" i="7"/>
  <c r="AD22" i="7"/>
  <c r="AA13" i="7"/>
  <c r="AD11" i="7"/>
  <c r="Z22" i="7"/>
  <c r="N22" i="7"/>
  <c r="AD24" i="7"/>
  <c r="N14" i="7"/>
  <c r="N21" i="7"/>
  <c r="AD21" i="7"/>
  <c r="AA26" i="7"/>
  <c r="N620" i="3"/>
  <c r="O108" i="3"/>
  <c r="AA147" i="3"/>
  <c r="AA607" i="3"/>
  <c r="AB111" i="3"/>
  <c r="Z491" i="3"/>
  <c r="O70" i="3"/>
  <c r="O377" i="3"/>
  <c r="AF111" i="3"/>
  <c r="AB572" i="3"/>
  <c r="AF572" i="3"/>
  <c r="AB106" i="3"/>
  <c r="AF106" i="3"/>
  <c r="AF546" i="3"/>
  <c r="AA604" i="3"/>
  <c r="AA224" i="3"/>
  <c r="AF538" i="3"/>
  <c r="AB489" i="3"/>
  <c r="Z161" i="3"/>
  <c r="N502" i="3"/>
  <c r="AF576" i="3"/>
  <c r="O489" i="3"/>
  <c r="AA483" i="3"/>
  <c r="AF570" i="3"/>
  <c r="Z497" i="3"/>
  <c r="AB501" i="3"/>
  <c r="Z333" i="3"/>
  <c r="AA471" i="3"/>
  <c r="N225" i="3"/>
  <c r="AF555" i="3"/>
  <c r="Z160" i="3"/>
  <c r="AB555" i="3"/>
  <c r="N230" i="3"/>
  <c r="N226" i="3"/>
  <c r="AA617" i="3"/>
  <c r="N617" i="3"/>
  <c r="AB65" i="3"/>
  <c r="AB361" i="3"/>
  <c r="N561" i="3"/>
  <c r="AA597" i="3"/>
  <c r="N541" i="3"/>
  <c r="N648" i="3"/>
  <c r="AA12" i="3"/>
  <c r="AA601" i="3"/>
  <c r="AA635" i="3"/>
  <c r="AA636" i="3"/>
  <c r="N639" i="3"/>
  <c r="N645" i="3"/>
  <c r="AA811" i="3"/>
  <c r="AA810" i="3"/>
  <c r="AA806" i="3"/>
  <c r="AB576" i="3"/>
  <c r="N552" i="3"/>
  <c r="AA485" i="3"/>
  <c r="AF551" i="3"/>
  <c r="N189" i="3"/>
  <c r="AB461" i="3"/>
  <c r="O362" i="3"/>
  <c r="Z474" i="3"/>
  <c r="Z493" i="3"/>
  <c r="Z476" i="3"/>
  <c r="N548" i="3"/>
  <c r="AA63" i="3"/>
  <c r="AA605" i="3"/>
  <c r="AA488" i="3"/>
  <c r="O536" i="3"/>
  <c r="N467" i="3"/>
  <c r="AB493" i="3"/>
  <c r="AB534" i="3"/>
  <c r="N481" i="3"/>
  <c r="AA481" i="3"/>
  <c r="Z541" i="3"/>
  <c r="AB473" i="3"/>
  <c r="Z473" i="3"/>
  <c r="M332" i="3"/>
  <c r="N332" i="3" s="1"/>
  <c r="O332" i="3"/>
  <c r="N183" i="3"/>
  <c r="AA69" i="3"/>
  <c r="M140" i="3"/>
  <c r="AA140" i="3"/>
  <c r="M141" i="3"/>
  <c r="N141" i="3"/>
  <c r="N175" i="3"/>
  <c r="N193" i="3"/>
  <c r="AA595" i="3"/>
  <c r="N182" i="3"/>
  <c r="AC12" i="3"/>
  <c r="N794" i="3"/>
  <c r="N554" i="3"/>
  <c r="N793" i="3"/>
  <c r="N594" i="3"/>
  <c r="AA550" i="3"/>
  <c r="O546" i="3"/>
  <c r="M333" i="3"/>
  <c r="N333" i="3" s="1"/>
  <c r="N68" i="3"/>
  <c r="N545" i="3"/>
  <c r="AA496" i="3"/>
  <c r="AA65" i="3"/>
  <c r="N174" i="3"/>
  <c r="O204" i="3"/>
  <c r="Z203" i="3"/>
  <c r="O206" i="3"/>
  <c r="AA70" i="8"/>
  <c r="Z129" i="8"/>
  <c r="N136" i="8"/>
  <c r="AA141" i="8"/>
  <c r="AA164" i="8"/>
  <c r="N17" i="8"/>
  <c r="AF135" i="8"/>
  <c r="N143" i="8"/>
  <c r="AF106" i="8"/>
  <c r="AF136" i="8"/>
  <c r="Z135" i="8"/>
  <c r="Z139" i="8"/>
  <c r="O106" i="8"/>
  <c r="N592" i="3"/>
  <c r="AA139" i="8"/>
  <c r="AF134" i="8"/>
  <c r="O104" i="8"/>
  <c r="Z104" i="8"/>
  <c r="AB104" i="8"/>
  <c r="O498" i="3"/>
  <c r="Z498" i="3"/>
  <c r="AB498" i="3"/>
  <c r="N204" i="3"/>
  <c r="O509" i="3"/>
  <c r="N181" i="3"/>
  <c r="O503" i="3"/>
  <c r="AA684" i="3"/>
  <c r="AA681" i="3"/>
  <c r="AA656" i="3"/>
  <c r="N659" i="3"/>
  <c r="N657" i="3"/>
  <c r="AA686" i="3"/>
  <c r="N654" i="3"/>
  <c r="N680" i="3"/>
  <c r="N688" i="3"/>
  <c r="N651" i="3"/>
  <c r="N660" i="3"/>
  <c r="N693" i="3"/>
  <c r="N691" i="3"/>
  <c r="Z27" i="7"/>
  <c r="Z26" i="7"/>
  <c r="AA629" i="3"/>
  <c r="Z489" i="3"/>
  <c r="AA631" i="3"/>
  <c r="AA627" i="3"/>
  <c r="N201" i="3"/>
  <c r="N156" i="8"/>
  <c r="N237" i="3"/>
  <c r="N235" i="3"/>
  <c r="N238" i="3"/>
  <c r="N236" i="3"/>
  <c r="N233" i="3"/>
  <c r="AC749" i="3"/>
  <c r="AA232" i="3"/>
  <c r="AB491" i="3"/>
  <c r="Z533" i="3"/>
  <c r="N616" i="3"/>
  <c r="AA240" i="3"/>
  <c r="N613" i="3"/>
  <c r="N792" i="3"/>
  <c r="AA809" i="3"/>
  <c r="Z50" i="3"/>
  <c r="AA507" i="3"/>
  <c r="N507" i="3"/>
  <c r="AA7" i="3"/>
  <c r="AF63" i="3"/>
  <c r="O63" i="3"/>
  <c r="AB63" i="3"/>
  <c r="N503" i="3"/>
  <c r="AF574" i="3"/>
  <c r="Z574" i="3"/>
  <c r="AB574" i="3"/>
  <c r="N489" i="3"/>
  <c r="AA489" i="3"/>
  <c r="AF532" i="3"/>
  <c r="AF469" i="3"/>
  <c r="Z469" i="3"/>
  <c r="AB469" i="3"/>
  <c r="O469" i="3"/>
  <c r="AA106" i="3"/>
  <c r="AA105" i="3" s="1"/>
  <c r="N135" i="8"/>
  <c r="AA118" i="8"/>
  <c r="Z122" i="8"/>
  <c r="O70" i="8"/>
  <c r="N107" i="8"/>
  <c r="Z125" i="8"/>
  <c r="N593" i="3"/>
  <c r="N584" i="3"/>
  <c r="AA581" i="3"/>
  <c r="AA580" i="3"/>
  <c r="N583" i="3"/>
  <c r="N624" i="3"/>
  <c r="AA623" i="3"/>
  <c r="N625" i="3"/>
  <c r="AA703" i="3"/>
  <c r="AA698" i="3"/>
  <c r="AD20" i="7"/>
  <c r="Y20" i="7"/>
  <c r="N20" i="7"/>
  <c r="Y16" i="7"/>
  <c r="N16" i="7"/>
  <c r="N114" i="3"/>
  <c r="N702" i="3"/>
  <c r="O416" i="3"/>
  <c r="N87" i="3"/>
  <c r="N195" i="3"/>
  <c r="AB497" i="3"/>
  <c r="O466" i="3"/>
  <c r="AA85" i="3"/>
  <c r="Z408" i="3"/>
  <c r="O488" i="3"/>
  <c r="O542" i="3"/>
  <c r="N88" i="3"/>
  <c r="N495" i="3"/>
  <c r="AF466" i="3"/>
  <c r="AB458" i="3"/>
  <c r="N148" i="3"/>
  <c r="AA86" i="3"/>
  <c r="M53" i="3"/>
  <c r="N53" i="3"/>
  <c r="AA374" i="3"/>
  <c r="Z158" i="3"/>
  <c r="AB538" i="3"/>
  <c r="Z536" i="3"/>
  <c r="AB540" i="3"/>
  <c r="O538" i="3"/>
  <c r="N612" i="3"/>
  <c r="Z542" i="3"/>
  <c r="O113" i="3"/>
  <c r="Z466" i="3"/>
  <c r="AA557" i="3"/>
  <c r="N473" i="3"/>
  <c r="AF416" i="3"/>
  <c r="AB488" i="3"/>
  <c r="AB468" i="3"/>
  <c r="AF540" i="3"/>
  <c r="AB374" i="3"/>
  <c r="AB113" i="3"/>
  <c r="AB152" i="3"/>
  <c r="Z468" i="3"/>
  <c r="O53" i="3"/>
  <c r="AF542" i="3"/>
  <c r="AB536" i="3"/>
  <c r="AB412" i="3"/>
  <c r="O458" i="3"/>
  <c r="AF545" i="3"/>
  <c r="Z412" i="3"/>
  <c r="AF468" i="3"/>
  <c r="N476" i="3"/>
  <c r="AA563" i="3"/>
  <c r="AF488" i="3"/>
  <c r="O497" i="3"/>
  <c r="AF510" i="3"/>
  <c r="Z416" i="3"/>
  <c r="N618" i="3"/>
  <c r="AF470" i="3"/>
  <c r="Z414" i="3"/>
  <c r="AB494" i="3"/>
  <c r="AB416" i="3"/>
  <c r="O510" i="3"/>
  <c r="AA658" i="3"/>
  <c r="AA585" i="3"/>
  <c r="Z134" i="8"/>
  <c r="O134" i="8"/>
  <c r="O136" i="8"/>
  <c r="AF138" i="8"/>
  <c r="O142" i="8"/>
  <c r="Z180" i="8"/>
  <c r="Z186" i="8"/>
  <c r="AA151" i="8"/>
  <c r="Z167" i="8"/>
  <c r="O167" i="8"/>
  <c r="Z169" i="8"/>
  <c r="O169" i="8"/>
  <c r="AF122" i="8"/>
  <c r="O122" i="8"/>
  <c r="AF150" i="8"/>
  <c r="O150" i="8"/>
  <c r="O135" i="8"/>
  <c r="AF125" i="8"/>
  <c r="O125" i="8"/>
  <c r="AA125" i="8"/>
  <c r="Z143" i="8"/>
  <c r="O170" i="8"/>
  <c r="AF151" i="8"/>
  <c r="AA132" i="8"/>
  <c r="N23" i="8"/>
  <c r="O111" i="8"/>
  <c r="N182" i="8"/>
  <c r="N568" i="3"/>
  <c r="AF68" i="3"/>
  <c r="AB64" i="3"/>
  <c r="O68" i="3"/>
  <c r="O64" i="3"/>
  <c r="AB66" i="3"/>
  <c r="AB356" i="3"/>
  <c r="N482" i="3"/>
  <c r="N549" i="3"/>
  <c r="AB503" i="3"/>
  <c r="AA413" i="3"/>
  <c r="AB509" i="3"/>
  <c r="N542" i="3"/>
  <c r="N145" i="3"/>
  <c r="N578" i="3"/>
  <c r="AA536" i="3"/>
  <c r="AA487" i="3"/>
  <c r="AB70" i="3"/>
  <c r="AA534" i="3"/>
  <c r="N151" i="3"/>
  <c r="AA588" i="3"/>
  <c r="N598" i="3"/>
  <c r="N242" i="3"/>
  <c r="AA217" i="3"/>
  <c r="AA216" i="3" s="1"/>
  <c r="AA218" i="3"/>
  <c r="AA219" i="3"/>
  <c r="N220" i="3"/>
  <c r="N216" i="3" s="1"/>
  <c r="AB392" i="3"/>
  <c r="N628" i="3"/>
  <c r="N643" i="3"/>
  <c r="AB365" i="3"/>
  <c r="N602" i="3"/>
  <c r="AF110" i="3"/>
  <c r="AA638" i="3"/>
  <c r="AA152" i="3"/>
  <c r="Z567" i="3"/>
  <c r="O533" i="3"/>
  <c r="AF69" i="3"/>
  <c r="O357" i="3"/>
  <c r="O545" i="3"/>
  <c r="AB545" i="3"/>
  <c r="N626" i="3"/>
  <c r="AF61" i="3"/>
  <c r="O413" i="3"/>
  <c r="O419" i="3"/>
  <c r="AB408" i="3"/>
  <c r="AF541" i="3"/>
  <c r="Z413" i="3"/>
  <c r="AF567" i="3"/>
  <c r="N615" i="3"/>
  <c r="N190" i="3"/>
  <c r="O61" i="3"/>
  <c r="AA223" i="3"/>
  <c r="N498" i="3"/>
  <c r="AA795" i="3"/>
  <c r="O541" i="3"/>
  <c r="AB79" i="3"/>
  <c r="AA71" i="3"/>
  <c r="AA551" i="3"/>
  <c r="O370" i="3"/>
  <c r="AB370" i="3"/>
  <c r="AB372" i="3"/>
  <c r="O360" i="3"/>
  <c r="AA661" i="3"/>
  <c r="AA540" i="3"/>
  <c r="AA412" i="3"/>
  <c r="Z425" i="3"/>
  <c r="O414" i="3"/>
  <c r="O412" i="3"/>
  <c r="AB425" i="3"/>
  <c r="AA372" i="3"/>
  <c r="O502" i="3"/>
  <c r="N553" i="3"/>
  <c r="AA107" i="3"/>
  <c r="O368" i="3"/>
  <c r="O372" i="3"/>
  <c r="AA805" i="3"/>
  <c r="N492" i="3"/>
  <c r="AB502" i="3"/>
  <c r="AB376" i="3"/>
  <c r="O500" i="3"/>
  <c r="O409" i="3"/>
  <c r="Z559" i="3"/>
  <c r="AA546" i="3"/>
  <c r="AB414" i="3"/>
  <c r="AB500" i="3"/>
  <c r="AB559" i="3"/>
  <c r="AB557" i="3"/>
  <c r="N664" i="3"/>
  <c r="AF120" i="8"/>
  <c r="O28" i="8"/>
  <c r="N27" i="8"/>
  <c r="N25" i="8"/>
  <c r="N15" i="8"/>
  <c r="AA179" i="8"/>
  <c r="N28" i="8"/>
  <c r="Z136" i="8"/>
  <c r="AF132" i="8"/>
  <c r="AF139" i="8"/>
  <c r="AB70" i="8"/>
  <c r="AB65" i="8" s="1"/>
  <c r="AB109" i="8"/>
  <c r="AA110" i="8"/>
  <c r="AF118" i="8"/>
  <c r="O120" i="8"/>
  <c r="O118" i="8"/>
  <c r="Z138" i="8"/>
  <c r="AF142" i="8"/>
  <c r="Z132" i="8"/>
  <c r="O129" i="8"/>
  <c r="O163" i="8"/>
  <c r="N21" i="8"/>
  <c r="AA128" i="8"/>
  <c r="AA137" i="8"/>
  <c r="AF162" i="8"/>
  <c r="N591" i="3"/>
  <c r="N149" i="8"/>
  <c r="Z106" i="8"/>
  <c r="N190" i="8"/>
  <c r="AF127" i="8"/>
  <c r="Z141" i="8"/>
  <c r="N157" i="8"/>
  <c r="AF161" i="8"/>
  <c r="O27" i="8"/>
  <c r="N689" i="3"/>
  <c r="O534" i="3"/>
  <c r="N663" i="3"/>
  <c r="N114" i="8"/>
  <c r="O114" i="8"/>
  <c r="Z114" i="8"/>
  <c r="N160" i="8"/>
  <c r="N175" i="8"/>
  <c r="AF160" i="8"/>
  <c r="N183" i="8"/>
  <c r="Z36" i="7"/>
  <c r="O331" i="3"/>
  <c r="AA569" i="3"/>
  <c r="AF66" i="3"/>
  <c r="N501" i="3"/>
  <c r="O483" i="3"/>
  <c r="O490" i="3"/>
  <c r="AB530" i="3"/>
  <c r="N634" i="3"/>
  <c r="AA813" i="3"/>
  <c r="O474" i="3"/>
  <c r="AB508" i="3"/>
  <c r="AF464" i="3"/>
  <c r="N567" i="3"/>
  <c r="AF534" i="3"/>
  <c r="AC411" i="3"/>
  <c r="AA239" i="3"/>
  <c r="AF571" i="3"/>
  <c r="Z558" i="3"/>
  <c r="AB410" i="3"/>
  <c r="N582" i="3"/>
  <c r="AB413" i="3"/>
  <c r="AB490" i="3"/>
  <c r="Z490" i="3"/>
  <c r="U150" i="3"/>
  <c r="AD150" i="3"/>
  <c r="N180" i="3"/>
  <c r="N621" i="3"/>
  <c r="N472" i="3"/>
  <c r="O540" i="3"/>
  <c r="AB368" i="3"/>
  <c r="AF558" i="3"/>
  <c r="AA590" i="3"/>
  <c r="AA493" i="3"/>
  <c r="N574" i="3"/>
  <c r="AF483" i="3"/>
  <c r="Z566" i="3"/>
  <c r="Z578" i="3"/>
  <c r="AA61" i="3"/>
  <c r="N562" i="3"/>
  <c r="O379" i="3"/>
  <c r="Z496" i="3"/>
  <c r="N227" i="3"/>
  <c r="AA478" i="3"/>
  <c r="N682" i="3"/>
  <c r="AF566" i="3"/>
  <c r="AB148" i="3"/>
  <c r="O50" i="3"/>
  <c r="N530" i="3"/>
  <c r="AF530" i="3"/>
  <c r="N475" i="3"/>
  <c r="O568" i="3"/>
  <c r="O565" i="3" s="1"/>
  <c r="AA474" i="3"/>
  <c r="AB571" i="3"/>
  <c r="N205" i="3"/>
  <c r="N222" i="3"/>
  <c r="AA531" i="3"/>
  <c r="O496" i="3"/>
  <c r="N188" i="3"/>
  <c r="AA491" i="3"/>
  <c r="N632" i="3"/>
  <c r="AA642" i="3"/>
  <c r="N112" i="3"/>
  <c r="AB496" i="3"/>
  <c r="AA415" i="3"/>
  <c r="AA555" i="3"/>
  <c r="Z485" i="3"/>
  <c r="O485" i="3"/>
  <c r="AB485" i="3"/>
  <c r="N191" i="3"/>
  <c r="AA376" i="3"/>
  <c r="AB406" i="3"/>
  <c r="O492" i="3"/>
  <c r="O467" i="3"/>
  <c r="AA141" i="3"/>
  <c r="AA537" i="3"/>
  <c r="N509" i="3"/>
  <c r="AA509" i="3"/>
  <c r="Z570" i="3"/>
  <c r="AB570" i="3"/>
  <c r="AB420" i="3"/>
  <c r="Z420" i="3"/>
  <c r="AB556" i="3"/>
  <c r="AF107" i="3"/>
  <c r="AF467" i="3"/>
  <c r="M52" i="3"/>
  <c r="N52" i="3" s="1"/>
  <c r="N202" i="3"/>
  <c r="N466" i="3"/>
  <c r="AA808" i="3"/>
  <c r="N808" i="3"/>
  <c r="O52" i="3"/>
  <c r="O420" i="3"/>
  <c r="AB463" i="3"/>
  <c r="N788" i="3"/>
  <c r="AA788" i="3"/>
  <c r="N662" i="3"/>
  <c r="N186" i="3"/>
  <c r="AA504" i="3"/>
  <c r="N504" i="3"/>
  <c r="N611" i="3"/>
  <c r="AA484" i="3"/>
  <c r="AA179" i="3"/>
  <c r="AA533" i="3"/>
  <c r="AB492" i="3"/>
  <c r="AF459" i="3"/>
  <c r="AB427" i="3"/>
  <c r="AF427" i="3"/>
  <c r="O112" i="3"/>
  <c r="AB112" i="3"/>
  <c r="N644" i="3"/>
  <c r="AA572" i="3"/>
  <c r="N494" i="3"/>
  <c r="AF65" i="3"/>
  <c r="Z492" i="3"/>
  <c r="O107" i="3"/>
  <c r="AB467" i="3"/>
  <c r="AA64" i="3"/>
  <c r="AA539" i="3"/>
  <c r="AF463" i="3"/>
  <c r="O459" i="3"/>
  <c r="AA228" i="3"/>
  <c r="N228" i="3"/>
  <c r="AB307" i="3"/>
  <c r="N307" i="3"/>
  <c r="AB577" i="3"/>
  <c r="O415" i="3"/>
  <c r="AF568" i="3"/>
  <c r="O504" i="3"/>
  <c r="N194" i="3"/>
  <c r="O501" i="3"/>
  <c r="AF426" i="3"/>
  <c r="AB475" i="3"/>
  <c r="Z568" i="3"/>
  <c r="AB504" i="3"/>
  <c r="AA480" i="3"/>
  <c r="AF475" i="3"/>
  <c r="O364" i="3"/>
  <c r="O334" i="3"/>
  <c r="AA185" i="3"/>
  <c r="AA176" i="3"/>
  <c r="AA610" i="3"/>
  <c r="AA603" i="3"/>
  <c r="N589" i="3"/>
  <c r="N699" i="3"/>
  <c r="AB415" i="3"/>
  <c r="AF544" i="3"/>
  <c r="Z577" i="3"/>
  <c r="AB418" i="3"/>
  <c r="O205" i="3"/>
  <c r="N559" i="3"/>
  <c r="AB364" i="3"/>
  <c r="O407" i="3"/>
  <c r="O506" i="3"/>
  <c r="AB476" i="3"/>
  <c r="AB334" i="3"/>
  <c r="AA500" i="3"/>
  <c r="AF477" i="3"/>
  <c r="O476" i="3"/>
  <c r="AF484" i="3"/>
  <c r="AB109" i="3"/>
  <c r="Z537" i="3"/>
  <c r="AB173" i="3"/>
  <c r="Z544" i="3"/>
  <c r="AA146" i="3"/>
  <c r="Z554" i="3"/>
  <c r="AB145" i="3"/>
  <c r="AA497" i="3"/>
  <c r="Z483" i="3"/>
  <c r="AB532" i="3"/>
  <c r="N683" i="3"/>
  <c r="M334" i="3"/>
  <c r="N334" i="3" s="1"/>
  <c r="AA535" i="3"/>
  <c r="AF553" i="3"/>
  <c r="AA614" i="3"/>
  <c r="O544" i="3"/>
  <c r="AB484" i="3"/>
  <c r="AB333" i="3"/>
  <c r="AB330" i="3"/>
  <c r="N543" i="3"/>
  <c r="AA153" i="3"/>
  <c r="AC649" i="3"/>
  <c r="N652" i="3"/>
  <c r="Z415" i="3"/>
  <c r="AA99" i="3"/>
  <c r="AA111" i="3"/>
  <c r="Z475" i="3"/>
  <c r="AB506" i="3"/>
  <c r="AB67" i="3"/>
  <c r="AB537" i="3"/>
  <c r="AF67" i="3"/>
  <c r="AB507" i="3"/>
  <c r="Z532" i="3"/>
  <c r="Z546" i="3"/>
  <c r="O484" i="3"/>
  <c r="O551" i="3"/>
  <c r="O547" i="3"/>
  <c r="AB554" i="3"/>
  <c r="Z477" i="3"/>
  <c r="AF549" i="3"/>
  <c r="N109" i="3"/>
  <c r="AA89" i="3"/>
  <c r="O508" i="3"/>
  <c r="N571" i="3"/>
  <c r="AB464" i="3"/>
  <c r="AA70" i="3"/>
  <c r="O471" i="3"/>
  <c r="O537" i="3"/>
  <c r="AA84" i="3"/>
  <c r="AA83" i="3" s="1"/>
  <c r="AB551" i="3"/>
  <c r="AB363" i="3"/>
  <c r="Z549" i="3"/>
  <c r="AB108" i="3"/>
  <c r="AA587" i="3"/>
  <c r="AC892" i="3"/>
  <c r="AA198" i="3"/>
  <c r="M51" i="3"/>
  <c r="N51" i="3"/>
  <c r="O51" i="3"/>
  <c r="N538" i="3"/>
  <c r="AA385" i="3"/>
  <c r="AC79" i="3"/>
  <c r="AB7" i="3"/>
  <c r="AC883" i="3"/>
  <c r="AC787" i="3"/>
  <c r="AC775" i="3"/>
  <c r="AC417" i="3"/>
  <c r="AC32" i="3"/>
  <c r="Z573" i="3"/>
  <c r="N32" i="3"/>
  <c r="AC608" i="3"/>
  <c r="AB553" i="3"/>
  <c r="AC760" i="3"/>
  <c r="AC854" i="3"/>
  <c r="AB760" i="3"/>
  <c r="AA4" i="3"/>
  <c r="AC19" i="3"/>
  <c r="AB883" i="3"/>
  <c r="O366" i="3"/>
  <c r="AA575" i="3"/>
  <c r="AC465" i="3"/>
  <c r="O421" i="3"/>
  <c r="N577" i="3"/>
  <c r="AF90" i="3"/>
  <c r="N701" i="3"/>
  <c r="N694" i="3"/>
  <c r="N110" i="3"/>
  <c r="AA110" i="3"/>
  <c r="AB153" i="3"/>
  <c r="U153" i="3"/>
  <c r="AD153" i="3"/>
  <c r="AA203" i="3"/>
  <c r="N203" i="3"/>
  <c r="N566" i="3"/>
  <c r="AA566" i="3"/>
  <c r="AA532" i="3"/>
  <c r="N532" i="3"/>
  <c r="AA149" i="3"/>
  <c r="N149" i="3"/>
  <c r="AA66" i="3"/>
  <c r="N66" i="3"/>
  <c r="O159" i="3"/>
  <c r="Z159" i="3"/>
  <c r="U147" i="3"/>
  <c r="AD147" i="3"/>
  <c r="AB147" i="3"/>
  <c r="AA690" i="3"/>
  <c r="N690" i="3"/>
  <c r="AF482" i="3"/>
  <c r="AB482" i="3"/>
  <c r="O482" i="3"/>
  <c r="Z482" i="3"/>
  <c r="AB480" i="3"/>
  <c r="O480" i="3"/>
  <c r="AF480" i="3"/>
  <c r="Z480" i="3"/>
  <c r="Z478" i="3"/>
  <c r="AF478" i="3"/>
  <c r="AB478" i="3"/>
  <c r="O478" i="3"/>
  <c r="N200" i="3"/>
  <c r="N199" i="3" s="1"/>
  <c r="AA200" i="3"/>
  <c r="Z569" i="3"/>
  <c r="AF569" i="3"/>
  <c r="AB569" i="3"/>
  <c r="AB560" i="3"/>
  <c r="AF560" i="3"/>
  <c r="Z560" i="3"/>
  <c r="Z543" i="3"/>
  <c r="AF543" i="3"/>
  <c r="AB543" i="3"/>
  <c r="O543" i="3"/>
  <c r="O535" i="3"/>
  <c r="AF535" i="3"/>
  <c r="AB535" i="3"/>
  <c r="O495" i="3"/>
  <c r="Z495" i="3"/>
  <c r="AF495" i="3"/>
  <c r="AB495" i="3"/>
  <c r="O493" i="3"/>
  <c r="AF493" i="3"/>
  <c r="N379" i="3"/>
  <c r="AB366" i="3"/>
  <c r="AA366" i="3"/>
  <c r="AC114" i="3"/>
  <c r="AA791" i="3"/>
  <c r="N791" i="3"/>
  <c r="N647" i="3"/>
  <c r="AA647" i="3"/>
  <c r="AA655" i="3"/>
  <c r="N655" i="3"/>
  <c r="AF507" i="3"/>
  <c r="O507" i="3"/>
  <c r="AF505" i="3"/>
  <c r="AB505" i="3"/>
  <c r="O505" i="3"/>
  <c r="N178" i="3"/>
  <c r="AA178" i="3"/>
  <c r="O369" i="3"/>
  <c r="AB369" i="3"/>
  <c r="AA369" i="3"/>
  <c r="AA371" i="3"/>
  <c r="O371" i="3"/>
  <c r="AB371" i="3"/>
  <c r="AA373" i="3"/>
  <c r="O373" i="3"/>
  <c r="AB373" i="3"/>
  <c r="Z375" i="3"/>
  <c r="O375" i="3"/>
  <c r="AB375" i="3"/>
  <c r="AA375" i="3"/>
  <c r="AB377" i="3"/>
  <c r="AA377" i="3"/>
  <c r="AA789" i="3"/>
  <c r="N789" i="3"/>
  <c r="AA685" i="3"/>
  <c r="N685" i="3"/>
  <c r="O422" i="3"/>
  <c r="AB422" i="3"/>
  <c r="N187" i="3"/>
  <c r="AA187" i="3"/>
  <c r="AA640" i="3"/>
  <c r="N640" i="3"/>
  <c r="AA665" i="3"/>
  <c r="N665" i="3"/>
  <c r="N511" i="3"/>
  <c r="N510" i="3"/>
  <c r="AA510" i="3"/>
  <c r="N43" i="3"/>
  <c r="AC7" i="3"/>
  <c r="N596" i="3"/>
  <c r="AA596" i="3"/>
  <c r="AF573" i="3"/>
  <c r="AB573" i="3"/>
  <c r="Z556" i="3"/>
  <c r="AF556" i="3"/>
  <c r="AF539" i="3"/>
  <c r="O539" i="3"/>
  <c r="AB539" i="3"/>
  <c r="Z539" i="3"/>
  <c r="AA196" i="3"/>
  <c r="N196" i="3"/>
  <c r="AF231" i="3"/>
  <c r="AC354" i="3"/>
  <c r="AB411" i="3"/>
  <c r="AB847" i="3"/>
  <c r="AB845" i="3"/>
  <c r="AB843" i="3" s="1"/>
  <c r="O470" i="3"/>
  <c r="N241" i="3"/>
  <c r="N28" i="7"/>
  <c r="Y28" i="7"/>
  <c r="AA24" i="8"/>
  <c r="AA490" i="3"/>
  <c r="AA573" i="3"/>
  <c r="AA378" i="3"/>
  <c r="AA544" i="3"/>
  <c r="AF62" i="3"/>
  <c r="N609" i="3"/>
  <c r="N608" i="3" s="1"/>
  <c r="AA807" i="3"/>
  <c r="AA790" i="3"/>
  <c r="AF109" i="3"/>
  <c r="N150" i="3"/>
  <c r="N90" i="3"/>
  <c r="AC687" i="3"/>
  <c r="AA283" i="3"/>
  <c r="AA814" i="3"/>
  <c r="N556" i="3"/>
  <c r="N140" i="3"/>
  <c r="AA576" i="3"/>
  <c r="Z494" i="3"/>
  <c r="AA477" i="3"/>
  <c r="Z487" i="3"/>
  <c r="AB472" i="3"/>
  <c r="AA606" i="3"/>
  <c r="AC259" i="3"/>
  <c r="AC860" i="3"/>
  <c r="AA411" i="3"/>
  <c r="AC131" i="3"/>
  <c r="AC385" i="3"/>
  <c r="AC335" i="3"/>
  <c r="AA570" i="3"/>
  <c r="O481" i="3"/>
  <c r="N560" i="3"/>
  <c r="AB487" i="3"/>
  <c r="AB486" i="3"/>
  <c r="AA564" i="3"/>
  <c r="O462" i="3"/>
  <c r="AB854" i="3"/>
  <c r="AC184" i="3"/>
  <c r="AB149" i="3"/>
  <c r="AC600" i="3"/>
  <c r="AF531" i="3"/>
  <c r="Z548" i="3"/>
  <c r="AF552" i="3"/>
  <c r="AB550" i="3"/>
  <c r="AA630" i="3"/>
  <c r="N192" i="3"/>
  <c r="N692" i="3"/>
  <c r="M142" i="3"/>
  <c r="N142" i="3" s="1"/>
  <c r="AC847" i="3"/>
  <c r="AC845" i="3" s="1"/>
  <c r="O531" i="3"/>
  <c r="O529" i="3"/>
  <c r="AB548" i="3"/>
  <c r="Z552" i="3"/>
  <c r="N234" i="3"/>
  <c r="Z575" i="3"/>
  <c r="AA229" i="3"/>
  <c r="Z481" i="3"/>
  <c r="AB378" i="3"/>
  <c r="Z550" i="3"/>
  <c r="O69" i="3"/>
  <c r="O62" i="3"/>
  <c r="AF494" i="3"/>
  <c r="AA177" i="3"/>
  <c r="AA646" i="3"/>
  <c r="AA470" i="3"/>
  <c r="AC486" i="3"/>
  <c r="AC99" i="3"/>
  <c r="AB90" i="3"/>
  <c r="AC71" i="3"/>
  <c r="AC221" i="3"/>
  <c r="AC633" i="3"/>
  <c r="N162" i="3"/>
  <c r="AA162" i="3"/>
  <c r="AC679" i="3"/>
  <c r="Z628" i="3"/>
  <c r="AC307" i="3"/>
  <c r="AC586" i="3"/>
  <c r="Z531" i="3"/>
  <c r="N700" i="3"/>
  <c r="N108" i="3"/>
  <c r="AA637" i="3"/>
  <c r="AB481" i="3"/>
  <c r="AB575" i="3"/>
  <c r="AA619" i="3"/>
  <c r="AA206" i="3"/>
  <c r="N479" i="3"/>
  <c r="AA468" i="3"/>
  <c r="AA113" i="3"/>
  <c r="AB869" i="3"/>
  <c r="AB131" i="3"/>
  <c r="AC622" i="3"/>
  <c r="AF221" i="3"/>
  <c r="N67" i="3"/>
  <c r="AA653" i="3"/>
  <c r="O472" i="3"/>
  <c r="AA558" i="3"/>
  <c r="AF462" i="3"/>
  <c r="N508" i="3"/>
  <c r="AA505" i="3"/>
  <c r="AB379" i="3"/>
  <c r="AC330" i="3"/>
  <c r="AC43" i="3"/>
  <c r="AF430" i="3"/>
  <c r="Z660" i="3"/>
  <c r="Z631" i="3"/>
  <c r="AF661" i="3"/>
  <c r="Z654" i="3"/>
  <c r="AF629" i="3"/>
  <c r="AA276" i="3"/>
  <c r="Z657" i="3"/>
  <c r="AF632" i="3"/>
  <c r="AC814" i="3"/>
  <c r="AA142" i="3"/>
  <c r="AA136" i="3"/>
  <c r="N136" i="3"/>
  <c r="AB860" i="3"/>
  <c r="AB4" i="3"/>
  <c r="AC896" i="3"/>
  <c r="AC579" i="3"/>
  <c r="N385" i="3"/>
  <c r="AA60" i="3"/>
  <c r="AC565" i="3"/>
  <c r="AC4" i="3"/>
  <c r="AC547" i="3"/>
  <c r="AC641" i="3"/>
  <c r="N392" i="3"/>
  <c r="AF787" i="3"/>
  <c r="AF626" i="3"/>
  <c r="AC457" i="3"/>
  <c r="AC804" i="3"/>
  <c r="AA379" i="3"/>
  <c r="AA90" i="3"/>
  <c r="AC173" i="3"/>
  <c r="N71" i="3"/>
  <c r="Z656" i="3"/>
  <c r="AA511" i="3"/>
  <c r="AB99" i="3"/>
  <c r="AC379" i="3"/>
  <c r="AB184" i="3"/>
  <c r="AC207" i="3"/>
  <c r="AC405" i="3"/>
  <c r="AC400" i="3" s="1"/>
  <c r="AC143" i="3"/>
  <c r="AC60" i="3"/>
  <c r="AA114" i="3"/>
  <c r="AC216" i="3"/>
  <c r="AC105" i="3"/>
  <c r="AB43" i="3"/>
  <c r="O704" i="3"/>
  <c r="O687" i="3"/>
  <c r="O679" i="3"/>
  <c r="O674" i="3" s="1"/>
  <c r="O649" i="3" s="1"/>
  <c r="O641" i="3" s="1"/>
  <c r="O633" i="3" s="1"/>
  <c r="O622" i="3" s="1"/>
  <c r="O608" i="3" s="1"/>
  <c r="O600" i="3" s="1"/>
  <c r="O586" i="3" s="1"/>
  <c r="O579" i="3" s="1"/>
  <c r="AC704" i="3"/>
  <c r="AC869" i="3"/>
  <c r="AC90" i="3"/>
  <c r="AB32" i="3"/>
  <c r="AC311" i="3"/>
  <c r="AB775" i="3"/>
  <c r="AB704" i="3" s="1"/>
  <c r="AB687" i="3" s="1"/>
  <c r="AB679" i="3" s="1"/>
  <c r="AB674" i="3" s="1"/>
  <c r="AB649" i="3" s="1"/>
  <c r="AB641" i="3" s="1"/>
  <c r="AB633" i="3" s="1"/>
  <c r="AB622" i="3" s="1"/>
  <c r="AB608" i="3" s="1"/>
  <c r="AB600" i="3" s="1"/>
  <c r="AB586" i="3" s="1"/>
  <c r="AB579" i="3" s="1"/>
  <c r="AA392" i="3"/>
  <c r="N283" i="3"/>
  <c r="AF511" i="3"/>
  <c r="AF804" i="3"/>
  <c r="AC499" i="3"/>
  <c r="AF114" i="3"/>
  <c r="AC266" i="3"/>
  <c r="AC529" i="3"/>
  <c r="O511" i="3"/>
  <c r="N207" i="3"/>
  <c r="AC243" i="3"/>
  <c r="Z659" i="3"/>
  <c r="AB24" i="3"/>
  <c r="O174" i="8"/>
  <c r="N812" i="3"/>
  <c r="N299" i="3"/>
  <c r="N295" i="3"/>
  <c r="AF143" i="3"/>
  <c r="N146" i="8"/>
  <c r="AA297" i="3"/>
  <c r="N303" i="3"/>
  <c r="N54" i="3"/>
  <c r="AA804" i="3"/>
  <c r="AB367" i="3"/>
  <c r="AF60" i="3"/>
  <c r="O392" i="3"/>
  <c r="AC342" i="3"/>
  <c r="AF557" i="3"/>
  <c r="AF687" i="3"/>
  <c r="AA600" i="3"/>
  <c r="AB578" i="3"/>
  <c r="AA304" i="3"/>
  <c r="AA294" i="3" s="1"/>
  <c r="N296" i="3"/>
  <c r="N294" i="3" s="1"/>
  <c r="AB277" i="3"/>
  <c r="N301" i="3"/>
  <c r="N650" i="3"/>
  <c r="Z131" i="8"/>
  <c r="O105" i="8"/>
  <c r="AF115" i="8"/>
  <c r="AF137" i="8"/>
  <c r="AF131" i="8"/>
  <c r="N172" i="8"/>
  <c r="N134" i="8"/>
  <c r="O131" i="8"/>
  <c r="N158" i="8"/>
  <c r="AA8" i="8"/>
  <c r="AA113" i="8"/>
  <c r="AB105" i="8"/>
  <c r="N138" i="8"/>
  <c r="Z113" i="8"/>
  <c r="O115" i="8"/>
  <c r="AF128" i="8"/>
  <c r="N193" i="8"/>
  <c r="O113" i="8"/>
  <c r="Z137" i="8"/>
  <c r="AF105" i="8"/>
  <c r="N104" i="8"/>
  <c r="N142" i="8"/>
  <c r="AF141" i="8"/>
  <c r="AF110" i="8"/>
  <c r="AB110" i="8"/>
  <c r="O117" i="8"/>
  <c r="O157" i="8"/>
  <c r="Z117" i="8"/>
  <c r="N144" i="8"/>
  <c r="Z19" i="8"/>
  <c r="N105" i="8"/>
  <c r="N163" i="8"/>
  <c r="O178" i="8"/>
  <c r="O185" i="8"/>
  <c r="AA22" i="8"/>
  <c r="AA150" i="8"/>
  <c r="AF117" i="8"/>
  <c r="AF121" i="8"/>
  <c r="AA123" i="8"/>
  <c r="AF143" i="8"/>
  <c r="N111" i="8"/>
  <c r="O143" i="8"/>
  <c r="AF164" i="8"/>
  <c r="Z187" i="8"/>
  <c r="AA129" i="8"/>
  <c r="Z128" i="8"/>
  <c r="AA133" i="8"/>
  <c r="Z181" i="8"/>
  <c r="Z110" i="8"/>
  <c r="N140" i="8"/>
  <c r="Z121" i="8"/>
  <c r="N192" i="8"/>
  <c r="Z189" i="8"/>
  <c r="O155" i="8"/>
  <c r="O166" i="8"/>
  <c r="AF499" i="3"/>
  <c r="AA499" i="3"/>
  <c r="N679" i="3"/>
  <c r="N499" i="3"/>
  <c r="AF600" i="3"/>
  <c r="O499" i="3"/>
  <c r="AF457" i="3"/>
  <c r="N687" i="3"/>
  <c r="AA633" i="3"/>
  <c r="AB354" i="3"/>
  <c r="AB352" i="3" s="1"/>
  <c r="AB349" i="3"/>
  <c r="N335" i="3"/>
  <c r="N600" i="3"/>
  <c r="N300" i="3"/>
  <c r="AC277" i="3"/>
  <c r="X650" i="3"/>
  <c r="N787" i="3"/>
  <c r="AB105" i="3"/>
  <c r="N486" i="3"/>
  <c r="AF423" i="3"/>
  <c r="AF83" i="3"/>
  <c r="AF105" i="3"/>
  <c r="N302" i="3"/>
  <c r="AA641" i="3"/>
  <c r="O457" i="3"/>
  <c r="AB529" i="3"/>
  <c r="AA143" i="3"/>
  <c r="N154" i="3"/>
  <c r="N221" i="3"/>
  <c r="N342" i="3"/>
  <c r="N173" i="3"/>
  <c r="N775" i="3"/>
  <c r="AF565" i="3"/>
  <c r="N547" i="3"/>
  <c r="N529" i="3"/>
  <c r="N804" i="3"/>
  <c r="AF586" i="3"/>
  <c r="AA221" i="3"/>
  <c r="AF649" i="3"/>
  <c r="AA687" i="3"/>
  <c r="AB499" i="3"/>
  <c r="N367" i="3"/>
  <c r="AF633" i="3"/>
  <c r="AB143" i="3"/>
  <c r="AA679" i="3"/>
  <c r="AB547" i="3"/>
  <c r="AA586" i="3"/>
  <c r="AA486" i="3"/>
  <c r="N231" i="3"/>
  <c r="N105" i="3"/>
  <c r="AB417" i="3"/>
  <c r="AB457" i="3"/>
  <c r="AB565" i="3"/>
  <c r="N184" i="3"/>
  <c r="AA749" i="3"/>
  <c r="AF622" i="3"/>
  <c r="N465" i="3"/>
  <c r="N649" i="3"/>
  <c r="O486" i="3"/>
  <c r="AB465" i="3"/>
  <c r="AA17" i="3"/>
  <c r="AB266" i="3"/>
  <c r="N138" i="3"/>
  <c r="AA138" i="3"/>
  <c r="N349" i="3"/>
  <c r="N814" i="3"/>
  <c r="AF486" i="3"/>
  <c r="N760" i="3"/>
  <c r="AA134" i="3"/>
  <c r="N134" i="3"/>
  <c r="N131" i="3" s="1"/>
  <c r="N139" i="3"/>
  <c r="AA139" i="3"/>
  <c r="AA199" i="3"/>
  <c r="AA565" i="3"/>
  <c r="AA529" i="3"/>
  <c r="AA608" i="3"/>
  <c r="N132" i="3"/>
  <c r="AA132" i="3"/>
  <c r="AA131" i="3" s="1"/>
  <c r="N579" i="3"/>
  <c r="AA243" i="3"/>
  <c r="AF529" i="3"/>
  <c r="AB259" i="3"/>
  <c r="N143" i="3"/>
  <c r="AF608" i="3"/>
  <c r="AA133" i="3"/>
  <c r="N133" i="3"/>
  <c r="N641" i="3"/>
  <c r="AA579" i="3"/>
  <c r="N622" i="3"/>
  <c r="AC843" i="3"/>
  <c r="O367" i="3"/>
  <c r="N565" i="3"/>
  <c r="AA547" i="3"/>
  <c r="AA173" i="3"/>
  <c r="N135" i="3"/>
  <c r="AA135" i="3"/>
  <c r="N60" i="3"/>
  <c r="AA184" i="3"/>
  <c r="AA649" i="3"/>
  <c r="N49" i="3"/>
  <c r="AF465" i="3"/>
  <c r="AB60" i="3"/>
  <c r="N586" i="3"/>
  <c r="N354" i="3"/>
  <c r="AA137" i="3"/>
  <c r="N137" i="3"/>
  <c r="N12" i="10"/>
  <c r="O12" i="10"/>
  <c r="N38" i="10"/>
  <c r="AA33" i="10"/>
  <c r="AA32" i="10"/>
  <c r="N36" i="10"/>
  <c r="N35" i="10" s="1"/>
  <c r="AA29" i="8"/>
  <c r="N26" i="8"/>
  <c r="N47" i="10"/>
  <c r="N44" i="10"/>
  <c r="N19" i="10"/>
  <c r="N124" i="8"/>
  <c r="AF133" i="8"/>
  <c r="AF140" i="8"/>
  <c r="AF111" i="8"/>
  <c r="O107" i="8"/>
  <c r="AA108" i="8"/>
  <c r="AB111" i="8"/>
  <c r="N116" i="8"/>
  <c r="O123" i="8"/>
  <c r="AA130" i="8"/>
  <c r="O133" i="8"/>
  <c r="AF144" i="8"/>
  <c r="AA161" i="8"/>
  <c r="O171" i="8"/>
  <c r="O184" i="8"/>
  <c r="AA16" i="8"/>
  <c r="AF156" i="8"/>
  <c r="AA168" i="8"/>
  <c r="N162" i="8"/>
  <c r="AF149" i="8"/>
  <c r="AF146" i="8"/>
  <c r="AF107" i="8"/>
  <c r="AB107" i="8"/>
  <c r="O144" i="8"/>
  <c r="O140" i="8"/>
  <c r="Z123" i="8"/>
  <c r="AA704" i="3"/>
  <c r="AF579" i="3"/>
  <c r="N411" i="3"/>
  <c r="AA367" i="3"/>
  <c r="AA787" i="3"/>
  <c r="AF641" i="3"/>
  <c r="N51" i="10"/>
  <c r="N147" i="8"/>
  <c r="N188" i="8"/>
  <c r="N73" i="8"/>
  <c r="N71" i="8" s="1"/>
  <c r="N65" i="8" s="1"/>
  <c r="AC65" i="8"/>
  <c r="O10" i="8"/>
  <c r="O147" i="8"/>
  <c r="N148" i="8"/>
  <c r="AA109" i="8"/>
  <c r="N117" i="8"/>
  <c r="AA131" i="8"/>
  <c r="N189" i="8"/>
  <c r="AF108" i="8"/>
  <c r="AA191" i="8"/>
  <c r="AA127" i="8"/>
  <c r="AB108" i="8"/>
  <c r="O116" i="8"/>
  <c r="N115" i="8"/>
  <c r="Z130" i="8"/>
  <c r="AA120" i="8"/>
  <c r="AF158" i="8"/>
  <c r="AA122" i="8"/>
  <c r="Z173" i="8"/>
  <c r="Z116" i="8"/>
  <c r="O130" i="8"/>
  <c r="Z124" i="8"/>
  <c r="N106" i="8"/>
  <c r="O124" i="8"/>
  <c r="Z127" i="8"/>
  <c r="AF109" i="8"/>
  <c r="N121" i="8"/>
  <c r="O109" i="8"/>
  <c r="N64" i="10"/>
  <c r="O64" i="10"/>
  <c r="O61" i="10" s="1"/>
  <c r="O31" i="10" s="1"/>
  <c r="O20" i="10" s="1"/>
  <c r="N41" i="10"/>
  <c r="O41" i="10"/>
  <c r="Z41" i="10"/>
  <c r="N103" i="8"/>
  <c r="O103" i="8"/>
  <c r="Z103" i="8"/>
  <c r="AB103" i="8"/>
  <c r="N21" i="10"/>
  <c r="Z12" i="10"/>
  <c r="N31" i="7"/>
  <c r="N35" i="7"/>
  <c r="N30" i="7"/>
  <c r="Z25" i="10"/>
  <c r="AA57" i="10"/>
  <c r="AB33" i="10"/>
  <c r="AB38" i="10"/>
  <c r="AA25" i="10"/>
  <c r="N668" i="3"/>
  <c r="N672" i="3"/>
  <c r="N671" i="3"/>
  <c r="N670" i="3"/>
  <c r="N666" i="3"/>
  <c r="AC58" i="10"/>
  <c r="N62" i="10"/>
  <c r="Z119" i="8"/>
  <c r="N61" i="10"/>
  <c r="N58" i="10"/>
  <c r="AB153" i="8"/>
  <c r="N152" i="8"/>
  <c r="AA153" i="8"/>
  <c r="O152" i="8"/>
  <c r="AB152" i="8"/>
  <c r="N126" i="8"/>
  <c r="O126" i="8"/>
  <c r="Z126" i="8"/>
  <c r="AB126" i="8"/>
  <c r="AB299" i="13" l="1"/>
  <c r="AB292" i="13" s="1"/>
  <c r="AB289" i="13" s="1"/>
  <c r="AB281" i="13" s="1"/>
  <c r="AB278" i="13" s="1"/>
  <c r="AB269" i="13" s="1"/>
  <c r="AB262" i="13" s="1"/>
  <c r="AA278" i="13"/>
  <c r="N88" i="13"/>
  <c r="O248" i="13"/>
  <c r="AB174" i="13"/>
  <c r="O159" i="13"/>
  <c r="AB248" i="13"/>
  <c r="AA330" i="13"/>
  <c r="N269" i="13"/>
  <c r="AA225" i="13"/>
  <c r="AA88" i="13"/>
  <c r="N299" i="13"/>
  <c r="N289" i="13"/>
  <c r="AA289" i="13"/>
  <c r="AA299" i="13"/>
  <c r="N10" i="13"/>
  <c r="N208" i="13"/>
  <c r="AC159" i="13"/>
  <c r="AB246" i="13"/>
  <c r="N262" i="13"/>
  <c r="AF292" i="13"/>
  <c r="AA241" i="13"/>
  <c r="AA262" i="13"/>
  <c r="AA292" i="13"/>
  <c r="AF180" i="13"/>
  <c r="N278" i="13"/>
  <c r="N344" i="13"/>
  <c r="N281" i="13"/>
  <c r="AB241" i="13"/>
  <c r="AF48" i="13"/>
  <c r="AF281" i="13"/>
  <c r="AA159" i="13"/>
  <c r="AF21" i="13"/>
  <c r="N21" i="13"/>
  <c r="AA344" i="13"/>
  <c r="AA180" i="13"/>
  <c r="N225" i="13"/>
  <c r="N186" i="13"/>
  <c r="AA68" i="13"/>
  <c r="O225" i="13"/>
  <c r="AB146" i="13"/>
  <c r="AB144" i="13" s="1"/>
  <c r="AB141" i="13" s="1"/>
  <c r="AB21" i="13"/>
  <c r="N241" i="13"/>
  <c r="N246" i="13"/>
  <c r="O208" i="13"/>
  <c r="AB180" i="13"/>
  <c r="N68" i="13"/>
  <c r="N122" i="13"/>
  <c r="N248" i="13"/>
  <c r="O200" i="13"/>
  <c r="AF200" i="13"/>
  <c r="N330" i="13"/>
  <c r="O241" i="13"/>
  <c r="AA48" i="13"/>
  <c r="AA208" i="13"/>
  <c r="AB48" i="13"/>
  <c r="AA21" i="13"/>
  <c r="AF230" i="13"/>
  <c r="N292" i="13"/>
  <c r="AB230" i="13"/>
  <c r="N230" i="13"/>
  <c r="AF241" i="13"/>
  <c r="AA246" i="13"/>
  <c r="O230" i="13"/>
  <c r="AA230" i="13"/>
  <c r="AF225" i="13"/>
  <c r="AB208" i="13"/>
  <c r="N48" i="13"/>
  <c r="AF246" i="13"/>
  <c r="AA269" i="13"/>
  <c r="AA248" i="13"/>
  <c r="AF208" i="13"/>
  <c r="AA146" i="13"/>
  <c r="AF248" i="13"/>
  <c r="AB225" i="13"/>
  <c r="AB400" i="3"/>
  <c r="AA231" i="3"/>
  <c r="AB405" i="3"/>
  <c r="AA354" i="3"/>
  <c r="N27" i="7"/>
  <c r="N18" i="7"/>
  <c r="AB132" i="8"/>
  <c r="O132" i="8"/>
  <c r="AD18" i="7"/>
  <c r="AD17" i="7" s="1"/>
  <c r="AD23" i="7"/>
  <c r="AD19" i="7" s="1"/>
  <c r="AB164" i="8"/>
  <c r="O164" i="8"/>
  <c r="AB181" i="8"/>
  <c r="O181" i="8"/>
  <c r="AB187" i="8"/>
  <c r="O187" i="8"/>
  <c r="AC392" i="3"/>
  <c r="AC367" i="3" s="1"/>
  <c r="AB133" i="8"/>
  <c r="Z133" i="8"/>
  <c r="AB158" i="8"/>
  <c r="O158" i="8"/>
  <c r="AB144" i="8"/>
  <c r="Z144" i="8"/>
  <c r="AB163" i="8"/>
  <c r="AF163" i="8"/>
  <c r="AB171" i="8"/>
  <c r="Z171" i="8"/>
  <c r="AB180" i="8"/>
  <c r="O180" i="8"/>
  <c r="AB184" i="8"/>
  <c r="Z184" i="8"/>
  <c r="AB186" i="8"/>
  <c r="O186" i="8"/>
  <c r="O161" i="8"/>
  <c r="Z178" i="8"/>
  <c r="Z185" i="8"/>
  <c r="N436" i="3"/>
  <c r="N440" i="3"/>
  <c r="AF814" i="3"/>
  <c r="AF157" i="8"/>
  <c r="N441" i="3"/>
  <c r="AB191" i="8"/>
  <c r="Z191" i="8"/>
  <c r="O151" i="8"/>
  <c r="Z182" i="8"/>
  <c r="N54" i="10"/>
  <c r="AC54" i="10"/>
  <c r="AC52" i="10" s="1"/>
  <c r="AC352" i="3"/>
  <c r="AC349" i="3" s="1"/>
  <c r="N352" i="3"/>
  <c r="Z174" i="8"/>
  <c r="AF147" i="8"/>
  <c r="AB162" i="8"/>
  <c r="AA667" i="3"/>
  <c r="AA622" i="3" s="1"/>
  <c r="Z177" i="8"/>
  <c r="N709" i="3"/>
  <c r="N704" i="3" s="1"/>
  <c r="O159" i="8"/>
  <c r="AA669" i="3"/>
  <c r="N119" i="8"/>
  <c r="O149" i="8"/>
  <c r="AF113" i="8"/>
  <c r="AF189" i="8"/>
  <c r="AA281" i="13" l="1"/>
  <c r="AB159" i="13"/>
  <c r="N430" i="3"/>
</calcChain>
</file>

<file path=xl/sharedStrings.xml><?xml version="1.0" encoding="utf-8"?>
<sst xmlns="http://schemas.openxmlformats.org/spreadsheetml/2006/main" count="9972" uniqueCount="2644">
  <si>
    <t>Distributor</t>
  </si>
  <si>
    <t>Part</t>
  </si>
  <si>
    <t>suffix</t>
  </si>
  <si>
    <t>low price</t>
  </si>
  <si>
    <t>high price</t>
  </si>
  <si>
    <t>LUTs</t>
  </si>
  <si>
    <t>Logic Cells</t>
  </si>
  <si>
    <t>LUT/$</t>
  </si>
  <si>
    <t>embed uP</t>
  </si>
  <si>
    <t>mults</t>
  </si>
  <si>
    <t>SERDES</t>
  </si>
  <si>
    <t>I/Os</t>
  </si>
  <si>
    <t>small RAM</t>
  </si>
  <si>
    <t>med. RAM</t>
  </si>
  <si>
    <t>large RAM</t>
  </si>
  <si>
    <t>CLBs</t>
  </si>
  <si>
    <t>highest volume pricing</t>
  </si>
  <si>
    <t>LUTs per dollar</t>
  </si>
  <si>
    <t>LUTs per RAM</t>
  </si>
  <si>
    <t>I/Os per RAM</t>
  </si>
  <si>
    <t>APEX20K</t>
  </si>
  <si>
    <t>(100+)</t>
  </si>
  <si>
    <t>(1+)</t>
  </si>
  <si>
    <t>16bits</t>
  </si>
  <si>
    <t>128x16</t>
  </si>
  <si>
    <t>10x</t>
  </si>
  <si>
    <t>Arrow</t>
  </si>
  <si>
    <t>EP20K30E</t>
  </si>
  <si>
    <t>ETC144-3</t>
  </si>
  <si>
    <t>EFC144-1X</t>
  </si>
  <si>
    <t>EP20K60E</t>
  </si>
  <si>
    <t>EBC356-1X</t>
  </si>
  <si>
    <t>EP20K100E</t>
  </si>
  <si>
    <t>EFC144-3</t>
  </si>
  <si>
    <t>EBC356-1</t>
  </si>
  <si>
    <t>EP20K160E</t>
  </si>
  <si>
    <t>QC240-1</t>
  </si>
  <si>
    <t>EP20K200E</t>
  </si>
  <si>
    <t>EQC208-3</t>
  </si>
  <si>
    <t>CB356C7</t>
  </si>
  <si>
    <t>EP20K300E</t>
  </si>
  <si>
    <t>EBC652-3</t>
  </si>
  <si>
    <t>EBC652-1X</t>
  </si>
  <si>
    <t>EP20K400E</t>
  </si>
  <si>
    <t>BI652-2V</t>
  </si>
  <si>
    <t>EP20K600E</t>
  </si>
  <si>
    <t>EFC33-1</t>
  </si>
  <si>
    <t>EP20K1000E</t>
  </si>
  <si>
    <t>EFC672-3</t>
  </si>
  <si>
    <t>CF33C7ES</t>
  </si>
  <si>
    <t>EP20K1500E</t>
  </si>
  <si>
    <t>APEX II</t>
  </si>
  <si>
    <t>256x16</t>
  </si>
  <si>
    <t>EP2A15</t>
  </si>
  <si>
    <t>F672C9</t>
  </si>
  <si>
    <t>B724C7</t>
  </si>
  <si>
    <t>EP2A25</t>
  </si>
  <si>
    <t>B724C9</t>
  </si>
  <si>
    <t>EP2A40</t>
  </si>
  <si>
    <t>F1020C7ES</t>
  </si>
  <si>
    <t>EP2A70</t>
  </si>
  <si>
    <t>B724C9ES</t>
  </si>
  <si>
    <t>F1508C7ES</t>
  </si>
  <si>
    <t>EP2A90</t>
  </si>
  <si>
    <t>MAX II</t>
  </si>
  <si>
    <t>(250,000+)</t>
  </si>
  <si>
    <t>flash</t>
  </si>
  <si>
    <t>T100C3</t>
  </si>
  <si>
    <t>GT100C5</t>
  </si>
  <si>
    <t>F256C3ES</t>
  </si>
  <si>
    <t>EPM1270</t>
  </si>
  <si>
    <t>F256C5ES</t>
  </si>
  <si>
    <t>EPM2210</t>
  </si>
  <si>
    <t>F256C5</t>
  </si>
  <si>
    <t>F324C3</t>
  </si>
  <si>
    <t>Cyclone</t>
  </si>
  <si>
    <t>128x36</t>
  </si>
  <si>
    <t>EP1C3</t>
  </si>
  <si>
    <t>T100C8</t>
  </si>
  <si>
    <t>T144C6</t>
  </si>
  <si>
    <t>EP1C4</t>
  </si>
  <si>
    <t>F324C8</t>
  </si>
  <si>
    <t>F400C6</t>
  </si>
  <si>
    <t>EP1C6</t>
  </si>
  <si>
    <t>T144C8</t>
  </si>
  <si>
    <t>F256C6N</t>
  </si>
  <si>
    <t>EP1C12</t>
  </si>
  <si>
    <t>Q240C8</t>
  </si>
  <si>
    <t>F324C6N</t>
  </si>
  <si>
    <t>EP1C20</t>
  </si>
  <si>
    <t>F400C6N</t>
  </si>
  <si>
    <t>Cyclone II</t>
  </si>
  <si>
    <t>18x18</t>
  </si>
  <si>
    <t>16x</t>
  </si>
  <si>
    <t>Future</t>
  </si>
  <si>
    <t>EP2C5</t>
  </si>
  <si>
    <t>EP2C8</t>
  </si>
  <si>
    <t>EP2C20</t>
  </si>
  <si>
    <t>EP2C35</t>
  </si>
  <si>
    <t>EP2C50</t>
  </si>
  <si>
    <t>EP2C70</t>
  </si>
  <si>
    <t>Stratix</t>
  </si>
  <si>
    <t>pins&amp;spd</t>
  </si>
  <si>
    <t>3.125Ghz</t>
  </si>
  <si>
    <t>32x18</t>
  </si>
  <si>
    <t>4Kx144</t>
  </si>
  <si>
    <t>EP1S10</t>
  </si>
  <si>
    <t>F780C5</t>
  </si>
  <si>
    <t>EP1SGX10</t>
  </si>
  <si>
    <t>CF672C6ES</t>
  </si>
  <si>
    <t>DF672C5ES</t>
  </si>
  <si>
    <t>622 to 3125 Mbps</t>
  </si>
  <si>
    <t>EP1S20</t>
  </si>
  <si>
    <t>F484C7</t>
  </si>
  <si>
    <t>F780C5N</t>
  </si>
  <si>
    <t>EP1S25</t>
  </si>
  <si>
    <t>F672C8N</t>
  </si>
  <si>
    <t>F1020C5</t>
  </si>
  <si>
    <t>EP1SGX25</t>
  </si>
  <si>
    <t>DF672C7ES</t>
  </si>
  <si>
    <t>FF1020C5</t>
  </si>
  <si>
    <t>EP1S30</t>
  </si>
  <si>
    <t>F780C8</t>
  </si>
  <si>
    <t>F1020C5N</t>
  </si>
  <si>
    <t>EP1S40</t>
  </si>
  <si>
    <t>EP1SGX40</t>
  </si>
  <si>
    <t>DF1020C7</t>
  </si>
  <si>
    <t>F1020C5ES</t>
  </si>
  <si>
    <t>EP1S60</t>
  </si>
  <si>
    <t>B956C7</t>
  </si>
  <si>
    <t>EP1S80</t>
  </si>
  <si>
    <t>F1508C7</t>
  </si>
  <si>
    <t>F1508C6N</t>
  </si>
  <si>
    <t>Excalibur</t>
  </si>
  <si>
    <t>ARM922T</t>
  </si>
  <si>
    <t>SPRAM</t>
  </si>
  <si>
    <t>128x32</t>
  </si>
  <si>
    <t>64Kx32</t>
  </si>
  <si>
    <t>EPXA1</t>
  </si>
  <si>
    <t>F484C3</t>
  </si>
  <si>
    <t>F672C2ES</t>
  </si>
  <si>
    <t>EPXA4</t>
  </si>
  <si>
    <t>F1020C3</t>
  </si>
  <si>
    <t>F672C1</t>
  </si>
  <si>
    <t>EPXA10</t>
  </si>
  <si>
    <t>F1020C2</t>
  </si>
  <si>
    <t>F1020C1S</t>
  </si>
  <si>
    <t>Stratix II</t>
  </si>
  <si>
    <t>16-32bits</t>
  </si>
  <si>
    <t>1/2 ALM</t>
  </si>
  <si>
    <t>EP2S15</t>
  </si>
  <si>
    <t>F484C5</t>
  </si>
  <si>
    <t>F672C3</t>
  </si>
  <si>
    <t>F484C4</t>
  </si>
  <si>
    <t>F1020C4ES</t>
  </si>
  <si>
    <t>EP2S180</t>
  </si>
  <si>
    <t>LatticeECP/EC</t>
  </si>
  <si>
    <t>256x36</t>
  </si>
  <si>
    <t>8X</t>
  </si>
  <si>
    <t>EC6..EC40 also</t>
  </si>
  <si>
    <t>LFEC1E</t>
  </si>
  <si>
    <t>5T144CES</t>
  </si>
  <si>
    <t>LFEC3E</t>
  </si>
  <si>
    <t>5F256CES</t>
  </si>
  <si>
    <t>LFEC6E</t>
  </si>
  <si>
    <t>5F484CES</t>
  </si>
  <si>
    <t>LFECP6E</t>
  </si>
  <si>
    <t>LFEC10E</t>
  </si>
  <si>
    <t>3Q208CES</t>
  </si>
  <si>
    <t>LFECP10E</t>
  </si>
  <si>
    <t>LFEC15E</t>
  </si>
  <si>
    <t>LFECP15E</t>
  </si>
  <si>
    <t>3F256CES</t>
  </si>
  <si>
    <t>4F484IES</t>
  </si>
  <si>
    <t>LFEC20E</t>
  </si>
  <si>
    <t>5F672CES</t>
  </si>
  <si>
    <t>LFECP20E</t>
  </si>
  <si>
    <t>LFEC33E</t>
  </si>
  <si>
    <t>LFECP33E</t>
  </si>
  <si>
    <t>4F672CES</t>
  </si>
  <si>
    <t>ispXPGA</t>
  </si>
  <si>
    <t>850 Mhz</t>
  </si>
  <si>
    <t>256x18</t>
  </si>
  <si>
    <t>upto 850 Mbps SERDES</t>
  </si>
  <si>
    <t>Spartan-2E</t>
  </si>
  <si>
    <t>(25+)</t>
  </si>
  <si>
    <t>1/2 Slice</t>
  </si>
  <si>
    <t>16x1</t>
  </si>
  <si>
    <t>4x</t>
  </si>
  <si>
    <t>Avnet</t>
  </si>
  <si>
    <t>XC2S50E</t>
  </si>
  <si>
    <t>7TQ144C</t>
  </si>
  <si>
    <t>7F256C</t>
  </si>
  <si>
    <t>XC2S100E</t>
  </si>
  <si>
    <t>6TQ144C</t>
  </si>
  <si>
    <t>7FG456C</t>
  </si>
  <si>
    <t>XC2S150E</t>
  </si>
  <si>
    <t>XC2S200E</t>
  </si>
  <si>
    <t>6PQ208C</t>
  </si>
  <si>
    <t>XC2S300E</t>
  </si>
  <si>
    <t>XC2S400E</t>
  </si>
  <si>
    <t>6FT256C</t>
  </si>
  <si>
    <t>7FG676C</t>
  </si>
  <si>
    <t>XC2S600E</t>
  </si>
  <si>
    <t>6FG456C</t>
  </si>
  <si>
    <t>Spartan-3</t>
  </si>
  <si>
    <t>512x36</t>
  </si>
  <si>
    <t>8x</t>
  </si>
  <si>
    <t>622 Mbps LVDS</t>
  </si>
  <si>
    <t>XC3S50</t>
  </si>
  <si>
    <t>4VQ100C</t>
  </si>
  <si>
    <t>5PQ208C</t>
  </si>
  <si>
    <t>XC3S100E</t>
  </si>
  <si>
    <t>XC3S200</t>
  </si>
  <si>
    <t>4VQG100C</t>
  </si>
  <si>
    <t>5FT256C</t>
  </si>
  <si>
    <t>XC3S250E</t>
  </si>
  <si>
    <t>XC3S400</t>
  </si>
  <si>
    <t>4TQ144C</t>
  </si>
  <si>
    <t>4FG456C</t>
  </si>
  <si>
    <t>XC3S500E</t>
  </si>
  <si>
    <t>XC3S1000</t>
  </si>
  <si>
    <t>4FT256C</t>
  </si>
  <si>
    <t>XC3S1200E</t>
  </si>
  <si>
    <t>XC3S1500</t>
  </si>
  <si>
    <t>4FG320C</t>
  </si>
  <si>
    <t>5FG676C</t>
  </si>
  <si>
    <t>XC3S1600E</t>
  </si>
  <si>
    <t>XC3S2000</t>
  </si>
  <si>
    <t>4FG676C</t>
  </si>
  <si>
    <t>XC3S4000</t>
  </si>
  <si>
    <t>4FG900C</t>
  </si>
  <si>
    <t>XC3S5000</t>
  </si>
  <si>
    <t>Virtex-II</t>
  </si>
  <si>
    <t>(25or100+)</t>
  </si>
  <si>
    <t>840 Mbps LVDS</t>
  </si>
  <si>
    <t>XC2V40</t>
  </si>
  <si>
    <t>4FG256C</t>
  </si>
  <si>
    <t>6FG256C</t>
  </si>
  <si>
    <t>XC2V80</t>
  </si>
  <si>
    <t>4CS144C</t>
  </si>
  <si>
    <t>XC2V250</t>
  </si>
  <si>
    <t>XC2V500</t>
  </si>
  <si>
    <t>XC2V1000</t>
  </si>
  <si>
    <t>6FF896C</t>
  </si>
  <si>
    <t>XC2V1500</t>
  </si>
  <si>
    <t>XC2V2000</t>
  </si>
  <si>
    <t>6BF957C</t>
  </si>
  <si>
    <t>XC2V3000</t>
  </si>
  <si>
    <t>6BG1152C</t>
  </si>
  <si>
    <t>XC2V4000</t>
  </si>
  <si>
    <t>4BF957C</t>
  </si>
  <si>
    <t>6FF1152C</t>
  </si>
  <si>
    <t>XC2V6000</t>
  </si>
  <si>
    <t>4FF1517C</t>
  </si>
  <si>
    <t>6FF1517C</t>
  </si>
  <si>
    <t>XC2V8000</t>
  </si>
  <si>
    <t>4FF1152C</t>
  </si>
  <si>
    <t>5FF1152C</t>
  </si>
  <si>
    <t>Virtex-II Pro</t>
  </si>
  <si>
    <t>PPC</t>
  </si>
  <si>
    <t>622 to 3125 Mbps SERDES</t>
  </si>
  <si>
    <t>XC2VP2</t>
  </si>
  <si>
    <t>5FG256C</t>
  </si>
  <si>
    <t>6FF672CES</t>
  </si>
  <si>
    <t>XC2VP4</t>
  </si>
  <si>
    <t>5FG256CES</t>
  </si>
  <si>
    <t>XC2VP7</t>
  </si>
  <si>
    <t>5FG456CES</t>
  </si>
  <si>
    <t>7FF896CES</t>
  </si>
  <si>
    <t>XC2VP20</t>
  </si>
  <si>
    <t>5FG676CES</t>
  </si>
  <si>
    <t>7FF1152C</t>
  </si>
  <si>
    <t>XC2VPX20</t>
  </si>
  <si>
    <t>7FF896C</t>
  </si>
  <si>
    <t>Rocket I/O (10Gbps)</t>
  </si>
  <si>
    <t>XC2VP30</t>
  </si>
  <si>
    <t>XC2VP40</t>
  </si>
  <si>
    <t>XC2VP50</t>
  </si>
  <si>
    <t>XC2VP70</t>
  </si>
  <si>
    <t>5FF1517CES</t>
  </si>
  <si>
    <t>7FF1517C</t>
  </si>
  <si>
    <t>XC2VPX70</t>
  </si>
  <si>
    <t>6FF1704C</t>
  </si>
  <si>
    <t>XC2VP100</t>
  </si>
  <si>
    <t>5FF1696C</t>
  </si>
  <si>
    <t>Virtex-4</t>
  </si>
  <si>
    <t>11.1Ghz</t>
  </si>
  <si>
    <t>(25,000+)</t>
  </si>
  <si>
    <t>622 to 11100 Mbps SERDES</t>
  </si>
  <si>
    <t>XC4VLX15</t>
  </si>
  <si>
    <t>10SF363C</t>
  </si>
  <si>
    <t>12FF668C</t>
  </si>
  <si>
    <t>XC4VLX40</t>
  </si>
  <si>
    <t>10FF668C</t>
  </si>
  <si>
    <t>12FF1148C</t>
  </si>
  <si>
    <t>XC4VLX80</t>
  </si>
  <si>
    <t>10FF1148C</t>
  </si>
  <si>
    <t>XC4VSX25</t>
  </si>
  <si>
    <t>XC4VSX35</t>
  </si>
  <si>
    <t>11FF668C</t>
  </si>
  <si>
    <t>XC4VFX12</t>
  </si>
  <si>
    <t>XC4VFX20</t>
  </si>
  <si>
    <t>XC4VFX40</t>
  </si>
  <si>
    <t>XC4VFX100</t>
  </si>
  <si>
    <t>Tiles</t>
  </si>
  <si>
    <t>256x9</t>
  </si>
  <si>
    <t>APA075</t>
  </si>
  <si>
    <t>APA150</t>
  </si>
  <si>
    <t>APA450</t>
  </si>
  <si>
    <t>APA750</t>
  </si>
  <si>
    <t>ProASIC3 (flash)</t>
  </si>
  <si>
    <t>A3P400</t>
  </si>
  <si>
    <t>A3PE600</t>
  </si>
  <si>
    <t>A3PE1500</t>
  </si>
  <si>
    <t>ram BITS</t>
  </si>
  <si>
    <t>LatticeXP</t>
  </si>
  <si>
    <t>LFXP3</t>
  </si>
  <si>
    <t>LFXP6</t>
  </si>
  <si>
    <t>LFXP10</t>
  </si>
  <si>
    <t>LFXP15</t>
  </si>
  <si>
    <t>LFXP20</t>
  </si>
  <si>
    <t>4Q208IES</t>
  </si>
  <si>
    <t>3TN100C</t>
  </si>
  <si>
    <t>4F256I</t>
  </si>
  <si>
    <t>4F388IES</t>
  </si>
  <si>
    <t>4F256IES</t>
  </si>
  <si>
    <t>3FN256C</t>
  </si>
  <si>
    <t>3F388C</t>
  </si>
  <si>
    <t>ua idle mode, onchip flash</t>
  </si>
  <si>
    <t>MachXO</t>
  </si>
  <si>
    <t>LCMXO256</t>
  </si>
  <si>
    <t>LCMXO640</t>
  </si>
  <si>
    <t>LCMXO1200</t>
  </si>
  <si>
    <t>LCMXO2280</t>
  </si>
  <si>
    <t>F1508C4</t>
  </si>
  <si>
    <t>F1508C3N</t>
  </si>
  <si>
    <t>F1020C4</t>
  </si>
  <si>
    <t>F1020C3N</t>
  </si>
  <si>
    <t>F256C8</t>
  </si>
  <si>
    <t>F256C6</t>
  </si>
  <si>
    <t>F484C6</t>
  </si>
  <si>
    <t>F672C6</t>
  </si>
  <si>
    <t>F896C6</t>
  </si>
  <si>
    <t>10FF1517CES</t>
  </si>
  <si>
    <t>10FF672C</t>
  </si>
  <si>
    <t>10FFG672CES4</t>
  </si>
  <si>
    <t>11FF1152C</t>
  </si>
  <si>
    <t>12FFG1513C</t>
  </si>
  <si>
    <t>10FFG1413C</t>
  </si>
  <si>
    <t>11FF1513I</t>
  </si>
  <si>
    <t>11FF1148I</t>
  </si>
  <si>
    <t>F484C8N</t>
  </si>
  <si>
    <t>F672I8N</t>
  </si>
  <si>
    <t>F484C8</t>
  </si>
  <si>
    <t>4M100I</t>
  </si>
  <si>
    <t>4FTN256I</t>
  </si>
  <si>
    <t>4FTN324I4W</t>
  </si>
  <si>
    <t>DDR2 support</t>
  </si>
  <si>
    <t>4FG676I</t>
  </si>
  <si>
    <t>5FG900C0954</t>
  </si>
  <si>
    <t>4FGG1156I</t>
  </si>
  <si>
    <t>Actel</t>
  </si>
  <si>
    <t>1+</t>
  </si>
  <si>
    <t>Fusion (flash)</t>
  </si>
  <si>
    <t>tiles</t>
  </si>
  <si>
    <t>analog quads</t>
  </si>
  <si>
    <t>256KB flash</t>
  </si>
  <si>
    <t>analog I/Os</t>
  </si>
  <si>
    <t>AFS090</t>
  </si>
  <si>
    <t>AFS250</t>
  </si>
  <si>
    <t>AFS600</t>
  </si>
  <si>
    <t>AFS1500</t>
  </si>
  <si>
    <t>PolarPro</t>
  </si>
  <si>
    <t>Quicklogic</t>
  </si>
  <si>
    <t>512x9</t>
  </si>
  <si>
    <t>QL1P075</t>
  </si>
  <si>
    <t>QL1P100</t>
  </si>
  <si>
    <t>QL1P200</t>
  </si>
  <si>
    <t>QL1P300</t>
  </si>
  <si>
    <t>QL1P600</t>
  </si>
  <si>
    <t>QL1P1000</t>
  </si>
  <si>
    <t>Eclipse II</t>
  </si>
  <si>
    <t>QL8025</t>
  </si>
  <si>
    <t>QL8050</t>
  </si>
  <si>
    <t>QL8150</t>
  </si>
  <si>
    <t>QL8250</t>
  </si>
  <si>
    <t>QL8325</t>
  </si>
  <si>
    <t>Eclipse Plus</t>
  </si>
  <si>
    <t>ECU</t>
  </si>
  <si>
    <t>QL6250</t>
  </si>
  <si>
    <t>QL7100</t>
  </si>
  <si>
    <t>QL6325</t>
  </si>
  <si>
    <t>QL7120</t>
  </si>
  <si>
    <t>QL6500</t>
  </si>
  <si>
    <t>QL7160</t>
  </si>
  <si>
    <t>QL6600</t>
  </si>
  <si>
    <t>QL7180</t>
  </si>
  <si>
    <t>QuickRAM</t>
  </si>
  <si>
    <t>128x9</t>
  </si>
  <si>
    <t>QL4009</t>
  </si>
  <si>
    <t>QL4016</t>
  </si>
  <si>
    <t>QL4036</t>
  </si>
  <si>
    <t>QL4058</t>
  </si>
  <si>
    <t>QL4090</t>
  </si>
  <si>
    <t>pASIC 3</t>
  </si>
  <si>
    <t>QL3004</t>
  </si>
  <si>
    <t>QL3004E</t>
  </si>
  <si>
    <t>QL3006</t>
  </si>
  <si>
    <t>QL3012</t>
  </si>
  <si>
    <t>QL3025</t>
  </si>
  <si>
    <t>QL3040</t>
  </si>
  <si>
    <t>QL3060</t>
  </si>
  <si>
    <t>QuickMIPS</t>
  </si>
  <si>
    <t>MIPS</t>
  </si>
  <si>
    <t>PCI</t>
  </si>
  <si>
    <t>256X9</t>
  </si>
  <si>
    <t>QL901M</t>
  </si>
  <si>
    <t>QL902M</t>
  </si>
  <si>
    <t>QL903M</t>
  </si>
  <si>
    <t>QL904M</t>
  </si>
  <si>
    <t>FPSLIC</t>
  </si>
  <si>
    <t>Atmel</t>
  </si>
  <si>
    <t>2x3LUT</t>
  </si>
  <si>
    <t>AVR</t>
  </si>
  <si>
    <t>32x4</t>
  </si>
  <si>
    <t>2048x16</t>
  </si>
  <si>
    <t>AT94K05</t>
  </si>
  <si>
    <t>AT94K10</t>
  </si>
  <si>
    <t>AT94K40</t>
  </si>
  <si>
    <t>Virtex-5</t>
  </si>
  <si>
    <t>64bits</t>
  </si>
  <si>
    <t>25x18</t>
  </si>
  <si>
    <t>(2)512x36</t>
  </si>
  <si>
    <t>(1,000+)</t>
  </si>
  <si>
    <t>PLL/DLL</t>
  </si>
  <si>
    <t>3.1875Ghz</t>
  </si>
  <si>
    <t>6.375Ghz</t>
  </si>
  <si>
    <t>LatticeSC</t>
  </si>
  <si>
    <t>3.8Ghz</t>
  </si>
  <si>
    <t>SC15</t>
  </si>
  <si>
    <t>SC25</t>
  </si>
  <si>
    <t>SC40</t>
  </si>
  <si>
    <t>SC80</t>
  </si>
  <si>
    <t>SC115</t>
  </si>
  <si>
    <t>100 to 3200 Mbps SERDES</t>
  </si>
  <si>
    <t>Stratix III</t>
  </si>
  <si>
    <t>EP3SE80</t>
  </si>
  <si>
    <t>EP3SE260</t>
  </si>
  <si>
    <t>32x20</t>
  </si>
  <si>
    <t>2K*72</t>
  </si>
  <si>
    <t>LatticeECP2</t>
  </si>
  <si>
    <t>4PQ208C</t>
  </si>
  <si>
    <t>4CP132C</t>
  </si>
  <si>
    <t>4FG400C</t>
  </si>
  <si>
    <t>ProASICplus (flash)</t>
  </si>
  <si>
    <t>24+</t>
  </si>
  <si>
    <t>BGG456I</t>
  </si>
  <si>
    <t>FGG144I</t>
  </si>
  <si>
    <t>FGG1152I</t>
  </si>
  <si>
    <t>FGG484I</t>
  </si>
  <si>
    <t>FGG676I</t>
  </si>
  <si>
    <t>FGG896I</t>
  </si>
  <si>
    <t>1VQG100I</t>
  </si>
  <si>
    <t>1FGG484I</t>
  </si>
  <si>
    <t>1PQG208I</t>
  </si>
  <si>
    <t>1FGG256I</t>
  </si>
  <si>
    <t>1FF324CES</t>
  </si>
  <si>
    <t>8x8</t>
  </si>
  <si>
    <t>12bit A2D</t>
  </si>
  <si>
    <t>eASIC</t>
  </si>
  <si>
    <t>Nextreme</t>
  </si>
  <si>
    <t>NX750LP</t>
  </si>
  <si>
    <t>NX1500</t>
  </si>
  <si>
    <t>NX2500</t>
  </si>
  <si>
    <t>NX4000</t>
  </si>
  <si>
    <t>NX5000</t>
  </si>
  <si>
    <t>3LUTs</t>
  </si>
  <si>
    <t>NX750</t>
  </si>
  <si>
    <t>eCORE</t>
  </si>
  <si>
    <t>1024x32</t>
  </si>
  <si>
    <t>i8051, ARM9 in 20 CLBs</t>
  </si>
  <si>
    <t>XC5VSX35T</t>
  </si>
  <si>
    <t>XC5VSX50T</t>
  </si>
  <si>
    <t>XC5VSX95T</t>
  </si>
  <si>
    <t>Cyclone III</t>
  </si>
  <si>
    <t>EP3C5</t>
  </si>
  <si>
    <t>EP3C10</t>
  </si>
  <si>
    <t>EP3C16</t>
  </si>
  <si>
    <t>EP3C25</t>
  </si>
  <si>
    <t>EP3C40</t>
  </si>
  <si>
    <t>EP3C55</t>
  </si>
  <si>
    <t>EP3C80</t>
  </si>
  <si>
    <t>EP3C120</t>
  </si>
  <si>
    <t>E144C8NES</t>
  </si>
  <si>
    <t>U256C7NES</t>
  </si>
  <si>
    <t>F484C7ES</t>
  </si>
  <si>
    <t>F484C8ES</t>
  </si>
  <si>
    <t>EP3SL70</t>
  </si>
  <si>
    <t>EP3SL150</t>
  </si>
  <si>
    <t>EP3SL200</t>
  </si>
  <si>
    <t>EP3SL340</t>
  </si>
  <si>
    <t>ARM7 &amp; M1 soft cores</t>
  </si>
  <si>
    <t>XC3SD1800A</t>
  </si>
  <si>
    <t>XC3SD3400A</t>
  </si>
  <si>
    <t>Arria</t>
  </si>
  <si>
    <t>2.5Ghz</t>
  </si>
  <si>
    <t>EP1AGX90</t>
  </si>
  <si>
    <t>EP1AGX20</t>
  </si>
  <si>
    <t>EP1AGX35</t>
  </si>
  <si>
    <t>EP1AGX50</t>
  </si>
  <si>
    <t>EP1AGX60</t>
  </si>
  <si>
    <t>1.2v core</t>
  </si>
  <si>
    <t>1.1v core</t>
  </si>
  <si>
    <t>LatticeXP2</t>
  </si>
  <si>
    <t>XP2-5</t>
  </si>
  <si>
    <t>AGL030</t>
  </si>
  <si>
    <t>AGL060</t>
  </si>
  <si>
    <t>AGL125</t>
  </si>
  <si>
    <t>AGL250</t>
  </si>
  <si>
    <t>AGL600</t>
  </si>
  <si>
    <t>AGL1000</t>
  </si>
  <si>
    <t>AGLE600</t>
  </si>
  <si>
    <t>AGLE3000</t>
  </si>
  <si>
    <t>1.8, 1.8 - 3.3</t>
  </si>
  <si>
    <t>1.8, 1.5 - 3.3</t>
  </si>
  <si>
    <t>user pin cnt</t>
  </si>
  <si>
    <t>min pkg size  mm</t>
  </si>
  <si>
    <t>1.2, 1.2 - 3.3</t>
  </si>
  <si>
    <t>1.2 - 3.3</t>
  </si>
  <si>
    <t>1.2, 1.5 - 3.3</t>
  </si>
  <si>
    <t>1.0, 1.2 - 3.3</t>
  </si>
  <si>
    <t>1.5, 1.5 - 3.3</t>
  </si>
  <si>
    <t>2.5, 2.5 - 3.3</t>
  </si>
  <si>
    <t>XC3S50A/N</t>
  </si>
  <si>
    <t>XC3S200A/N</t>
  </si>
  <si>
    <t>XC3S400A/N</t>
  </si>
  <si>
    <t>XC3S700A/N</t>
  </si>
  <si>
    <t>XC3S1400A/N</t>
  </si>
  <si>
    <t>IGLOO (flash)</t>
  </si>
  <si>
    <t>ZM68I3</t>
  </si>
  <si>
    <t>EPM240, -Z</t>
  </si>
  <si>
    <t>EPM570, -Z</t>
  </si>
  <si>
    <t>ArticLink</t>
  </si>
  <si>
    <t>QLA1000</t>
  </si>
  <si>
    <t>USB OTG, SD, MMC, ATA</t>
  </si>
  <si>
    <t>E144C8</t>
  </si>
  <si>
    <t>AGL015</t>
  </si>
  <si>
    <t>XC5VFX30T</t>
  </si>
  <si>
    <t>XC5VFX70T</t>
  </si>
  <si>
    <t>XC5VFX100T</t>
  </si>
  <si>
    <t>XC5VFX130T</t>
  </si>
  <si>
    <t>XC5VFX200T</t>
  </si>
  <si>
    <t>FPGA data ©2008 Brakefield Research</t>
  </si>
  <si>
    <t>1FF323C</t>
  </si>
  <si>
    <t>1FFG324C</t>
  </si>
  <si>
    <t>1FFG676C</t>
  </si>
  <si>
    <t>1FF676C</t>
  </si>
  <si>
    <t>1FF1760C</t>
  </si>
  <si>
    <t>1FF665C</t>
  </si>
  <si>
    <t>1FFG1136C</t>
  </si>
  <si>
    <t>4CSG484C</t>
  </si>
  <si>
    <t>10FFG672C</t>
  </si>
  <si>
    <t>10FFG1517C</t>
  </si>
  <si>
    <t>FVQ100</t>
  </si>
  <si>
    <t>VQ100</t>
  </si>
  <si>
    <t>1FGG144</t>
  </si>
  <si>
    <t>1FG144</t>
  </si>
  <si>
    <t>FFG256</t>
  </si>
  <si>
    <t>FGG256</t>
  </si>
  <si>
    <t>FG484</t>
  </si>
  <si>
    <t>1FG484</t>
  </si>
  <si>
    <t>FTQ100</t>
  </si>
  <si>
    <t>PQ208</t>
  </si>
  <si>
    <t>FPQ208</t>
  </si>
  <si>
    <t>FBG456</t>
  </si>
  <si>
    <t>F484C4N</t>
  </si>
  <si>
    <t>F1152C4</t>
  </si>
  <si>
    <t>F1517C4NES</t>
  </si>
  <si>
    <t>F1517C4N</t>
  </si>
  <si>
    <t>F484C7N</t>
  </si>
  <si>
    <t>CF484C6</t>
  </si>
  <si>
    <t>CF484C6N</t>
  </si>
  <si>
    <t>stacked flash</t>
  </si>
  <si>
    <t>Stratix IV</t>
  </si>
  <si>
    <t>EP4SGX110</t>
  </si>
  <si>
    <t>EP4SGX290</t>
  </si>
  <si>
    <t>AN flash-Mb</t>
  </si>
  <si>
    <t>1.6Ghz</t>
  </si>
  <si>
    <t>1/2.5 ALM</t>
  </si>
  <si>
    <t>F780C4</t>
  </si>
  <si>
    <t>F780C4N</t>
  </si>
  <si>
    <t>F1152C4N</t>
  </si>
  <si>
    <t>EP4SGX70</t>
  </si>
  <si>
    <t>F484C5N</t>
  </si>
  <si>
    <t>Silicon Blue</t>
  </si>
  <si>
    <t>iCE65L02</t>
  </si>
  <si>
    <t>iCE65L16</t>
  </si>
  <si>
    <t>NVCM</t>
  </si>
  <si>
    <t>1FF665CES</t>
  </si>
  <si>
    <t>1FFG665CES</t>
  </si>
  <si>
    <t>1FF1136CES</t>
  </si>
  <si>
    <t>1FF1738CES</t>
  </si>
  <si>
    <t>4CS484C</t>
  </si>
  <si>
    <t>4FG484I</t>
  </si>
  <si>
    <t>5FGG400C</t>
  </si>
  <si>
    <t>4FT256I</t>
  </si>
  <si>
    <t>4TQG144I</t>
  </si>
  <si>
    <t>XC5VLX30T</t>
  </si>
  <si>
    <t>XC5VLX50T</t>
  </si>
  <si>
    <t>Nextreme2</t>
  </si>
  <si>
    <t>N2X260</t>
  </si>
  <si>
    <t>N23860</t>
  </si>
  <si>
    <t>N2X550</t>
  </si>
  <si>
    <t>N2X740</t>
  </si>
  <si>
    <t>N2X1000</t>
  </si>
  <si>
    <t>N2X1900</t>
  </si>
  <si>
    <t>N2XT1900</t>
  </si>
  <si>
    <t>1024x36</t>
  </si>
  <si>
    <t>SPD30</t>
  </si>
  <si>
    <t>SPD60</t>
  </si>
  <si>
    <t>SPD100</t>
  </si>
  <si>
    <t>SPD180</t>
  </si>
  <si>
    <t>picopipes</t>
  </si>
  <si>
    <t>1.725M</t>
  </si>
  <si>
    <t>3.400M</t>
  </si>
  <si>
    <t>7.200M</t>
  </si>
  <si>
    <t>11.700M</t>
  </si>
  <si>
    <t>10.375G</t>
  </si>
  <si>
    <t>achronix</t>
  </si>
  <si>
    <t>1.5Ghz pipelines</t>
  </si>
  <si>
    <t>16x8</t>
  </si>
  <si>
    <t>FG1892</t>
  </si>
  <si>
    <t>6FN484C</t>
  </si>
  <si>
    <t>PCI express</t>
  </si>
  <si>
    <t>10/100/1000ethernet MACs</t>
  </si>
  <si>
    <t>XC5VSX240T</t>
  </si>
  <si>
    <t>XC5VLX85T</t>
  </si>
  <si>
    <t>XC5VLX110T</t>
  </si>
  <si>
    <t>XC5VLX155T</t>
  </si>
  <si>
    <t>XC5VLX220T</t>
  </si>
  <si>
    <t>XC5VLX330T</t>
  </si>
  <si>
    <t>3G, FX&amp;TXT 6.5G</t>
  </si>
  <si>
    <t>6.5 Gbps SERDES</t>
  </si>
  <si>
    <t>aeroflex</t>
  </si>
  <si>
    <t>Eclipse</t>
  </si>
  <si>
    <t>A3PE3000</t>
  </si>
  <si>
    <t>256*18</t>
  </si>
  <si>
    <t>anti-fuse, all space grade</t>
  </si>
  <si>
    <t>RTAX</t>
  </si>
  <si>
    <t>10^6 bits</t>
  </si>
  <si>
    <t>confg BITS / LUT input</t>
  </si>
  <si>
    <t>M confg BITS</t>
  </si>
  <si>
    <t>onchip flash, no LUT RAM</t>
  </si>
  <si>
    <t>AGL010</t>
  </si>
  <si>
    <t>AGL020</t>
  </si>
  <si>
    <t>uCS36</t>
  </si>
  <si>
    <t>QN48</t>
  </si>
  <si>
    <t>QN68</t>
  </si>
  <si>
    <t>uCS81</t>
  </si>
  <si>
    <t>A3P015</t>
  </si>
  <si>
    <t>A3P010</t>
  </si>
  <si>
    <t>A3P020</t>
  </si>
  <si>
    <t>Virtex-6</t>
  </si>
  <si>
    <t>Spartan-6</t>
  </si>
  <si>
    <t>2x32,64bits</t>
  </si>
  <si>
    <t>XC6SLX4</t>
  </si>
  <si>
    <t>XC6SLX9</t>
  </si>
  <si>
    <t>XC6SLX16</t>
  </si>
  <si>
    <t>XC6SLX25</t>
  </si>
  <si>
    <t>XC6SLX45</t>
  </si>
  <si>
    <t>XC6SLX100</t>
  </si>
  <si>
    <t>XC6SLX150</t>
  </si>
  <si>
    <t>XC6SLX25T</t>
  </si>
  <si>
    <t>XC6SLX45T</t>
  </si>
  <si>
    <t>XC6SLX100T</t>
  </si>
  <si>
    <t>XC6SLX150T</t>
  </si>
  <si>
    <t>(2)256x36</t>
  </si>
  <si>
    <t>2.0Gbs PCI express</t>
  </si>
  <si>
    <t>1.05Gbs per differential pair</t>
  </si>
  <si>
    <t>4.0Gbs PCI express</t>
  </si>
  <si>
    <t>10-bit, ~25 channel A2D</t>
  </si>
  <si>
    <t>FIFO logic</t>
  </si>
  <si>
    <t>1.0, 1.2 - 2.5</t>
  </si>
  <si>
    <t>Block RAM ECC</t>
  </si>
  <si>
    <t>Arria II</t>
  </si>
  <si>
    <t>EP2AGX20</t>
  </si>
  <si>
    <t>EP2AGX30</t>
  </si>
  <si>
    <t>EP2AGX45</t>
  </si>
  <si>
    <t>EP2AGX65</t>
  </si>
  <si>
    <t>EP2AGX95</t>
  </si>
  <si>
    <t>EP2AGX125</t>
  </si>
  <si>
    <t>EP2AGX190</t>
  </si>
  <si>
    <t>EP2AGX260</t>
  </si>
  <si>
    <t>3.75Ghz</t>
  </si>
  <si>
    <t>(10K+)</t>
  </si>
  <si>
    <t>logic cell</t>
  </si>
  <si>
    <t>Y</t>
  </si>
  <si>
    <t>Grades</t>
  </si>
  <si>
    <t>Flash/AES</t>
  </si>
  <si>
    <t>Scrubbing</t>
  </si>
  <si>
    <t>F</t>
  </si>
  <si>
    <t>A</t>
  </si>
  <si>
    <t>S</t>
  </si>
  <si>
    <t>M</t>
  </si>
  <si>
    <t>i</t>
  </si>
  <si>
    <t xml:space="preserve">DDR, PCI, SPI, SFI, XSBI &amp; </t>
  </si>
  <si>
    <t>HyperTransport supported</t>
  </si>
  <si>
    <t>I</t>
  </si>
  <si>
    <t>Indust:-40..100 Junction temp</t>
  </si>
  <si>
    <t>Auto:-40..125 Junction temp</t>
  </si>
  <si>
    <t>F/A</t>
  </si>
  <si>
    <t>10^6 LC</t>
  </si>
  <si>
    <t>10^6 3LUTs</t>
  </si>
  <si>
    <t>Indust:-25..85 Junction temp</t>
  </si>
  <si>
    <t>Xilinx</t>
  </si>
  <si>
    <t>Lattice</t>
  </si>
  <si>
    <t>Altera</t>
  </si>
  <si>
    <t>LatticeECP3</t>
  </si>
  <si>
    <t>ECP3-35</t>
  </si>
  <si>
    <t>3.2Ghz</t>
  </si>
  <si>
    <t>25K+</t>
  </si>
  <si>
    <t>8-32 11.3Ghz SERDES chnls</t>
  </si>
  <si>
    <t>small RAM is 20x5LUT blocks</t>
  </si>
  <si>
    <t>half of CLBs can be MLABs</t>
  </si>
  <si>
    <t>0.9v core</t>
  </si>
  <si>
    <t>abound logic</t>
  </si>
  <si>
    <t>Raptor</t>
  </si>
  <si>
    <t>Rso750</t>
  </si>
  <si>
    <t>Rsx750</t>
  </si>
  <si>
    <t>64x9</t>
  </si>
  <si>
    <t>1x4</t>
  </si>
  <si>
    <t>2x8</t>
  </si>
  <si>
    <t>24x24</t>
  </si>
  <si>
    <t>3.125 Mbps SERDES</t>
  </si>
  <si>
    <t>1.25Gbs per differential pair</t>
  </si>
  <si>
    <t>3.125Gbs PCI express</t>
  </si>
  <si>
    <t>3FN484C</t>
  </si>
  <si>
    <t>F1935-1C</t>
  </si>
  <si>
    <t>6FN672C</t>
  </si>
  <si>
    <t>Mouser</t>
  </si>
  <si>
    <t>3TN144C</t>
  </si>
  <si>
    <t>4TN100C</t>
  </si>
  <si>
    <t>5F900C</t>
  </si>
  <si>
    <t>5F256C</t>
  </si>
  <si>
    <t>LFE2-20E</t>
  </si>
  <si>
    <t>LFE2-6E</t>
  </si>
  <si>
    <t>LFE2-12E</t>
  </si>
  <si>
    <t>6FN256C</t>
  </si>
  <si>
    <t>5FN672CES</t>
  </si>
  <si>
    <t>LFE2-35E</t>
  </si>
  <si>
    <t>5FN484C</t>
  </si>
  <si>
    <t>LFE2-50E</t>
  </si>
  <si>
    <t>5FN672C</t>
  </si>
  <si>
    <t>LFE2M20E</t>
  </si>
  <si>
    <t>LFE2-70SE</t>
  </si>
  <si>
    <t>LFE2M35E</t>
  </si>
  <si>
    <t>LFE2M-50</t>
  </si>
  <si>
    <t>LEF2M-70</t>
  </si>
  <si>
    <t>LFE2M-100</t>
  </si>
  <si>
    <t>XC4VLX60</t>
  </si>
  <si>
    <t>XC4VLX25</t>
  </si>
  <si>
    <t>XC4VLX100</t>
  </si>
  <si>
    <t>XC4VLX160</t>
  </si>
  <si>
    <t>XC4VLX200</t>
  </si>
  <si>
    <t>XC4VSX55</t>
  </si>
  <si>
    <t>XC4VFX60</t>
  </si>
  <si>
    <t>XC4VFX140</t>
  </si>
  <si>
    <t>RTAX250S/L</t>
  </si>
  <si>
    <t>RTAX1000S/L</t>
  </si>
  <si>
    <t>RTAX2000S/L</t>
  </si>
  <si>
    <t>RTAX2000D</t>
  </si>
  <si>
    <t>RTAX4000S/L</t>
  </si>
  <si>
    <t>RTAX4000D</t>
  </si>
  <si>
    <t>APA300</t>
  </si>
  <si>
    <t>APA600</t>
  </si>
  <si>
    <t>APA1000</t>
  </si>
  <si>
    <t>A3P600/L</t>
  </si>
  <si>
    <t>A3P1000/L</t>
  </si>
  <si>
    <t>A3P3000/L</t>
  </si>
  <si>
    <t>FQNG108</t>
  </si>
  <si>
    <t>FQNG180</t>
  </si>
  <si>
    <t>V5QN48</t>
  </si>
  <si>
    <t>V5QN68</t>
  </si>
  <si>
    <t>V5VQ100</t>
  </si>
  <si>
    <t>V2VQG100</t>
  </si>
  <si>
    <t>V5FFG144</t>
  </si>
  <si>
    <t>V5FFG256</t>
  </si>
  <si>
    <t>V5FFGG484</t>
  </si>
  <si>
    <t>Altium NB2: EP2C35F672C8</t>
  </si>
  <si>
    <t>Altium NB2: EP3C40F780C8N</t>
  </si>
  <si>
    <t>Altium NB2: LFECP33E-3FN672C</t>
  </si>
  <si>
    <t>Altium NB2: XC3S1500-4FGG676C</t>
  </si>
  <si>
    <t>Altium NB2: XC3S1400AN-4FGG676C</t>
  </si>
  <si>
    <t>Altium NB2: XC3SD1800-4FGG676C</t>
  </si>
  <si>
    <t>Altium NB2: XC4VLX25-10FF668C</t>
  </si>
  <si>
    <t>Altium NB2: XC4VSX35-10FFG668C</t>
  </si>
  <si>
    <t>1Kb flash</t>
  </si>
  <si>
    <t>(24+)</t>
  </si>
  <si>
    <t>VQG1000</t>
  </si>
  <si>
    <t>A3P/N030</t>
  </si>
  <si>
    <t>A3P/N060</t>
  </si>
  <si>
    <t>A3P/N125</t>
  </si>
  <si>
    <t>A3P/N250/L</t>
  </si>
  <si>
    <t>Altium</t>
  </si>
  <si>
    <t>Digilent</t>
  </si>
  <si>
    <t>Opal Kelly</t>
  </si>
  <si>
    <t>0%</t>
  </si>
  <si>
    <t>25%</t>
  </si>
  <si>
    <t>100%</t>
  </si>
  <si>
    <t>50%</t>
  </si>
  <si>
    <t>MI</t>
  </si>
  <si>
    <t>XC6VLX75T</t>
  </si>
  <si>
    <t>XC6VLX130T</t>
  </si>
  <si>
    <t>XC6VLX195T</t>
  </si>
  <si>
    <t>XC6VLX240T</t>
  </si>
  <si>
    <t>XC6VLX365T</t>
  </si>
  <si>
    <t>XC6VLX550T</t>
  </si>
  <si>
    <t>XC6VLX760T</t>
  </si>
  <si>
    <t>XC6VSX475T</t>
  </si>
  <si>
    <t>XC6VSX315T</t>
  </si>
  <si>
    <t>mfg</t>
  </si>
  <si>
    <t>LC per Mult</t>
  </si>
  <si>
    <t>UT6325</t>
  </si>
  <si>
    <t>LC/$</t>
  </si>
  <si>
    <t>EP4S40G5</t>
  </si>
  <si>
    <t>EP4S100G5</t>
  </si>
  <si>
    <t>G2, G3, G4 &amp; G5 variants</t>
  </si>
  <si>
    <t>G2 &amp; G5 variants</t>
  </si>
  <si>
    <t>XC6VHX250T</t>
  </si>
  <si>
    <t>XC6VHX255T</t>
  </si>
  <si>
    <t>XC6VHX380T</t>
  </si>
  <si>
    <t>XC6VHX565T</t>
  </si>
  <si>
    <t>3G, FX&amp;TXT 3.125G</t>
  </si>
  <si>
    <t>XC6SLX75T</t>
  </si>
  <si>
    <t>Cyclone IV</t>
  </si>
  <si>
    <t>EP4CE6</t>
  </si>
  <si>
    <t>EP4CE10</t>
  </si>
  <si>
    <t>EP4CE15</t>
  </si>
  <si>
    <t>EP4CE30</t>
  </si>
  <si>
    <t>EP4CE40</t>
  </si>
  <si>
    <t>EP4CE55</t>
  </si>
  <si>
    <t>EP4CE75</t>
  </si>
  <si>
    <t>EP4CE115</t>
  </si>
  <si>
    <t>EP4CGX15</t>
  </si>
  <si>
    <t>EP4CGX22</t>
  </si>
  <si>
    <t>EP4CGX30</t>
  </si>
  <si>
    <t>EP4CGX50</t>
  </si>
  <si>
    <t>EP4CGX75</t>
  </si>
  <si>
    <t>EP4CGX110</t>
  </si>
  <si>
    <t>2.5-3.125Gbps</t>
  </si>
  <si>
    <t>6FN672CTW</t>
  </si>
  <si>
    <t>iCE65L01</t>
  </si>
  <si>
    <t>GTX/GTH</t>
  </si>
  <si>
    <t>12/0</t>
  </si>
  <si>
    <t>20/0</t>
  </si>
  <si>
    <t>24/0</t>
  </si>
  <si>
    <t>36/0</t>
  </si>
  <si>
    <t>0/0</t>
  </si>
  <si>
    <t>48/0</t>
  </si>
  <si>
    <t>48/24</t>
  </si>
  <si>
    <t>GTX @ 0.15 to 6.5 Gbps</t>
  </si>
  <si>
    <t>GTH @ 2.488 to 11+ Gbs</t>
  </si>
  <si>
    <t>3FT324C</t>
  </si>
  <si>
    <t>3T100C4</t>
  </si>
  <si>
    <t>2FG484C</t>
  </si>
  <si>
    <t>2CSG484C</t>
  </si>
  <si>
    <t>2CPG192C</t>
  </si>
  <si>
    <t>2CSG324C</t>
  </si>
  <si>
    <t>XC6SLX75</t>
  </si>
  <si>
    <t>2CPG196C</t>
  </si>
  <si>
    <t>NuHorizons</t>
  </si>
  <si>
    <t>1FFG784C</t>
  </si>
  <si>
    <t>1FFG1760C</t>
  </si>
  <si>
    <t>XC5VLX20T</t>
  </si>
  <si>
    <t>kit name</t>
  </si>
  <si>
    <t>http://www.actel.com/products/hardware/default.aspx</t>
  </si>
  <si>
    <t>Kit pictures &amp; data sheets</t>
  </si>
  <si>
    <t>Low cost FPGA kits</t>
  </si>
  <si>
    <t>James Brakefield ©2010</t>
  </si>
  <si>
    <t>http://www.actel.com/products/hardware/devkits_boards/igloo_icicle.aspx</t>
  </si>
  <si>
    <t>IGLOO® Icicle Evaluation Kit</t>
  </si>
  <si>
    <t>Fusion Embedded Development Kit</t>
  </si>
  <si>
    <t>http://www.actel.com/products/hardware/devkits_boards/fusion_embedded.aspx</t>
  </si>
  <si>
    <t>Kit &amp; Evaluation board websites</t>
  </si>
  <si>
    <t>IGLOO® Icicle Eval Kit</t>
  </si>
  <si>
    <t>Fusion Embedded Dev Kit</t>
  </si>
  <si>
    <t>http://www.altera.com/products/devkits/kit-dev_platforms.jsp</t>
  </si>
  <si>
    <t>Includes pricing</t>
  </si>
  <si>
    <t>http://www.terasic.com.tw/cgi-bin/page/archive.pl?Language=English&amp;No=364</t>
  </si>
  <si>
    <t>Altera DE0 Board</t>
  </si>
  <si>
    <t>terasIC</t>
  </si>
  <si>
    <t>MAX II Micro Kit</t>
  </si>
  <si>
    <t>http://www.latticesemi.com/store/eval_boards_fpga.cfm</t>
  </si>
  <si>
    <t>http://www.latticesemi.com/products/developmenthardware/developmentkits/machxominidevelopmentkit.cfm</t>
  </si>
  <si>
    <t>MachXO Mini Development Kit</t>
  </si>
  <si>
    <t>http://www.terasic.com.tw/cgi-bin/page/archive.pl?Language=English&amp;CategoryNo=39&amp;No=215</t>
  </si>
  <si>
    <t>http://www.digilentinc.com/Products/Catalog.cfm?NavPath=2,400&amp;Cat=10</t>
  </si>
  <si>
    <t>Basys2 FPGA Board</t>
  </si>
  <si>
    <t>http://www.digilentinc.com/Products/Detail.cfm?NavPath=2,400,790&amp;Prod=BASYS2</t>
  </si>
  <si>
    <t>Pricing at data sheet page</t>
  </si>
  <si>
    <t>Latticesemi</t>
  </si>
  <si>
    <t>http://www.digilentinc.com/Products/Detail.cfm?NavPath=2,400,789&amp;Prod=NEXYS2</t>
  </si>
  <si>
    <t>Digilentinc</t>
  </si>
  <si>
    <t>Nexys2 FPGA Board</t>
  </si>
  <si>
    <t>http://www.opalkelly.com/products/</t>
  </si>
  <si>
    <t>http://www.opalkelly.com/products/xem3001/</t>
  </si>
  <si>
    <t>XEM3001</t>
  </si>
  <si>
    <t>http://nb3000.altium.com/intro.html</t>
  </si>
  <si>
    <t>http://nb3000.altium.com/PDFs/NB3000%20Product%20Data%20Sheet_en.pdf</t>
  </si>
  <si>
    <t>NanoBoard 3000XN</t>
  </si>
  <si>
    <t>Newark</t>
  </si>
  <si>
    <t>OpalKelly</t>
  </si>
  <si>
    <t>Cyclone III &amp; Lattice ECP2 also available at same price</t>
  </si>
  <si>
    <t>http://www.xilinx.com/products/boards_kits/spartan6.htm</t>
  </si>
  <si>
    <t>http://www.xilinx.com/products/devkits/EK-S6-SP601-G.htm</t>
  </si>
  <si>
    <t>SP601 Evaluation Kit</t>
  </si>
  <si>
    <t>http://www.easyfpga.com/index.htm</t>
  </si>
  <si>
    <t>Small form factor Altera &amp; Xilinx boards</t>
  </si>
  <si>
    <t>http://www.jopdesign.com/cyclone/index.jsp</t>
  </si>
  <si>
    <t>Java optimized processor on Cyclone board</t>
  </si>
  <si>
    <t>http://www.knjn.com/FPGA-RS232.html</t>
  </si>
  <si>
    <t>Xess</t>
  </si>
  <si>
    <t>XSA-3S1000</t>
  </si>
  <si>
    <t>ZTEX</t>
  </si>
  <si>
    <t>USB-FPGA-Module 1.2</t>
  </si>
  <si>
    <r>
      <t xml:space="preserve">Commercial side of </t>
    </r>
    <r>
      <rPr>
        <u/>
        <sz val="10"/>
        <color indexed="12"/>
        <rFont val="Arial"/>
        <family val="2"/>
      </rPr>
      <t>www.fpga4fun.com</t>
    </r>
  </si>
  <si>
    <t>kit cost</t>
  </si>
  <si>
    <t>chip low price</t>
  </si>
  <si>
    <t>Digikey</t>
  </si>
  <si>
    <t>Cyclone III EP3C25 kit</t>
  </si>
  <si>
    <t>http://search.digikey.com/scripts/DkSearch/dksus.dll?pname?site=us;lang=en;name=544-2370-ND</t>
  </si>
  <si>
    <t>Includes pricing, has USB,  virtual instrumentation &amp; virtual IO</t>
  </si>
  <si>
    <t>Includes one year software IDE &amp; FPGA tool license: Altium Designer Soft Design license, soft cores, virtual instrumentation, C-to-VHDL</t>
  </si>
  <si>
    <t>LX16 Evaluation Kit</t>
  </si>
  <si>
    <t>Drigmorn3</t>
  </si>
  <si>
    <t>Enterpoint</t>
  </si>
  <si>
    <t>http://www.enterpoint.co.uk/drigmorn/drigmorn3.html</t>
  </si>
  <si>
    <t>http://www.em.avnet.com/ctf_shared/evk/df2df2usa/xlx-s6-lx16-evl-pb102009.pdf</t>
  </si>
  <si>
    <t>http://www.altera.com/b/nios-bemicro-evaluation-kit.html</t>
  </si>
  <si>
    <t>BeMicro</t>
  </si>
  <si>
    <t>USB dongle kit</t>
  </si>
  <si>
    <t>USB stick by Hitek</t>
  </si>
  <si>
    <t>1.-1.2,1.-3.3</t>
  </si>
  <si>
    <t>iCE65P12</t>
  </si>
  <si>
    <t>iCE65L/P08</t>
  </si>
  <si>
    <t>iCE65L/P04</t>
  </si>
  <si>
    <t>P1</t>
  </si>
  <si>
    <t>P2</t>
  </si>
  <si>
    <t>P series has PLL &amp; SERDES</t>
  </si>
  <si>
    <t>A2F060</t>
  </si>
  <si>
    <t>hard core 100Mhz Cortex M3</t>
  </si>
  <si>
    <t>A2F200</t>
  </si>
  <si>
    <t>A2F500</t>
  </si>
  <si>
    <t>64KBF/16KBR</t>
  </si>
  <si>
    <t>256KBF/64KBR</t>
  </si>
  <si>
    <t>512KBF/64KBR</t>
  </si>
  <si>
    <t>FGG484</t>
  </si>
  <si>
    <t>SmartFusion Eval Kit</t>
  </si>
  <si>
    <t>Stratix V</t>
  </si>
  <si>
    <t>Artix-7</t>
  </si>
  <si>
    <t>Kintex-7</t>
  </si>
  <si>
    <t>Virtex-7</t>
  </si>
  <si>
    <t>G1 PCI express</t>
  </si>
  <si>
    <t>G2 PCI express</t>
  </si>
  <si>
    <t>GDP 3.75G</t>
  </si>
  <si>
    <t>GTX 10.3125g</t>
  </si>
  <si>
    <t>GTX/GTH 10/13g</t>
  </si>
  <si>
    <t>XC6VCX75T</t>
  </si>
  <si>
    <t>XC6VCX130T</t>
  </si>
  <si>
    <t>XC6VCX195T</t>
  </si>
  <si>
    <t>XC6VCX240T</t>
  </si>
  <si>
    <t>12</t>
  </si>
  <si>
    <t>16</t>
  </si>
  <si>
    <t>XC7K70T</t>
  </si>
  <si>
    <t>XC7K410T</t>
  </si>
  <si>
    <t>MMCM</t>
  </si>
  <si>
    <t>XC7V585T</t>
  </si>
  <si>
    <t>XC7V1500T</t>
  </si>
  <si>
    <t>XC7V2000T</t>
  </si>
  <si>
    <t>XC7VX415T</t>
  </si>
  <si>
    <t>XC7VX485T</t>
  </si>
  <si>
    <t>G2/3 PCI express</t>
  </si>
  <si>
    <t>GDP 3.75 Gbps SERDES</t>
  </si>
  <si>
    <t>GTX 10.3125 Gbps SERDES</t>
  </si>
  <si>
    <t>0.85v core</t>
  </si>
  <si>
    <t>27x27</t>
  </si>
  <si>
    <t>11.3Ghz</t>
  </si>
  <si>
    <t>9x9,18x18,27x27,36x36 54x54 multiply support</t>
  </si>
  <si>
    <t>1/2.65 ALM</t>
  </si>
  <si>
    <t>K LUTs</t>
  </si>
  <si>
    <t>K Logic Cells</t>
  </si>
  <si>
    <t>F22C8N</t>
  </si>
  <si>
    <t>F23C8N</t>
  </si>
  <si>
    <t>BN11C8N</t>
  </si>
  <si>
    <t>EP4CGX150</t>
  </si>
  <si>
    <t>DF27C7N</t>
  </si>
  <si>
    <t>F29C3</t>
  </si>
  <si>
    <t>FF35C3N</t>
  </si>
  <si>
    <t>EP4SGX180</t>
  </si>
  <si>
    <t>HF35C4N</t>
  </si>
  <si>
    <t>EP4SE820</t>
  </si>
  <si>
    <t>F43C4N</t>
  </si>
  <si>
    <t>H40C4N</t>
  </si>
  <si>
    <t>F35C4N</t>
  </si>
  <si>
    <t>F29C4N</t>
  </si>
  <si>
    <t>F40C2ES1</t>
  </si>
  <si>
    <t>soft core Cortex M1</t>
  </si>
  <si>
    <t>512x40</t>
  </si>
  <si>
    <t>ALM can do 6LUT or (2) 4LUT &amp; other LUT combinations</t>
  </si>
  <si>
    <t>Cortex M3</t>
  </si>
  <si>
    <t>LatticeXP2 Brevia Dev Kit</t>
  </si>
  <si>
    <t>65nm</t>
  </si>
  <si>
    <t>180nm</t>
  </si>
  <si>
    <t>250nm</t>
  </si>
  <si>
    <t>90nm</t>
  </si>
  <si>
    <t>130nm</t>
  </si>
  <si>
    <t>40nm</t>
  </si>
  <si>
    <t>28nm</t>
  </si>
  <si>
    <t>45nm</t>
  </si>
  <si>
    <t>MachXO2</t>
  </si>
  <si>
    <t>LCMXO2-256</t>
  </si>
  <si>
    <t>LCMXO2-640</t>
  </si>
  <si>
    <t>LCMXO2-1200</t>
  </si>
  <si>
    <t>LCMXO2-2000</t>
  </si>
  <si>
    <t>LCMXO2-4000</t>
  </si>
  <si>
    <t>LCMXO2-7000</t>
  </si>
  <si>
    <t>512x18</t>
  </si>
  <si>
    <t>I2C,SPI,timer</t>
  </si>
  <si>
    <t>8x gearbox</t>
  </si>
  <si>
    <t>LUT ram</t>
  </si>
  <si>
    <t>ua idle mode, onchip flash &amp; clk</t>
  </si>
  <si>
    <t>LatticeSemi</t>
  </si>
  <si>
    <t>Atlys eval kit</t>
  </si>
  <si>
    <t>XC7VX690T</t>
  </si>
  <si>
    <t>XC7VH290T</t>
  </si>
  <si>
    <t>XC7VH580T</t>
  </si>
  <si>
    <t>XC7VH870T</t>
  </si>
  <si>
    <t>7VH: GTZ 28.05 Gbps SERDES</t>
  </si>
  <si>
    <t>XC7K160T</t>
  </si>
  <si>
    <t>XC7K325T</t>
  </si>
  <si>
    <t>Cyclone V</t>
  </si>
  <si>
    <t>Arria V</t>
  </si>
  <si>
    <t>6,10Ghz</t>
  </si>
  <si>
    <t>25% of CLBs can be MLABs</t>
  </si>
  <si>
    <t>24,0</t>
  </si>
  <si>
    <t>36,0</t>
  </si>
  <si>
    <t>mem ctlrs</t>
  </si>
  <si>
    <t>256x40</t>
  </si>
  <si>
    <t>embed uP column = memory ctlrs</t>
  </si>
  <si>
    <t>1.25 Gps LVDS</t>
  </si>
  <si>
    <t>DDR3 at 533 Mhz</t>
  </si>
  <si>
    <t>"planned" advance info</t>
  </si>
  <si>
    <t>3,5 Gbps</t>
  </si>
  <si>
    <t>DDR3 at 400 Mhz</t>
  </si>
  <si>
    <t>3,0</t>
  </si>
  <si>
    <t>6,0</t>
  </si>
  <si>
    <t>9,0</t>
  </si>
  <si>
    <t>28,14 Gbps</t>
  </si>
  <si>
    <t>14.1 &amp; 28 Gbps SERDES</t>
  </si>
  <si>
    <t>2.5V max IO's on GT devices</t>
  </si>
  <si>
    <t>5SGTC5</t>
  </si>
  <si>
    <t>5SGTC7</t>
  </si>
  <si>
    <t>4,32</t>
  </si>
  <si>
    <t>1.4 Gbps LVDS</t>
  </si>
  <si>
    <t>DDR3 at 800 Mhz</t>
  </si>
  <si>
    <t>0,36</t>
  </si>
  <si>
    <t>0,48</t>
  </si>
  <si>
    <t>6LUTs</t>
  </si>
  <si>
    <t>LC/Mult is 2000*col M/col Q</t>
  </si>
  <si>
    <t>9x9,18x18,27x27 multiply support</t>
  </si>
  <si>
    <t>LX9 Evaluation Kit</t>
  </si>
  <si>
    <t>http://www.em.avnet.com/ctf_shared/evk/df2df2usa/xlx-s6-lx9-microboard-pb012411.pdf</t>
  </si>
  <si>
    <t>Zynq-7000</t>
  </si>
  <si>
    <t>A9</t>
  </si>
  <si>
    <t>KB</t>
  </si>
  <si>
    <t>(2) 800Mhz Cortex A9 per chip, boot 1st</t>
  </si>
  <si>
    <t>(2)12-bit A2D, 17 chnls</t>
  </si>
  <si>
    <t>130 pins for Cortex A9</t>
  </si>
  <si>
    <t>A9: USB,Eth,SPI,CAN,UART,DMA</t>
  </si>
  <si>
    <t>Tabula</t>
  </si>
  <si>
    <t>ABAX</t>
  </si>
  <si>
    <t>A1EC02</t>
  </si>
  <si>
    <t>A1EC03</t>
  </si>
  <si>
    <t>A1EC04</t>
  </si>
  <si>
    <t>A1EC06</t>
  </si>
  <si>
    <t>55Mbps-6.5Gbps SERDES</t>
  </si>
  <si>
    <t>TDM fabric: 1.6GHz clk, 8 "folds"</t>
  </si>
  <si>
    <t>single port RAM &amp; folds= octal port RAM</t>
  </si>
  <si>
    <t>16 bits</t>
  </si>
  <si>
    <t>4Kx9</t>
  </si>
  <si>
    <t>8Kx9</t>
  </si>
  <si>
    <t>Phoenicselectronics</t>
  </si>
  <si>
    <t>iCE40LP/HX1K</t>
  </si>
  <si>
    <t>iCE40LP/HX8K</t>
  </si>
  <si>
    <t>iCE40LP/HX16K</t>
  </si>
  <si>
    <t>CM36</t>
  </si>
  <si>
    <t>CM121</t>
  </si>
  <si>
    <t>CM225</t>
  </si>
  <si>
    <t>22nm</t>
  </si>
  <si>
    <t>Speedster22i</t>
  </si>
  <si>
    <t>1.5GHz fabric</t>
  </si>
  <si>
    <t>Fabed by Intel</t>
  </si>
  <si>
    <t>BeMicro FPGA-Stick</t>
  </si>
  <si>
    <t>LatticeECP3 Vers Dev Kit</t>
  </si>
  <si>
    <t>MachX02 Pico Eval Board</t>
  </si>
  <si>
    <t>2TQG144C</t>
  </si>
  <si>
    <t>2FTG256C</t>
  </si>
  <si>
    <t>2FGG484C</t>
  </si>
  <si>
    <t>LatticeECP4</t>
  </si>
  <si>
    <t>ECP4-30</t>
  </si>
  <si>
    <t>ECP4-50</t>
  </si>
  <si>
    <t>ECP4-95</t>
  </si>
  <si>
    <t>ECP4-130</t>
  </si>
  <si>
    <t>ECP4-190</t>
  </si>
  <si>
    <t>ECP4-250</t>
  </si>
  <si>
    <t>MACO</t>
  </si>
  <si>
    <t>MACO: PCI Exp2.1, SONET,GMII,…</t>
  </si>
  <si>
    <t>SrcSync</t>
  </si>
  <si>
    <t>Src Sync CDRs @ 1.25Gbps</t>
  </si>
  <si>
    <t>Builtin FIFO logic</t>
  </si>
  <si>
    <t>Distinct IO &amp; core clocks</t>
  </si>
  <si>
    <t>54-bit ALU with logic functions</t>
  </si>
  <si>
    <t>DDR3, QDR-II support (1066, 900Mbps)</t>
  </si>
  <si>
    <t>DDR DSP "slices"</t>
  </si>
  <si>
    <t>5TN144C</t>
  </si>
  <si>
    <t>5QN208C</t>
  </si>
  <si>
    <t>5FTN256</t>
  </si>
  <si>
    <t>LFXP2-5</t>
  </si>
  <si>
    <t>LFXP2-8</t>
  </si>
  <si>
    <t>LFXP2-17</t>
  </si>
  <si>
    <t>LFXP2-30</t>
  </si>
  <si>
    <t>LFXP2-40</t>
  </si>
  <si>
    <t>6FTN256C</t>
  </si>
  <si>
    <t>4TG100C</t>
  </si>
  <si>
    <t>F23C7N</t>
  </si>
  <si>
    <t>CF23C7N</t>
  </si>
  <si>
    <t>DF31C7N</t>
  </si>
  <si>
    <t>F29C7N</t>
  </si>
  <si>
    <t>E22C7N</t>
  </si>
  <si>
    <t>BF14C7N</t>
  </si>
  <si>
    <t>1FH1761C</t>
  </si>
  <si>
    <t>1FF484C</t>
  </si>
  <si>
    <t>1FFG484C</t>
  </si>
  <si>
    <t>1FF784C</t>
  </si>
  <si>
    <t>1FFG1154C</t>
  </si>
  <si>
    <t>1FF1155CES</t>
  </si>
  <si>
    <t>1FF1155C</t>
  </si>
  <si>
    <t>1FF1923C</t>
  </si>
  <si>
    <t>1FFG1156C</t>
  </si>
  <si>
    <t>1FF1156C</t>
  </si>
  <si>
    <t>CS324C</t>
  </si>
  <si>
    <t>Includes pricing, Spartan-3  &amp; Spartan-6 boards</t>
  </si>
  <si>
    <t>XC7A8</t>
  </si>
  <si>
    <t>XC7A15</t>
  </si>
  <si>
    <t>XC7A30T</t>
  </si>
  <si>
    <t>XC7A50T</t>
  </si>
  <si>
    <t>XC7A100T</t>
  </si>
  <si>
    <t>XC7A200T</t>
  </si>
  <si>
    <t>XC7A350T</t>
  </si>
  <si>
    <t>XC7K355T</t>
  </si>
  <si>
    <t>XC7K420T</t>
  </si>
  <si>
    <t>XC7K480T</t>
  </si>
  <si>
    <t>XC7VX330T</t>
  </si>
  <si>
    <t>XC7VX550T</t>
  </si>
  <si>
    <t>XC7VX980T</t>
  </si>
  <si>
    <t>XC7VX1140T</t>
  </si>
  <si>
    <t>XADC</t>
  </si>
  <si>
    <t>XADC: (2) 12-bit A2D, 17 inputs</t>
  </si>
  <si>
    <t>block RAM ECC logic</t>
  </si>
  <si>
    <t>hdw FIFOs</t>
  </si>
  <si>
    <t>uP</t>
  </si>
  <si>
    <t>30,0</t>
  </si>
  <si>
    <t>12,6</t>
  </si>
  <si>
    <t>896BGA</t>
  </si>
  <si>
    <t>3CSG400E</t>
  </si>
  <si>
    <t>XC7Z7020</t>
  </si>
  <si>
    <t>XEM6001</t>
  </si>
  <si>
    <t>XEM6010</t>
  </si>
  <si>
    <t>2FGG484</t>
  </si>
  <si>
    <t>XEM6110</t>
  </si>
  <si>
    <t>32M</t>
  </si>
  <si>
    <t>1x1G</t>
  </si>
  <si>
    <t>Flash</t>
  </si>
  <si>
    <t>DDR</t>
  </si>
  <si>
    <t>HS-USB</t>
  </si>
  <si>
    <t>Trenz Electronic</t>
  </si>
  <si>
    <t>TKDN-SP6-45</t>
  </si>
  <si>
    <t>1x.5G</t>
  </si>
  <si>
    <t>16M</t>
  </si>
  <si>
    <t>PCI Express</t>
  </si>
  <si>
    <t>64M</t>
  </si>
  <si>
    <t>TE0600-01B</t>
  </si>
  <si>
    <t>2x1G</t>
  </si>
  <si>
    <t>128M</t>
  </si>
  <si>
    <t>256M</t>
  </si>
  <si>
    <t>CS3G24C</t>
  </si>
  <si>
    <t>Silica</t>
  </si>
  <si>
    <t>Xynergy</t>
  </si>
  <si>
    <t>USB-FPGA_Module 1.11</t>
  </si>
  <si>
    <t>USB-FPGA Module 1.15a</t>
  </si>
  <si>
    <t>microSD</t>
  </si>
  <si>
    <t>http://tristesse.org/FPGA/CheapFPGADevelopmentBoards</t>
  </si>
  <si>
    <t>"Cheap FPGA Development Boards"</t>
  </si>
  <si>
    <t>2M</t>
  </si>
  <si>
    <t>25x51</t>
  </si>
  <si>
    <t>size</t>
  </si>
  <si>
    <t>40x50</t>
  </si>
  <si>
    <t>40x47</t>
  </si>
  <si>
    <t>50x75</t>
  </si>
  <si>
    <t>iVeia</t>
  </si>
  <si>
    <t>Atlas-I-Z7e</t>
  </si>
  <si>
    <t>32x86</t>
  </si>
  <si>
    <t>Shuttle LX1</t>
  </si>
  <si>
    <t>50x69</t>
  </si>
  <si>
    <t>FMC light</t>
  </si>
  <si>
    <t>XCM-018Z-LX45</t>
  </si>
  <si>
    <t>54x86</t>
  </si>
  <si>
    <t>HuMANDATA LTD</t>
  </si>
  <si>
    <t>Silicon on inspiration</t>
  </si>
  <si>
    <t>41x76</t>
  </si>
  <si>
    <t>JTAG</t>
  </si>
  <si>
    <t>Zedboard</t>
  </si>
  <si>
    <t>EPP Zc7020</t>
  </si>
  <si>
    <t>Speedster22iHD</t>
  </si>
  <si>
    <t>HD210</t>
  </si>
  <si>
    <t>HD680</t>
  </si>
  <si>
    <t>HD1000</t>
  </si>
  <si>
    <t>HD1500</t>
  </si>
  <si>
    <t>HP360</t>
  </si>
  <si>
    <t>Speedster22i HP</t>
  </si>
  <si>
    <t>28x28</t>
  </si>
  <si>
    <t>12.75G</t>
  </si>
  <si>
    <t>2048x40</t>
  </si>
  <si>
    <t>(4) 28Gb/s SERDES</t>
  </si>
  <si>
    <t>(16) 28Gb/s SERDES</t>
  </si>
  <si>
    <t>10/40/100G ethernet, 100G Interlaken</t>
  </si>
  <si>
    <t>PCIe gen 1/2/3, 2.133Mbps DDR3</t>
  </si>
  <si>
    <t>64x10</t>
  </si>
  <si>
    <t>(6) 4LUT &amp; (4) 4LUTw/C per CLB</t>
  </si>
  <si>
    <t>K picopipes</t>
  </si>
  <si>
    <t>E22C8N</t>
  </si>
  <si>
    <t>E22C9LN</t>
  </si>
  <si>
    <t>CU17C6N</t>
  </si>
  <si>
    <t>DE0-Nano Development Board</t>
  </si>
  <si>
    <t>BeMicro SDK</t>
  </si>
  <si>
    <t>Spartan 6 LX9 + 32MB DRAM</t>
  </si>
  <si>
    <t>includes STM32F217</t>
  </si>
  <si>
    <t>81x81</t>
  </si>
  <si>
    <t>also LX4@$51</t>
  </si>
  <si>
    <t>1FB676C</t>
  </si>
  <si>
    <t>1FFG1157CES</t>
  </si>
  <si>
    <t>1FFG1930CES</t>
  </si>
  <si>
    <t>1FLG1928CES</t>
  </si>
  <si>
    <t>FF35C6N</t>
  </si>
  <si>
    <t>DF25C6N</t>
  </si>
  <si>
    <t>EF29C5N</t>
  </si>
  <si>
    <t>EF29C6</t>
  </si>
  <si>
    <t>484UBGA</t>
  </si>
  <si>
    <t>5AGXMA1</t>
  </si>
  <si>
    <t>5AGXMA3</t>
  </si>
  <si>
    <t>5AGXMA5</t>
  </si>
  <si>
    <t>5AGXMA7</t>
  </si>
  <si>
    <t>5AGXMB1</t>
  </si>
  <si>
    <t>5AGXMB5</t>
  </si>
  <si>
    <t>1152BGA</t>
  </si>
  <si>
    <t>5SGXMA3</t>
  </si>
  <si>
    <t>5SGXMA4</t>
  </si>
  <si>
    <t>5SGXMA7</t>
  </si>
  <si>
    <t>5SGXMB6</t>
  </si>
  <si>
    <t>5SGSMD3</t>
  </si>
  <si>
    <t>5SGSMD4</t>
  </si>
  <si>
    <t>5SGSMD5</t>
  </si>
  <si>
    <t>5SGSMD6</t>
  </si>
  <si>
    <t>5SGSMD8</t>
  </si>
  <si>
    <t>780BGA</t>
  </si>
  <si>
    <t>1517BGA</t>
  </si>
  <si>
    <t>672BGA</t>
  </si>
  <si>
    <t>484BGA</t>
  </si>
  <si>
    <t>672UBGA</t>
  </si>
  <si>
    <t>TQG144</t>
  </si>
  <si>
    <t>PQG208</t>
  </si>
  <si>
    <t>EmCraft</t>
  </si>
  <si>
    <t>module $69 @500+</t>
  </si>
  <si>
    <t>SmartFusion SOM starter kit</t>
  </si>
  <si>
    <t>csBGA132</t>
  </si>
  <si>
    <t>4TG144C</t>
  </si>
  <si>
    <t>1UW25ITR</t>
  </si>
  <si>
    <t>ICE40HX1K-BLINK-EVN</t>
  </si>
  <si>
    <t>Lattice/SiliconBlue</t>
  </si>
  <si>
    <t>Cypress</t>
  </si>
  <si>
    <t>PSoC 3</t>
  </si>
  <si>
    <t>ARM Cortex M3</t>
  </si>
  <si>
    <t>I8051</t>
  </si>
  <si>
    <t>256KB</t>
  </si>
  <si>
    <t>64KB</t>
  </si>
  <si>
    <t>MC</t>
  </si>
  <si>
    <t>32KB</t>
  </si>
  <si>
    <t>CY8C32xx</t>
  </si>
  <si>
    <t>CY8C38xx</t>
  </si>
  <si>
    <t>2KB</t>
  </si>
  <si>
    <t>16KB</t>
  </si>
  <si>
    <t>50-67MHz 8051, ALUs</t>
  </si>
  <si>
    <t>QFN68</t>
  </si>
  <si>
    <t>TQFP100</t>
  </si>
  <si>
    <t>QFN48</t>
  </si>
  <si>
    <t>uP RAM</t>
  </si>
  <si>
    <t>uP flash</t>
  </si>
  <si>
    <t>40-67MHz Cortex M3, FIR/IIR, ALUs, USB</t>
  </si>
  <si>
    <t>USB, CAN, FIR/IIR</t>
  </si>
  <si>
    <t>CY8CKIT_0500PS0C 5</t>
  </si>
  <si>
    <t>CY8CKIT_0300PS0C 3</t>
  </si>
  <si>
    <t>CY8C5568AXI-060</t>
  </si>
  <si>
    <t>CY8C3866AXI-040</t>
  </si>
  <si>
    <t>ARM M3</t>
  </si>
  <si>
    <t>SmartFusion2</t>
  </si>
  <si>
    <t>4LUTs</t>
  </si>
  <si>
    <t>M2S005</t>
  </si>
  <si>
    <t>M2S010</t>
  </si>
  <si>
    <t>M2S025</t>
  </si>
  <si>
    <t>M2S050</t>
  </si>
  <si>
    <t>VF400</t>
  </si>
  <si>
    <t>FC1152</t>
  </si>
  <si>
    <t>64x18</t>
  </si>
  <si>
    <t>total</t>
  </si>
  <si>
    <t>5Ghz</t>
  </si>
  <si>
    <t>10/100/1000 ethernet, PCIe, 333Mhz DDR ctlrs</t>
  </si>
  <si>
    <t>uP ECC 64KB SRAM</t>
  </si>
  <si>
    <t>AES-256, rand num gen, SEI immune</t>
  </si>
  <si>
    <t>KB flash</t>
  </si>
  <si>
    <t>3port 64x18 RAM</t>
  </si>
  <si>
    <t>2 UART, 2 SPI, 2 I2C, 1 CAN, 1 USB, 2 DMA</t>
  </si>
  <si>
    <t>166Mhz Cortex M3, 4LUTs, SERDES, DSP</t>
  </si>
  <si>
    <t>NI</t>
  </si>
  <si>
    <t>90 day Labview, RT &amp; FPGA license</t>
  </si>
  <si>
    <t>RIO single board eval kit</t>
  </si>
  <si>
    <t>1FB484C</t>
  </si>
  <si>
    <t>1FF901C</t>
  </si>
  <si>
    <t>1FFG1157C</t>
  </si>
  <si>
    <t>XC7A20SLT</t>
  </si>
  <si>
    <t>XC7A35SLT</t>
  </si>
  <si>
    <t>CMT</t>
  </si>
  <si>
    <t>FGG896ES</t>
  </si>
  <si>
    <t>enclustra</t>
  </si>
  <si>
    <t>Mars MA-ZX3-20-1C-D9</t>
  </si>
  <si>
    <t>CLG484</t>
  </si>
  <si>
    <t>AT40</t>
  </si>
  <si>
    <t>ATF280</t>
  </si>
  <si>
    <t>ATFS450</t>
  </si>
  <si>
    <t>350,180,150nm</t>
  </si>
  <si>
    <t>256MQFPF</t>
  </si>
  <si>
    <t>AT40K</t>
  </si>
  <si>
    <t>is 2nd die on ATF697 Sparc v8 product</t>
  </si>
  <si>
    <t>3.3-5</t>
  </si>
  <si>
    <t>AT40K05</t>
  </si>
  <si>
    <t>AT40K10</t>
  </si>
  <si>
    <t>AT40K20</t>
  </si>
  <si>
    <t>AT40K40</t>
  </si>
  <si>
    <t>84PLCC</t>
  </si>
  <si>
    <t>144LQP</t>
  </si>
  <si>
    <t>5.0vdc: MCI, 3.3vdc: -LV &amp; CI</t>
  </si>
  <si>
    <t>200MHz LVDS</t>
  </si>
  <si>
    <t>large RAM is for AVR program &amp; data</t>
  </si>
  <si>
    <t>6.5Gbps</t>
  </si>
  <si>
    <t>N2XT330</t>
  </si>
  <si>
    <t>N2XT580</t>
  </si>
  <si>
    <t>product not supported</t>
  </si>
  <si>
    <t>nolonger offered</t>
  </si>
  <si>
    <t>actel</t>
  </si>
  <si>
    <t>SmartFusion2 System-On_Module</t>
  </si>
  <si>
    <t>XC7Z010</t>
  </si>
  <si>
    <t>XC7Z020</t>
  </si>
  <si>
    <t>XC7Z030</t>
  </si>
  <si>
    <t>XC7Z045</t>
  </si>
  <si>
    <t>1CSG324CES</t>
  </si>
  <si>
    <t>100Mhz Cortex M3</t>
  </si>
  <si>
    <t>XC7Z100</t>
  </si>
  <si>
    <t>xess</t>
  </si>
  <si>
    <t>51x25mm with DIP pins</t>
  </si>
  <si>
    <t>1FBG484C</t>
  </si>
  <si>
    <t>GTX/GTH 6.6, 10.3 or 12.5</t>
  </si>
  <si>
    <t>6.6, 10.3 or 12.5 Gbps SERDES</t>
  </si>
  <si>
    <t>5CEBA2</t>
  </si>
  <si>
    <t>256FBGA</t>
  </si>
  <si>
    <t>484FPGA</t>
  </si>
  <si>
    <t>5CGXFC5</t>
  </si>
  <si>
    <t>5CSXFC6</t>
  </si>
  <si>
    <t>Altima</t>
  </si>
  <si>
    <t>Cyclone V SoC base board</t>
  </si>
  <si>
    <t>Gadget Factory</t>
  </si>
  <si>
    <t>Papilio Pro</t>
  </si>
  <si>
    <t>terasic</t>
  </si>
  <si>
    <t>ebv</t>
  </si>
  <si>
    <t>SoCrates</t>
  </si>
  <si>
    <t>SoCkit</t>
  </si>
  <si>
    <t>5CSXFC6D6F31</t>
  </si>
  <si>
    <t>2</t>
  </si>
  <si>
    <t>10^3 bits</t>
  </si>
  <si>
    <t>FreeSoc Mini</t>
  </si>
  <si>
    <t>Moeller.io</t>
  </si>
  <si>
    <t>CY8C55</t>
  </si>
  <si>
    <t>cypress</t>
  </si>
  <si>
    <t>256K</t>
  </si>
  <si>
    <t>64K</t>
  </si>
  <si>
    <t>PSoC5PIM1</t>
  </si>
  <si>
    <t>FreeSoc</t>
  </si>
  <si>
    <t>dual ARM A9 @800Mhz</t>
  </si>
  <si>
    <t>MachXO2 Breakout Board</t>
  </si>
  <si>
    <t>MachXO2-7000</t>
  </si>
  <si>
    <t>MAX V</t>
  </si>
  <si>
    <t>5M40Z</t>
  </si>
  <si>
    <t>5M80Z</t>
  </si>
  <si>
    <t>5M240Z</t>
  </si>
  <si>
    <t>5M570Z</t>
  </si>
  <si>
    <t>5M1270Z</t>
  </si>
  <si>
    <t>5M2210Z</t>
  </si>
  <si>
    <t>5M160Z</t>
  </si>
  <si>
    <t>internal oscillator, flash, LUT RAM</t>
  </si>
  <si>
    <t>E64C5N</t>
  </si>
  <si>
    <t>T144C5N</t>
  </si>
  <si>
    <t>T100C5N</t>
  </si>
  <si>
    <t>F256C5N</t>
  </si>
  <si>
    <t>IP</t>
  </si>
  <si>
    <t>embeddedmicro.com</t>
  </si>
  <si>
    <t>62x75</t>
  </si>
  <si>
    <t>2(50) pin headers</t>
  </si>
  <si>
    <t>TQ144</t>
  </si>
  <si>
    <t>PSoC 4 Pioneer Kit</t>
  </si>
  <si>
    <t>PSoC 4200</t>
  </si>
  <si>
    <t>4K</t>
  </si>
  <si>
    <t>32K</t>
  </si>
  <si>
    <t>PSoC 4</t>
  </si>
  <si>
    <t>CY8C41xx</t>
  </si>
  <si>
    <t>CY8C42xx</t>
  </si>
  <si>
    <t>QFN40</t>
  </si>
  <si>
    <t>ARM Cortex M0</t>
  </si>
  <si>
    <t>Arria X</t>
  </si>
  <si>
    <t>20nm</t>
  </si>
  <si>
    <t>17.4/28.05Ghz</t>
  </si>
  <si>
    <t>1.6 Gps LVDS</t>
  </si>
  <si>
    <t>F1152</t>
  </si>
  <si>
    <t>DDR4 at 1333Mhz =2666Mbps</t>
  </si>
  <si>
    <t>ALMs</t>
  </si>
  <si>
    <t>IGLOO2 (flash)</t>
  </si>
  <si>
    <t>M2GL005</t>
  </si>
  <si>
    <t>M2GL010</t>
  </si>
  <si>
    <t>M2GL025</t>
  </si>
  <si>
    <t>M2GL050</t>
  </si>
  <si>
    <t>M2GL090</t>
  </si>
  <si>
    <t>M2GL100</t>
  </si>
  <si>
    <t>M2GL150</t>
  </si>
  <si>
    <t>4LUTs, SERDES, DSP</t>
  </si>
  <si>
    <t>64KB ECC SRAM</t>
  </si>
  <si>
    <t>SPI, 2 DMA</t>
  </si>
  <si>
    <t>1CLG400C</t>
  </si>
  <si>
    <t>1CLG225C</t>
  </si>
  <si>
    <t>1FBG676C</t>
  </si>
  <si>
    <t>XuLA2-LX25</t>
  </si>
  <si>
    <t>XC7Z7010</t>
  </si>
  <si>
    <t>MicroZed</t>
  </si>
  <si>
    <t>IGLOO2 Eval Kit</t>
  </si>
  <si>
    <t>Nexys4 Artix-7 FPGA board</t>
  </si>
  <si>
    <t>XC7Z015</t>
  </si>
  <si>
    <t>1CLG485C</t>
  </si>
  <si>
    <t>FPGA data ©2013 Brakefield Research</t>
  </si>
  <si>
    <t>ZyBo</t>
  </si>
  <si>
    <t>fpgamodule</t>
  </si>
  <si>
    <t>helix_4</t>
  </si>
  <si>
    <t>$38 for FN11 version</t>
  </si>
  <si>
    <t>PSoC 4-5</t>
  </si>
  <si>
    <t>I2C, IrDA, LIN, SPI, UART</t>
  </si>
  <si>
    <t>I2C, IrDA, LIN, SPI, UART, no FIR/IIR</t>
  </si>
  <si>
    <t>Schmartboard</t>
  </si>
  <si>
    <t>PSoC5</t>
  </si>
  <si>
    <t>Schmart PSoC5LP</t>
  </si>
  <si>
    <t>PSoC4 Cortex M0, Arduino form factor</t>
  </si>
  <si>
    <t>CY8C526x</t>
  </si>
  <si>
    <t>CY8C546x</t>
  </si>
  <si>
    <t>PSoC 5LP</t>
  </si>
  <si>
    <t>1.8-5</t>
  </si>
  <si>
    <t>I2C, IrDA, LIN, SPI, UART, no FIR/IIR, 24MHz</t>
  </si>
  <si>
    <t>TE0720</t>
  </si>
  <si>
    <t>iCE40LP384</t>
  </si>
  <si>
    <t>iCE40LM2K</t>
  </si>
  <si>
    <t>SG32</t>
  </si>
  <si>
    <t>LM series has I2C, SPI &amp; no boot flash</t>
  </si>
  <si>
    <t>now LatticeSemi</t>
  </si>
  <si>
    <t>onchip one-time prog flash</t>
  </si>
  <si>
    <t>iCE40LP/LM/HX4K</t>
  </si>
  <si>
    <t>BeMicro CV</t>
  </si>
  <si>
    <t>48x92</t>
  </si>
  <si>
    <t>Kintex-VU</t>
  </si>
  <si>
    <t>Virtex-VU</t>
  </si>
  <si>
    <t>XCVU065</t>
  </si>
  <si>
    <t>XCVU080</t>
  </si>
  <si>
    <t>XCVU095</t>
  </si>
  <si>
    <t>XCVU125</t>
  </si>
  <si>
    <t>XCVU160</t>
  </si>
  <si>
    <t>XCVU440</t>
  </si>
  <si>
    <t>XCKU035</t>
  </si>
  <si>
    <t>XCKU040</t>
  </si>
  <si>
    <t>XCKU060</t>
  </si>
  <si>
    <t>XCKU115</t>
  </si>
  <si>
    <t>GTY 32.75 Gbps SERDES</t>
  </si>
  <si>
    <t>GTH 16.3 Gbps SERDES</t>
  </si>
  <si>
    <t>GTH 16.3g</t>
  </si>
  <si>
    <t>GTH/Y 16/33g</t>
  </si>
  <si>
    <t>DDR3/4 16w 8-13, 32w: 5-7, 72w: 2-4</t>
  </si>
  <si>
    <t>DDR3/4 16w 9-21, 32w: 5-12, 72w: 2-6</t>
  </si>
  <si>
    <t>.9-1, 1.0 - 3.3</t>
  </si>
  <si>
    <t>adapteva</t>
  </si>
  <si>
    <t>Parallella-16</t>
  </si>
  <si>
    <t>saanlima</t>
  </si>
  <si>
    <t>Pipistrello LX45</t>
  </si>
  <si>
    <t>69x74</t>
  </si>
  <si>
    <t>M2S090</t>
  </si>
  <si>
    <t>M2S100</t>
  </si>
  <si>
    <t>M2S150</t>
  </si>
  <si>
    <t>one or two DDR controllers</t>
  </si>
  <si>
    <t>Cmod S6</t>
  </si>
  <si>
    <t>USB &amp; JTAG, 48-pin DIP</t>
  </si>
  <si>
    <t>1FFG901C</t>
  </si>
  <si>
    <t>1FF1158C</t>
  </si>
  <si>
    <t>1FFG901I</t>
  </si>
  <si>
    <t>Cyclone V GX starter kit</t>
  </si>
  <si>
    <t>MachXO3</t>
  </si>
  <si>
    <t>2X I2C, 1X: SPI, timer, oscillator</t>
  </si>
  <si>
    <t>PLL idle mode, 1ms boot, LVDS, DDR</t>
  </si>
  <si>
    <t>PLL</t>
  </si>
  <si>
    <t># I2C,SPI,timer, osc</t>
  </si>
  <si>
    <t>5BG256C</t>
  </si>
  <si>
    <t>4SG32C</t>
  </si>
  <si>
    <t>LCMXO3L-640</t>
  </si>
  <si>
    <t>LCMXO3L-1300</t>
  </si>
  <si>
    <t>LCMXO3L-2100</t>
  </si>
  <si>
    <t>LCMXO3L-4300</t>
  </si>
  <si>
    <t>LCMXO3L-6900</t>
  </si>
  <si>
    <t>EP4CE22</t>
  </si>
  <si>
    <t>LatticeECP5</t>
  </si>
  <si>
    <t>DSP: 36x36, 2X 18x18, 4X 9x9</t>
  </si>
  <si>
    <t>DSP: ALU &amp; Booleans</t>
  </si>
  <si>
    <t>DDR2, DDR3 &amp; LPDDR support (1066, 900Mbps)</t>
  </si>
  <si>
    <t>SERDES: 85mw per channel</t>
  </si>
  <si>
    <t>EP2AGZ225</t>
  </si>
  <si>
    <t>FF35C4N</t>
  </si>
  <si>
    <t>one PCI express per part</t>
  </si>
  <si>
    <t>EP2AGZ300</t>
  </si>
  <si>
    <t>EP2AGZ350</t>
  </si>
  <si>
    <t>FH29C4N</t>
  </si>
  <si>
    <t>1/2.38 ALM</t>
  </si>
  <si>
    <t>EP2C15</t>
  </si>
  <si>
    <t>Single precision fltg-pt add &amp; multiply</t>
  </si>
  <si>
    <t>ALM equivlent to 2 5LUTs or single 6LUT or other combinations</t>
  </si>
  <si>
    <t>PSoC4 Cortex M0, USB form factor</t>
  </si>
  <si>
    <t>XCVU190</t>
  </si>
  <si>
    <t>1FTG256C</t>
  </si>
  <si>
    <t>1CPG236C</t>
  </si>
  <si>
    <t>Atrix-7 50T FPGA board</t>
  </si>
  <si>
    <t>5CEBA4</t>
  </si>
  <si>
    <t>5CGXBC3</t>
  </si>
  <si>
    <t>5CGXBC4</t>
  </si>
  <si>
    <t>dual ARM A9 @800Mhz, 512K cache</t>
  </si>
  <si>
    <t>confg for fabric only</t>
  </si>
  <si>
    <t>16-48MHz Cortex M0, FIR/IIR, ALUs, 8X12-bit ATD</t>
  </si>
  <si>
    <t>CY8C40xx</t>
  </si>
  <si>
    <t>I2C, no FIR/IIR, 16MHz</t>
  </si>
  <si>
    <t>40-80MHz Cortex M3, FIR/IIR, LCDio, USB, 12-bit ATD</t>
  </si>
  <si>
    <t>ICE5LP1K</t>
  </si>
  <si>
    <t>ICE5LP2K</t>
  </si>
  <si>
    <t>ICE5LP4K</t>
  </si>
  <si>
    <t>16x16DSP</t>
  </si>
  <si>
    <t>Silego</t>
  </si>
  <si>
    <t>SLG46110</t>
  </si>
  <si>
    <t>SLG46120</t>
  </si>
  <si>
    <t>SLG46722</t>
  </si>
  <si>
    <t>SLG46721</t>
  </si>
  <si>
    <t>10K</t>
  </si>
  <si>
    <t>8bits</t>
  </si>
  <si>
    <t>mixed signal array</t>
  </si>
  <si>
    <t>osc, vref, 2 comparators, counters</t>
  </si>
  <si>
    <t>osc, vref, 4 comparators, 5 counters</t>
  </si>
  <si>
    <t>osc, vref, 8 counters</t>
  </si>
  <si>
    <t>estimate</t>
  </si>
  <si>
    <t>internal oscillator, flash, 12bit A2D, AES</t>
  </si>
  <si>
    <t>55nm</t>
  </si>
  <si>
    <t>10M02</t>
  </si>
  <si>
    <t>10M04</t>
  </si>
  <si>
    <t>10M08</t>
  </si>
  <si>
    <t>10M16</t>
  </si>
  <si>
    <t>10M25</t>
  </si>
  <si>
    <t>10M40</t>
  </si>
  <si>
    <t>10M50</t>
  </si>
  <si>
    <t>MAX X</t>
  </si>
  <si>
    <t>ext mem</t>
  </si>
  <si>
    <t>FA</t>
  </si>
  <si>
    <t>A2D</t>
  </si>
  <si>
    <t>600Mbps DDR, 800Mbps LVDS</t>
  </si>
  <si>
    <t>BeMicro MAX 10</t>
  </si>
  <si>
    <t>XC7A15T</t>
  </si>
  <si>
    <t>XC7A35T</t>
  </si>
  <si>
    <t>XC7A75T</t>
  </si>
  <si>
    <t>XC7Z035</t>
  </si>
  <si>
    <t>Basys3 Artix-7 FPGA Board</t>
  </si>
  <si>
    <t>Altera MAX 10 FPGA Eval Kit</t>
  </si>
  <si>
    <t>Macnica MAX 10 FPGA Eval Kit</t>
  </si>
  <si>
    <t>CY8C4xx7_BLE</t>
  </si>
  <si>
    <t>I2C, IrDA, LIN, SPI, UART, BlueToothLE</t>
  </si>
  <si>
    <t>QFN56</t>
  </si>
  <si>
    <t>5UWG36C</t>
  </si>
  <si>
    <t>5UWG81C</t>
  </si>
  <si>
    <t>5BG324C</t>
  </si>
  <si>
    <t>bugblat</t>
  </si>
  <si>
    <t>LCMX02</t>
  </si>
  <si>
    <t>PIF - FPGA for the Raspberry Pi</t>
  </si>
  <si>
    <t>also pif-7000 @ $34.99, 1.6"x1.8"</t>
  </si>
  <si>
    <t>scarab hardware</t>
  </si>
  <si>
    <t>miniSpartan6+</t>
  </si>
  <si>
    <t>52x76</t>
  </si>
  <si>
    <t>32 chnl logic analyzer</t>
  </si>
  <si>
    <t>"Sump" Open Logic Sniffer</t>
  </si>
  <si>
    <t>ft256</t>
  </si>
  <si>
    <t>seeedstudio</t>
  </si>
  <si>
    <t>Mojo v3</t>
  </si>
  <si>
    <t>(2) HDMI, 32MB, microSD, 64IOs,JTAG</t>
  </si>
  <si>
    <t>XC2V10000</t>
  </si>
  <si>
    <t>1FG484I</t>
  </si>
  <si>
    <t>UWG20</t>
  </si>
  <si>
    <t>1 I2C, 1 SPI, 48M &amp; 10K OSC</t>
  </si>
  <si>
    <t>2 I2C, 2 SPI, 48M &amp; 10K OSC</t>
  </si>
  <si>
    <t>Zynq-US+</t>
  </si>
  <si>
    <t>16nm</t>
  </si>
  <si>
    <t>A53,R5</t>
  </si>
  <si>
    <t>Kintex--US+</t>
  </si>
  <si>
    <t>Virtex-US+</t>
  </si>
  <si>
    <t>6, 16.3 or 32.75 Gbps SERDES</t>
  </si>
  <si>
    <t>210 pins for Cortex A53</t>
  </si>
  <si>
    <t>AMS system monitor</t>
  </si>
  <si>
    <t>G3 PCI express</t>
  </si>
  <si>
    <t>4Kx72</t>
  </si>
  <si>
    <t>Mali-400MP graphics proc @466MHz</t>
  </si>
  <si>
    <t>10-bit A2D</t>
  </si>
  <si>
    <t>1MB L2 cache, 384KB other uP RAM</t>
  </si>
  <si>
    <t>A53: USB,Eth,SPI,CAN,UART,DMA</t>
  </si>
  <si>
    <t>ECC on L1 &amp; block RAM</t>
  </si>
  <si>
    <t>DDR4, DDR3, LPDDR4</t>
  </si>
  <si>
    <t>video codec for '3P, '7P</t>
  </si>
  <si>
    <t>PCIe Gen3 &amp; Gen4</t>
  </si>
  <si>
    <t>150G Interlaken</t>
  </si>
  <si>
    <t>100G Ethernet</t>
  </si>
  <si>
    <t>Flex-Logix</t>
  </si>
  <si>
    <t>EFLX</t>
  </si>
  <si>
    <t>EFLX-2.5K</t>
  </si>
  <si>
    <t>256x20</t>
  </si>
  <si>
    <t>for ASICs, up to 7X by 7Y</t>
  </si>
  <si>
    <t>450MHz PowerPC core(s)</t>
  </si>
  <si>
    <t>XuLA2-LX9</t>
  </si>
  <si>
    <t>48 I/O, USB, JTAG, SDRAM</t>
  </si>
  <si>
    <t>1FFVA1156C</t>
  </si>
  <si>
    <t>RT4G075</t>
  </si>
  <si>
    <t>RT4G150</t>
  </si>
  <si>
    <t>CLGA1432</t>
  </si>
  <si>
    <t>CLGA1657</t>
  </si>
  <si>
    <t>3X redund, DDR mem, PCIe, 44bit accum</t>
  </si>
  <si>
    <t>RTG4 (flash)</t>
  </si>
  <si>
    <t>128x12</t>
  </si>
  <si>
    <t>2Kx12</t>
  </si>
  <si>
    <t>CY8C588x</t>
  </si>
  <si>
    <t>CY8CKIT-059 58xx Prototyping Kit</t>
  </si>
  <si>
    <t>CY8CKIT-049 4xxx Prototyping Kit</t>
  </si>
  <si>
    <t>PSoC5LP Cortex M3, USB form factor</t>
  </si>
  <si>
    <t>I2C, IrDA, LIN, SPI, UART, CAN, 20-bit ATD, 0.1% vref</t>
  </si>
  <si>
    <t>PSoC 5888</t>
  </si>
  <si>
    <t>M1A3P1000/L</t>
  </si>
  <si>
    <r>
      <t xml:space="preserve">PSoC5 </t>
    </r>
    <r>
      <rPr>
        <sz val="12"/>
        <color indexed="8"/>
        <rFont val="Calibri"/>
        <family val="2"/>
      </rPr>
      <t>w/CPLD fabric</t>
    </r>
    <r>
      <rPr>
        <sz val="10"/>
        <rFont val="Arial"/>
        <family val="2"/>
      </rPr>
      <t>, schematic editor</t>
    </r>
  </si>
  <si>
    <t>XuLA-200 (discontinued)</t>
  </si>
  <si>
    <t>1"x2.5" DIP</t>
  </si>
  <si>
    <t>LF version has flash &amp; 1ms boot</t>
  </si>
  <si>
    <t>LFE5U-45F</t>
  </si>
  <si>
    <t>6BG381C</t>
  </si>
  <si>
    <t>LFE5UM-45F</t>
  </si>
  <si>
    <t>DCV36C8G</t>
  </si>
  <si>
    <t>1FFVA1517C</t>
  </si>
  <si>
    <t>1FLVB2104C</t>
  </si>
  <si>
    <t>1FLGB2377CES</t>
  </si>
  <si>
    <t>1FGG484C</t>
  </si>
  <si>
    <t>N3XT1800</t>
  </si>
  <si>
    <t>TE0722-01</t>
  </si>
  <si>
    <t>18x51</t>
  </si>
  <si>
    <t>16M,microSD</t>
  </si>
  <si>
    <t>MYS-7Z010-C-S</t>
  </si>
  <si>
    <t>MYIR Tech</t>
  </si>
  <si>
    <t>63x102</t>
  </si>
  <si>
    <t>USB, DRAM, HDMI</t>
  </si>
  <si>
    <t>LFE5UM-25F</t>
  </si>
  <si>
    <t>LFE5UM-85F</t>
  </si>
  <si>
    <t>LFE5U-25F</t>
  </si>
  <si>
    <t>LFE5U-85F</t>
  </si>
  <si>
    <t>8BG381I</t>
  </si>
  <si>
    <t>XCKU025</t>
  </si>
  <si>
    <t>100x125</t>
  </si>
  <si>
    <t>DRAM,4PMOD,Ardino header</t>
  </si>
  <si>
    <t>Crowdsupply</t>
  </si>
  <si>
    <t>51x90</t>
  </si>
  <si>
    <t>.05" headers, DRAM, Wifi</t>
  </si>
  <si>
    <t>sys logic cell</t>
  </si>
  <si>
    <t>SmartFusion2 KickStart kit</t>
  </si>
  <si>
    <t>Hackaday</t>
  </si>
  <si>
    <t>Spartan 6 Arduino Shield</t>
  </si>
  <si>
    <t>RAM</t>
  </si>
  <si>
    <t>SCU169C8G</t>
  </si>
  <si>
    <t>SCE144C8G</t>
  </si>
  <si>
    <t>GPAK4</t>
  </si>
  <si>
    <t>GPAK5</t>
  </si>
  <si>
    <t>SLG46531V</t>
  </si>
  <si>
    <t>osc, vref, 8 counters, state machine, I2C</t>
  </si>
  <si>
    <t xml:space="preserve">Artix-7 2x50 Pin FPGA module </t>
  </si>
  <si>
    <t>35x73</t>
  </si>
  <si>
    <t>ZynqBerry</t>
  </si>
  <si>
    <t>56x85</t>
  </si>
  <si>
    <t>Raspberry Pi form factor &amp; IO</t>
  </si>
  <si>
    <t>Stratix X</t>
  </si>
  <si>
    <t>14nm</t>
  </si>
  <si>
    <t>F1760</t>
  </si>
  <si>
    <t>F2112</t>
  </si>
  <si>
    <t>GXT: 30Gbps, GX: 17.4Gbps</t>
  </si>
  <si>
    <t>Quad ARM A53@1.5GHz, 1M cache, 256K SRAM</t>
  </si>
  <si>
    <t>8X DMA, 3X EMAC, 2X USB, 3X UART, 4X SPI, 5X I2C</t>
  </si>
  <si>
    <t>18x19,27x27,36x36,54x54 multiply support</t>
  </si>
  <si>
    <t>8MB SDRAM, DAC, accel-temp-phot sensors</t>
  </si>
  <si>
    <t>5Gb</t>
  </si>
  <si>
    <t>LFE5U-12F</t>
  </si>
  <si>
    <t>16.3 and 32.75 Gbps SERDES</t>
  </si>
  <si>
    <t>1FFVB1760C</t>
  </si>
  <si>
    <t>1FFVC1517C</t>
  </si>
  <si>
    <t>1FFVB2104C</t>
  </si>
  <si>
    <t>1FLVD1517C</t>
  </si>
  <si>
    <t>1FLGB2104CES</t>
  </si>
  <si>
    <t>18x18DSP</t>
  </si>
  <si>
    <t>18x19DSP</t>
  </si>
  <si>
    <t>25x18DSP</t>
  </si>
  <si>
    <t>18*18DSP</t>
  </si>
  <si>
    <t>CY8C566x,586x</t>
  </si>
  <si>
    <t>H4F34E3SG</t>
  </si>
  <si>
    <t>1CSG324C</t>
  </si>
  <si>
    <t>AT94K05AL</t>
  </si>
  <si>
    <t>25BQU</t>
  </si>
  <si>
    <t>AT94K10AL</t>
  </si>
  <si>
    <t>AT94K40AL</t>
  </si>
  <si>
    <t>25Mhz AVR uP, I2C, UART</t>
  </si>
  <si>
    <t>48KB</t>
  </si>
  <si>
    <t>1MB</t>
  </si>
  <si>
    <t>512KB</t>
  </si>
  <si>
    <t>M2S060</t>
  </si>
  <si>
    <t>M2GL060</t>
  </si>
  <si>
    <t>1FCS325I</t>
  </si>
  <si>
    <t>typ</t>
  </si>
  <si>
    <t>(4) 1.5GHz Cortex A53, (2) 600MHz R5</t>
  </si>
  <si>
    <t>(2) Cortex A53 &amp; no Mali for CG series</t>
  </si>
  <si>
    <t>video codec for '4EV, '5EV, '7EV series</t>
  </si>
  <si>
    <t>.85, 1.2 - 3.3</t>
  </si>
  <si>
    <t>1SFVA784C</t>
  </si>
  <si>
    <t>1FBVA676I</t>
  </si>
  <si>
    <t>C4U19E3SG</t>
  </si>
  <si>
    <t>E4F27E3SG</t>
  </si>
  <si>
    <t>E4F29E3SG</t>
  </si>
  <si>
    <t>5CSEMA4</t>
  </si>
  <si>
    <t>U23C6N</t>
  </si>
  <si>
    <t>Atlas DE0-Nano-SoC</t>
  </si>
  <si>
    <t>Zynq UltraScale+</t>
  </si>
  <si>
    <t>iveia</t>
  </si>
  <si>
    <t>ZU4EV-ZU15EG</t>
  </si>
  <si>
    <t>Atlas-II-Z8</t>
  </si>
  <si>
    <t>shipping</t>
  </si>
  <si>
    <t>UltraZed-EG SOM</t>
  </si>
  <si>
    <t>FPGA_Module 2.00b</t>
  </si>
  <si>
    <t>no USB, USB at $109 on 2.01b</t>
  </si>
  <si>
    <t>Cmod A7</t>
  </si>
  <si>
    <t>18x70</t>
  </si>
  <si>
    <t>1 Pmod, 2x24DIP, .5MB SRAM</t>
  </si>
  <si>
    <t>Pepino</t>
  </si>
  <si>
    <t>for Oberon RISC5, 1MB, 2x10 DIP</t>
  </si>
  <si>
    <t>5MG121I</t>
  </si>
  <si>
    <t>VFG400</t>
  </si>
  <si>
    <t>no accumulator on multiplier</t>
  </si>
  <si>
    <t>XC7A12T</t>
  </si>
  <si>
    <t>Spartan-7</t>
  </si>
  <si>
    <t>XC7S6</t>
  </si>
  <si>
    <t>XC7S15</t>
  </si>
  <si>
    <t>XC7S25</t>
  </si>
  <si>
    <t>XC7S50</t>
  </si>
  <si>
    <t>XC7S75</t>
  </si>
  <si>
    <t>XC7S100</t>
  </si>
  <si>
    <t>XC7A25T</t>
  </si>
  <si>
    <t>XC7Z007S</t>
  </si>
  <si>
    <t>XC7Z012S</t>
  </si>
  <si>
    <t>XC7Z014S</t>
  </si>
  <si>
    <t>PCB I/Os</t>
  </si>
  <si>
    <t>(2)512Kx16, 16MB DRAM</t>
  </si>
  <si>
    <t>128Kx8</t>
  </si>
  <si>
    <t>4Mx16</t>
  </si>
  <si>
    <t>none</t>
  </si>
  <si>
    <t>256x16, 256Kx32,16Mx32 DRAM</t>
  </si>
  <si>
    <t>256Kx32</t>
  </si>
  <si>
    <t>PCB RAM async default</t>
  </si>
  <si>
    <t>128Mx32</t>
  </si>
  <si>
    <t>256Kx32, 2Mx32 DRAM</t>
  </si>
  <si>
    <t>32Mx16 DRAM</t>
  </si>
  <si>
    <t>512Kx8</t>
  </si>
  <si>
    <t>256Mx32 DRAM</t>
  </si>
  <si>
    <t>VCO</t>
  </si>
  <si>
    <t>128Kx32?</t>
  </si>
  <si>
    <t>128Mx32 DRAM</t>
  </si>
  <si>
    <t>ram bits</t>
  </si>
  <si>
    <t>Osc MHz</t>
  </si>
  <si>
    <t>12?</t>
  </si>
  <si>
    <t>33.3, 100</t>
  </si>
  <si>
    <t>50, 125</t>
  </si>
  <si>
    <t>40,67,100</t>
  </si>
  <si>
    <t>24,25,50</t>
  </si>
  <si>
    <t>UP5K</t>
  </si>
  <si>
    <t>1Mb</t>
  </si>
  <si>
    <t>XCZU2EG/CG</t>
  </si>
  <si>
    <t>XCZU3EG/CG</t>
  </si>
  <si>
    <t>XCZU4EG/CG/EV</t>
  </si>
  <si>
    <t>XCZU5EG/CG/EV</t>
  </si>
  <si>
    <t>XCZU6EG/CG</t>
  </si>
  <si>
    <t>XCZU7EG/CG/EV</t>
  </si>
  <si>
    <t>XCZU9EG/CG</t>
  </si>
  <si>
    <t>XCZU11EG</t>
  </si>
  <si>
    <t>XCZU15EG</t>
  </si>
  <si>
    <t>XCZU17EG</t>
  </si>
  <si>
    <t>XCZU19EG</t>
  </si>
  <si>
    <t>1SBVA484E</t>
  </si>
  <si>
    <t>XCZU3G</t>
  </si>
  <si>
    <t>$895 for SOM + IO carrier card</t>
  </si>
  <si>
    <t>MPF100T</t>
  </si>
  <si>
    <t>MPF200T</t>
  </si>
  <si>
    <t>MPF300T</t>
  </si>
  <si>
    <t>MPF500T</t>
  </si>
  <si>
    <t>64X12</t>
  </si>
  <si>
    <t>512X40</t>
  </si>
  <si>
    <t>18X18MACC</t>
  </si>
  <si>
    <t>10CX085</t>
  </si>
  <si>
    <t>10CX105</t>
  </si>
  <si>
    <t>10CX150</t>
  </si>
  <si>
    <t>10CX220</t>
  </si>
  <si>
    <t>10.3125Gbps</t>
  </si>
  <si>
    <t>Cyclone X GX</t>
  </si>
  <si>
    <t>4LUT</t>
  </si>
  <si>
    <t>Cyclone X LP</t>
  </si>
  <si>
    <t>10CL006</t>
  </si>
  <si>
    <t>10CL010</t>
  </si>
  <si>
    <t>10CL016</t>
  </si>
  <si>
    <t>10CL025</t>
  </si>
  <si>
    <t>10CL040</t>
  </si>
  <si>
    <t>10CL055</t>
  </si>
  <si>
    <t>10CL080</t>
  </si>
  <si>
    <t>10CL120</t>
  </si>
  <si>
    <t>no accumulator, plain 4LUT+Dff</t>
  </si>
  <si>
    <t>18x18 + 48 MAC, PCIe Gen2</t>
  </si>
  <si>
    <t>12X</t>
  </si>
  <si>
    <t>DDR4, DDR3, LPDDR3, 56KB flash</t>
  </si>
  <si>
    <t xml:space="preserve">Previous chips: XC2064, XC3K, XC4K, </t>
  </si>
  <si>
    <t xml:space="preserve">and 5K, 6K, 7K, </t>
  </si>
  <si>
    <t>and Spartan-1, Virtex-1</t>
  </si>
  <si>
    <t>FCG484E</t>
  </si>
  <si>
    <t>FCG784E</t>
  </si>
  <si>
    <t>flash for conf &amp; RAM init, true random num gen</t>
  </si>
  <si>
    <t>small RAM: simple dual port</t>
  </si>
  <si>
    <t>1FFVA676E</t>
  </si>
  <si>
    <t>1FFVC1517E</t>
  </si>
  <si>
    <t>1FLG1932C</t>
  </si>
  <si>
    <t>1FLG1155C</t>
  </si>
  <si>
    <t>2FLGC2577E</t>
  </si>
  <si>
    <t>XCKU085</t>
  </si>
  <si>
    <t>XCKU095</t>
  </si>
  <si>
    <t>1FLVB1760C</t>
  </si>
  <si>
    <t>512KB L2 cache, 256KB other uP RAM</t>
  </si>
  <si>
    <t>.72-.9</t>
  </si>
  <si>
    <t>1.2-3.3</t>
  </si>
  <si>
    <t>compressed</t>
  </si>
  <si>
    <t>1FGGA484C</t>
  </si>
  <si>
    <t>1SFVC784E</t>
  </si>
  <si>
    <t>CSGA324</t>
  </si>
  <si>
    <t>Arty A7</t>
  </si>
  <si>
    <t>Arty S7-25</t>
  </si>
  <si>
    <t>Arty S7-50</t>
  </si>
  <si>
    <t>Arty Z7-10</t>
  </si>
  <si>
    <t>DRAM,2HDMI,2PMOD,Ardino header,RJ45</t>
  </si>
  <si>
    <t>Arty Z7-20</t>
  </si>
  <si>
    <t>YU484I7G</t>
  </si>
  <si>
    <t>YF484I7G</t>
  </si>
  <si>
    <t>YU256I7G</t>
  </si>
  <si>
    <t>YM164I7G</t>
  </si>
  <si>
    <t>YU256C8G</t>
  </si>
  <si>
    <t>Cyclone X</t>
  </si>
  <si>
    <t>altera</t>
  </si>
  <si>
    <t>EK-10CL025U256</t>
  </si>
  <si>
    <t>1FFVD900E</t>
  </si>
  <si>
    <t>1FFVE900E</t>
  </si>
  <si>
    <t>XCKU3P</t>
  </si>
  <si>
    <t>XCKU5P</t>
  </si>
  <si>
    <t>XCKU7P</t>
  </si>
  <si>
    <t>XCKU9P</t>
  </si>
  <si>
    <t>XCKU11P</t>
  </si>
  <si>
    <t>XCKU13P</t>
  </si>
  <si>
    <t>XCKU15P</t>
  </si>
  <si>
    <t>1FFVA1156E</t>
  </si>
  <si>
    <t>XCVU3P</t>
  </si>
  <si>
    <t>XCVU5P</t>
  </si>
  <si>
    <t>XCVU7P</t>
  </si>
  <si>
    <t>XCVU9P</t>
  </si>
  <si>
    <t>XCVU11P</t>
  </si>
  <si>
    <t>XCVU13P</t>
  </si>
  <si>
    <t>XCVU31P</t>
  </si>
  <si>
    <t>XCVU33P</t>
  </si>
  <si>
    <t>XCVU35P</t>
  </si>
  <si>
    <t>XCVU37P</t>
  </si>
  <si>
    <t>1FLVB2104E</t>
  </si>
  <si>
    <t>1FLVA2104E</t>
  </si>
  <si>
    <t>1FLGA2104E</t>
  </si>
  <si>
    <t>1FLGA1924E</t>
  </si>
  <si>
    <t>1FLGA2577E</t>
  </si>
  <si>
    <t>MiniZed</t>
  </si>
  <si>
    <t>XC7Z7007</t>
  </si>
  <si>
    <t>16M,8G</t>
  </si>
  <si>
    <t>DRAM,2PMOD,Ardino header</t>
  </si>
  <si>
    <t>1FFVD900I</t>
  </si>
  <si>
    <t>1FFVB1517E</t>
  </si>
  <si>
    <t>1FFVC900E</t>
  </si>
  <si>
    <t>1FFVB900E</t>
  </si>
  <si>
    <t>YU484E6G</t>
  </si>
  <si>
    <t>(50+)</t>
  </si>
  <si>
    <t>1FTGB196C</t>
  </si>
  <si>
    <t>1CSGA324C</t>
  </si>
  <si>
    <t>HN3F43E3VGS1</t>
  </si>
  <si>
    <t>1/2.95 ALM</t>
  </si>
  <si>
    <t>1GX/SX040</t>
  </si>
  <si>
    <t>1GX/SX065</t>
  </si>
  <si>
    <t>1GX/SX085</t>
  </si>
  <si>
    <t>LH3F55E3VG</t>
  </si>
  <si>
    <t>LN3F55E3VG</t>
  </si>
  <si>
    <t>1GX/SX/MX/TX110</t>
  </si>
  <si>
    <t>1GX/SX/MX/TX165</t>
  </si>
  <si>
    <t>1.6 Gps LVDS, DDR4 at 1333Mhz =2666Mbps</t>
  </si>
  <si>
    <t>MX: 2/4 HBM2 dram tiles &amp; 4-16GB</t>
  </si>
  <si>
    <t>TX: 56G SERDES, MX &amp; TX: 45-90Mb eSRAM</t>
  </si>
  <si>
    <t>LC/Mult is 2000*col M/col Q, GX: no uP</t>
  </si>
  <si>
    <t>10AX/AT090</t>
  </si>
  <si>
    <t>10AX/AT115</t>
  </si>
  <si>
    <t>10AX/AS016</t>
  </si>
  <si>
    <t>10AX/AS022</t>
  </si>
  <si>
    <t>10AX/AS027</t>
  </si>
  <si>
    <t>10AX/AS032</t>
  </si>
  <si>
    <t>10AX/AS048</t>
  </si>
  <si>
    <t>10AX/AS057</t>
  </si>
  <si>
    <t>10AX/AS066</t>
  </si>
  <si>
    <t>sx: dual ARM A9 @1.5Ghz, 512K cache, 256K SRAM</t>
  </si>
  <si>
    <t>EP3SL/SE50</t>
  </si>
  <si>
    <t>EP3SL/SE110</t>
  </si>
  <si>
    <t>EP2S/GX30</t>
  </si>
  <si>
    <t>EP2S/GX60</t>
  </si>
  <si>
    <t>EP2S/GX90</t>
  </si>
  <si>
    <t>EP2S/GX130</t>
  </si>
  <si>
    <t>EP4SE/SGX230</t>
  </si>
  <si>
    <t>EP4SE/SGX360</t>
  </si>
  <si>
    <t>EP4SE/SGX530</t>
  </si>
  <si>
    <t>5SGXMA/SEE9</t>
  </si>
  <si>
    <t>5SGXMAB/SEEB</t>
  </si>
  <si>
    <t>5SGXMA/SGSMB5</t>
  </si>
  <si>
    <t>5AGXMB/AGTMD3</t>
  </si>
  <si>
    <t>5CEBA/CSEBA/CSXFC2</t>
  </si>
  <si>
    <t>5CSEBA/CSXFC4</t>
  </si>
  <si>
    <t>5CEBA/CGXBC/CGTFD5</t>
  </si>
  <si>
    <t>5CSEBA/CSXFC/CSTFD5</t>
  </si>
  <si>
    <t>5CSEBA/CSXFC/CSTFD6</t>
  </si>
  <si>
    <t>5CEBA/CGXFC/CGTFD7</t>
  </si>
  <si>
    <t>5CEBA/CGXFC/CGTFD9</t>
  </si>
  <si>
    <t>5AGXMB/AGTMD7</t>
  </si>
  <si>
    <t>5ASXB/ASTD3</t>
  </si>
  <si>
    <t>5ASTD/ASXB5</t>
  </si>
  <si>
    <t xml:space="preserve">MAX 10 DE10-Lite </t>
  </si>
  <si>
    <t>64MB SDRAM, DIL20, Arduino Uno, 12-bit USB, VGA, 6X 7seg LED, 10X LED &amp; slide swtch</t>
  </si>
  <si>
    <t>DECA MAX 10 Evaluation Kit</t>
  </si>
  <si>
    <t xml:space="preserve">512MB SDRAM, SD, RJ45, 2X USB, 2X DIL23 BeagleBone, HDMI, 8X LED, 2X PB, </t>
  </si>
  <si>
    <t>ZU21DR</t>
  </si>
  <si>
    <t>ZU25DR</t>
  </si>
  <si>
    <t>ZU27DR</t>
  </si>
  <si>
    <t>ZU28DR</t>
  </si>
  <si>
    <t>ZU29DR</t>
  </si>
  <si>
    <t>8X SD-FEC</t>
  </si>
  <si>
    <t>1GX/SX/MX/TX2100</t>
  </si>
  <si>
    <t>1GX/SX/TX2500</t>
  </si>
  <si>
    <t>1GX/SX/TX2800</t>
  </si>
  <si>
    <t>1GX/SX4500</t>
  </si>
  <si>
    <t>1GX/SX5500</t>
  </si>
  <si>
    <t>SmartFusion2 Maker Board</t>
  </si>
  <si>
    <t>footprint for ESP32, 2 UART, 2 SPI, 2 I2C, 1 CAN, 1 USB, 2 DMA</t>
  </si>
  <si>
    <t>RISC-V Dev Board</t>
  </si>
  <si>
    <t>64MB DDR2, 8MB flash, Arduino headers, 1 Pmod, MikroBUS header</t>
  </si>
  <si>
    <t>LEF5U-25F</t>
  </si>
  <si>
    <t>Fleasystems</t>
  </si>
  <si>
    <t>FleaFPGA</t>
  </si>
  <si>
    <t>ZU2EG-1E</t>
  </si>
  <si>
    <t>TE0820-02-02EG</t>
  </si>
  <si>
    <t>$181 for carrier card (SD, 2X RJ45, USB)</t>
  </si>
  <si>
    <t>(2-4) 1.5Ghz Cortex A53 per chip</t>
  </si>
  <si>
    <t>MAX-1000</t>
  </si>
  <si>
    <t>8MB SDRAM, 8MB flash, motion sensor, MKR std 25x61.5mm^2</t>
  </si>
  <si>
    <t>XCVU27P</t>
  </si>
  <si>
    <t>XCVU29P</t>
  </si>
  <si>
    <t>PSoC 6</t>
  </si>
  <si>
    <t>CY8C61xx</t>
  </si>
  <si>
    <t>CY8C62xx</t>
  </si>
  <si>
    <t>CY8C63xx</t>
  </si>
  <si>
    <t>CY8C60xx</t>
  </si>
  <si>
    <t>no Cortex M0, no USB</t>
  </si>
  <si>
    <t>128KB</t>
  </si>
  <si>
    <t>288KB</t>
  </si>
  <si>
    <t>2MB</t>
  </si>
  <si>
    <t>Crypto, no Cortex M0, USB</t>
  </si>
  <si>
    <t>Crypto, USB</t>
  </si>
  <si>
    <t>150Hz Cortex M4, 100MHz Cortex M0, FIR/IIR, LCDio, USB, 12-bit ATD, I2C, SPI, UART, DMA, PWM</t>
  </si>
  <si>
    <t>1.7-3.3</t>
  </si>
  <si>
    <t>Crypto, BLE, USB, TRNG, QSPI, I2S</t>
  </si>
  <si>
    <t>NandLand</t>
  </si>
  <si>
    <t>Go Board</t>
  </si>
  <si>
    <t>((1) Pmod, VGA, 1Mb flash, (2) 7seg, (4) pb, USB</t>
  </si>
  <si>
    <t>Ultra96</t>
  </si>
  <si>
    <t>54x85mm, Grove hat avail</t>
  </si>
  <si>
    <t>ice40LP/HX8K</t>
  </si>
  <si>
    <t>TinyFPGA BX</t>
  </si>
  <si>
    <t>USB, DIL26</t>
  </si>
  <si>
    <t>TinyFPGA A1</t>
  </si>
  <si>
    <t>JTAG, DIL24</t>
  </si>
  <si>
    <t>Mach XO2-256</t>
  </si>
  <si>
    <t>Mach XO2-1200</t>
  </si>
  <si>
    <t>TinyFPGA A2</t>
  </si>
  <si>
    <t>LFE3-17</t>
  </si>
  <si>
    <t>LFE3-35</t>
  </si>
  <si>
    <t>LFE3-70</t>
  </si>
  <si>
    <t>LFE3-95</t>
  </si>
  <si>
    <t>LFE3-150</t>
  </si>
  <si>
    <t>1CPG238C</t>
  </si>
  <si>
    <t>PicoEVB</t>
  </si>
  <si>
    <t>PCIe interface (goes inside laptop)</t>
  </si>
  <si>
    <t>RHSResearchLLC</t>
  </si>
  <si>
    <t>Gnarly Grey UPDuino v2.0</t>
  </si>
  <si>
    <t>Gnarly Grey UPDuino v1.0</t>
  </si>
  <si>
    <t>Gnarley Grey</t>
  </si>
  <si>
    <t>USB, 2 I2C, 2 SPI, 48M &amp; 10K OSC</t>
  </si>
  <si>
    <t>iCEstick</t>
  </si>
  <si>
    <t>USB, 1 PMOD, 32Mb flash, 12M OSC, 16 IO, IrDA XCVR</t>
  </si>
  <si>
    <t>TInyFPGA</t>
  </si>
  <si>
    <t>TinyFPGA EX</t>
  </si>
  <si>
    <t>USB, DIL48, SD flash</t>
  </si>
  <si>
    <t>LCMXO3L-9400</t>
  </si>
  <si>
    <t>LCMXO3L-6900C-S-EVN</t>
  </si>
  <si>
    <t>snickerdoodle one</t>
  </si>
  <si>
    <t>Soft Propeller, DIP40, no USB, no DRAM</t>
  </si>
  <si>
    <t>18x77</t>
  </si>
  <si>
    <t>USB, PMOD, DIL48</t>
  </si>
  <si>
    <t>Cmod S7</t>
  </si>
  <si>
    <t>7nm</t>
  </si>
  <si>
    <t>Versal</t>
  </si>
  <si>
    <t>VC1352</t>
  </si>
  <si>
    <t>VC1502</t>
  </si>
  <si>
    <t>VC1702</t>
  </si>
  <si>
    <t>VC1802</t>
  </si>
  <si>
    <t>VC1902</t>
  </si>
  <si>
    <t>AI engines</t>
  </si>
  <si>
    <t>VM1102</t>
  </si>
  <si>
    <t>VM1302</t>
  </si>
  <si>
    <t>VM1402</t>
  </si>
  <si>
    <t>VM1502</t>
  </si>
  <si>
    <t>VM1802</t>
  </si>
  <si>
    <t>VM2502</t>
  </si>
  <si>
    <t>VM2602</t>
  </si>
  <si>
    <t>VM2702</t>
  </si>
  <si>
    <t>VM2902</t>
  </si>
  <si>
    <t>DDR: 1-6 ctrs, 64 to 384 bits wide total</t>
  </si>
  <si>
    <t>2X: RJ45, UART, CAN, USB, SPI, I2C</t>
  </si>
  <si>
    <t>2X: A72 &amp; R5; L1(288KB) &amp; L2(1.5MB)</t>
  </si>
  <si>
    <t>G4x8 PCI express</t>
  </si>
  <si>
    <t>MACs</t>
  </si>
  <si>
    <t>27x24DSP</t>
  </si>
  <si>
    <t>DSP units called DSP engines:</t>
  </si>
  <si>
    <t>8-bit 3x3 vector dot product</t>
  </si>
  <si>
    <t>32-bit fltg-pt, complex 18x18+58 &amp;</t>
  </si>
  <si>
    <t>SIMD &amp; VLIW &amp; six ops issue/clk</t>
  </si>
  <si>
    <t>32-bit RISC with 512-bit MMIX/fltg-pt;</t>
  </si>
  <si>
    <t>.7-,88, 1.2 - 3.3</t>
  </si>
  <si>
    <t>Each AI engine has 32KB RAM &amp;</t>
  </si>
  <si>
    <t>NRZ &amp; PAM4 Serdes: 8-66X at 15-58Gbps</t>
  </si>
  <si>
    <t>to follow</t>
  </si>
  <si>
    <t>"10^6 bits": mismatch on VC data sizes</t>
  </si>
  <si>
    <t>High speed (re)configuration</t>
  </si>
  <si>
    <t>AI Edge, AI RF, HBM &amp; Premium variants</t>
  </si>
  <si>
    <t>Spartan-6 Core Board XC6SLX16 DDR3 256MB</t>
  </si>
  <si>
    <t>QMTech</t>
  </si>
  <si>
    <t>32MB version at $25</t>
  </si>
  <si>
    <t>67x84</t>
  </si>
  <si>
    <t>NiteFury</t>
  </si>
  <si>
    <t>22x80</t>
  </si>
  <si>
    <t>DRAM, M.2, 12 I/O</t>
  </si>
  <si>
    <t>automotive grades: XA7SddT-xxxx</t>
  </si>
  <si>
    <t>32x</t>
  </si>
  <si>
    <t>CYC1000</t>
  </si>
  <si>
    <t>Arduino MKR form factor, 8MB SDRAM, 2 MB flash, 3-axis sensor, 8 LED, 2 button, 21 I/Os, USB</t>
  </si>
  <si>
    <t>trenz electronic</t>
  </si>
  <si>
    <t>Vidor 4000</t>
  </si>
  <si>
    <t>arduino</t>
  </si>
  <si>
    <t>Arduino IO, 8MB RAM, 2MB flash, HDMI, USB, mini PCIe, cortex M0+</t>
  </si>
  <si>
    <t>Cora Z7</t>
  </si>
  <si>
    <t>Ardino FF, DRAM, (2)PMOD, USB, RJ45</t>
  </si>
  <si>
    <t>56x100</t>
  </si>
  <si>
    <t>Brain-1</t>
  </si>
  <si>
    <t>1G, microSD</t>
  </si>
  <si>
    <t>(4) Syzygy ports, SD, 1G RJ45, (2) USB</t>
  </si>
  <si>
    <t>70x125</t>
  </si>
  <si>
    <t>PYNQ-Z2</t>
  </si>
  <si>
    <t>512M, SD</t>
  </si>
  <si>
    <t>87x140</t>
  </si>
  <si>
    <t>Arduino &amp; Pi, DRAM, (2) USB, (2)PMOD, 1G RJ45, (2) HDMI</t>
  </si>
  <si>
    <t>Aloriumtech</t>
  </si>
  <si>
    <t>Sno</t>
  </si>
  <si>
    <t>0.7"x1.7", soft-core Atmega, 32IO, Adrunio compatible</t>
  </si>
  <si>
    <t>Arduino IO, USB, 16MB HyperRAM, 16MB flash, RJ45, PMOD, 2x20IO</t>
  </si>
  <si>
    <t>Gowin</t>
  </si>
  <si>
    <t>Littlebee</t>
  </si>
  <si>
    <t>1.2,1.2 - 3.3</t>
  </si>
  <si>
    <t>CS16</t>
  </si>
  <si>
    <t>CS36</t>
  </si>
  <si>
    <t>osc, usb2.0, A2D</t>
  </si>
  <si>
    <t>M3</t>
  </si>
  <si>
    <t>osc, usb2.0, A2D, 60MHz cortex M3, 32Mb pSRAM</t>
  </si>
  <si>
    <t>MG81</t>
  </si>
  <si>
    <t>256Kb</t>
  </si>
  <si>
    <t>2+2</t>
  </si>
  <si>
    <t>64Mb pSRAM/SDRAM</t>
  </si>
  <si>
    <t>GW1NR-9</t>
  </si>
  <si>
    <t>QN88</t>
  </si>
  <si>
    <t>2+4</t>
  </si>
  <si>
    <t>GW1N-1</t>
  </si>
  <si>
    <t>yes</t>
  </si>
  <si>
    <t>osc, i3c, spi, DDR, IO gearing</t>
  </si>
  <si>
    <t>1Kx18</t>
  </si>
  <si>
    <t>LUT RAM, 9x9-18x18-36x36 mults, 1% osc</t>
  </si>
  <si>
    <t>GW1N-2</t>
  </si>
  <si>
    <t>GW1N-4</t>
  </si>
  <si>
    <t>GW1N-6</t>
  </si>
  <si>
    <t>GW1N-9</t>
  </si>
  <si>
    <t>CS30</t>
  </si>
  <si>
    <t>CS72</t>
  </si>
  <si>
    <t>CM64</t>
  </si>
  <si>
    <t>1+0</t>
  </si>
  <si>
    <t>96Kb</t>
  </si>
  <si>
    <t>608Kb</t>
  </si>
  <si>
    <t>1+2</t>
  </si>
  <si>
    <t>64Kb</t>
  </si>
  <si>
    <t>Arora</t>
  </si>
  <si>
    <t>GW2A-55</t>
  </si>
  <si>
    <t>GW2A-18</t>
  </si>
  <si>
    <t>MG196</t>
  </si>
  <si>
    <t>PG484</t>
  </si>
  <si>
    <t>4+4</t>
  </si>
  <si>
    <t>6+4</t>
  </si>
  <si>
    <t>GW2AR-18</t>
  </si>
  <si>
    <t>64Mb pSRAM or 128Mb SDRAM</t>
  </si>
  <si>
    <t>Speedster7t</t>
  </si>
  <si>
    <t>6LUT</t>
  </si>
  <si>
    <t>AC7t1500</t>
  </si>
  <si>
    <t>AC7t750</t>
  </si>
  <si>
    <t>AC7t3000</t>
  </si>
  <si>
    <t>AC7t6000</t>
  </si>
  <si>
    <t>MLP</t>
  </si>
  <si>
    <t>112G</t>
  </si>
  <si>
    <t>100G Eth</t>
  </si>
  <si>
    <t>2048x36</t>
  </si>
  <si>
    <t>MLP: NN mult-accum w/fltg-pt</t>
  </si>
  <si>
    <t>400G ethernet, network on chip</t>
  </si>
  <si>
    <t>PCIe gen 5, GDDR6, DDR4/5</t>
  </si>
  <si>
    <t>64x36</t>
  </si>
  <si>
    <t>x9 flash Kbits</t>
  </si>
  <si>
    <t>MachXO3D-4300 &amp; 9400  w/hw security block</t>
  </si>
  <si>
    <t>10nm</t>
  </si>
  <si>
    <t>Agilex</t>
  </si>
  <si>
    <t>AGF004</t>
  </si>
  <si>
    <t>compute express link to intel xeon up</t>
  </si>
  <si>
    <t>4X Cortex*-A53 1.5 GHz 32 KB I/D cache, NEON, 1 MB L2 cache</t>
  </si>
  <si>
    <t>USB 2.0x2, 1G EMAC x3, UART x2, serial peripheral interface (SPI) x4, I2C x5</t>
  </si>
  <si>
    <t>58/32Ghz</t>
  </si>
  <si>
    <t>float32, float16, bfloat16 add &amp; multiply</t>
  </si>
  <si>
    <t>MLABs</t>
  </si>
  <si>
    <t>XCVU19P</t>
  </si>
  <si>
    <t>XCVU45P</t>
  </si>
  <si>
    <t>XCVU47P</t>
  </si>
  <si>
    <t>large RAM?</t>
  </si>
  <si>
    <t>16Gb HBM</t>
  </si>
  <si>
    <t>4Gb HBM</t>
  </si>
  <si>
    <t>8Gb HBM</t>
  </si>
  <si>
    <t>Trion</t>
  </si>
  <si>
    <t>Efinix, Inc</t>
  </si>
  <si>
    <t>T4</t>
  </si>
  <si>
    <t>T8</t>
  </si>
  <si>
    <t>T13</t>
  </si>
  <si>
    <t>T20</t>
  </si>
  <si>
    <t>T35</t>
  </si>
  <si>
    <t>T55</t>
  </si>
  <si>
    <t>T85</t>
  </si>
  <si>
    <t>T120</t>
  </si>
  <si>
    <t>T165</t>
  </si>
  <si>
    <t>T200</t>
  </si>
  <si>
    <t>18X18</t>
  </si>
  <si>
    <t>20X256</t>
  </si>
  <si>
    <t>6Ghz MIPI</t>
  </si>
  <si>
    <t>DDR1-3, 2to3 four lane 6Ghz CSI-2 MIPI</t>
  </si>
  <si>
    <t>ROM avail, merged routing/LUT (not both)</t>
  </si>
  <si>
    <t>R</t>
  </si>
  <si>
    <t>MachXO3D</t>
  </si>
  <si>
    <t>For the secure hardware market</t>
  </si>
  <si>
    <t>512Mx32 DRAM</t>
  </si>
  <si>
    <t>many variations with flash and/or PSRAM</t>
  </si>
  <si>
    <t>1GX10M</t>
  </si>
  <si>
    <t>Bulemon Xilinx Spartan 6 FPGA Kit XC6SLX9</t>
  </si>
  <si>
    <t>Bulemon</t>
  </si>
  <si>
    <t>90x130</t>
  </si>
  <si>
    <t>comes with Xilinx JTAG programmer, Chinese docs</t>
  </si>
  <si>
    <t>USB</t>
  </si>
  <si>
    <t>Spartan 6 LX9 + 32MB SDRAM</t>
  </si>
  <si>
    <t>https://www.amazon.com/XILINX-Development-Spartan-XC6SLX9-AX309C/dp/B07DBNVSH8</t>
  </si>
  <si>
    <t>16x16Mb SDRAM, 16Mb flash</t>
  </si>
  <si>
    <t>Alinx ax309</t>
  </si>
  <si>
    <t>https://github.com/alinxalinx</t>
  </si>
  <si>
    <t>ULX3S</t>
  </si>
  <si>
    <t>radiona.org</t>
  </si>
  <si>
    <t>Pmod friendly</t>
  </si>
  <si>
    <t>LFE5UM5G-85F-EVN</t>
  </si>
  <si>
    <t>Arduino, PI &amp; PMOD friendly</t>
  </si>
  <si>
    <t>8MB</t>
  </si>
  <si>
    <t>32MB</t>
  </si>
  <si>
    <t>FireAnt</t>
  </si>
  <si>
    <t>xips-technology</t>
  </si>
  <si>
    <t>18x51mm, usb, 8Mb NOR flash</t>
  </si>
  <si>
    <t>K Logic Cells needs to be reduced by routing needs</t>
  </si>
  <si>
    <t>DE10 Nano Kit</t>
  </si>
  <si>
    <t>riscV</t>
  </si>
  <si>
    <t>PolarFire/SoC</t>
  </si>
  <si>
    <t>MPFS025T</t>
  </si>
  <si>
    <t>MPFS095T</t>
  </si>
  <si>
    <t>MPFS160T</t>
  </si>
  <si>
    <t>MPFS250T</t>
  </si>
  <si>
    <t>MPFS460T</t>
  </si>
  <si>
    <t>12.5Gbps</t>
  </si>
  <si>
    <t>uP IO: Gb ethernet, SD card, eMMC,</t>
  </si>
  <si>
    <t>USB 2.0, CAN, flash ctlr, SPI, Uart,</t>
  </si>
  <si>
    <t>timer, AXI/APB, DMA, error correction</t>
  </si>
  <si>
    <t xml:space="preserve">I2C, HMS:DMY cntr, watchdog timer, </t>
  </si>
  <si>
    <t>MPFxxxT ARM M3 for limited functions</t>
  </si>
  <si>
    <t>5CSXBA6</t>
  </si>
  <si>
    <t>VP1102</t>
  </si>
  <si>
    <t>VP1202</t>
  </si>
  <si>
    <t>VP1402</t>
  </si>
  <si>
    <t>VP1502</t>
  </si>
  <si>
    <t>VP1552</t>
  </si>
  <si>
    <t>VP1702</t>
  </si>
  <si>
    <t>VP1802</t>
  </si>
  <si>
    <t>Variants: AI Core(VC), Prime(VM) &amp; Premium(VP)</t>
  </si>
  <si>
    <t>GW1NZ-1</t>
  </si>
  <si>
    <t>GW1NSR-2</t>
  </si>
  <si>
    <t>GW1NSR-2C</t>
  </si>
  <si>
    <t>GW1NNR-4</t>
  </si>
  <si>
    <t>GW1NSR-4C</t>
  </si>
  <si>
    <t>Cortex-M3</t>
  </si>
  <si>
    <t>GW1NRF-LV4B</t>
  </si>
  <si>
    <t>32bit ARC uP</t>
  </si>
  <si>
    <t>RLB</t>
  </si>
  <si>
    <t>RLB: 12X 6LUT, 3X 8-bit adder, 12X 2x2 mult</t>
  </si>
  <si>
    <t>XCVU23P</t>
  </si>
  <si>
    <t>Certus-NX</t>
  </si>
  <si>
    <t>LFD2NX-17</t>
  </si>
  <si>
    <t>LFD2NX-40</t>
  </si>
  <si>
    <t>1.0 - 3.3</t>
  </si>
  <si>
    <t>(2)analog, DDR, PCIe, AES, ethernet</t>
  </si>
  <si>
    <t>Taidacent</t>
  </si>
  <si>
    <t>HEX ZYNQ 7020</t>
  </si>
  <si>
    <t>2GB</t>
  </si>
  <si>
    <t>Raspberry Pi Edition: 1GB RAM,2GB flash,100M RJ45</t>
  </si>
  <si>
    <t>24 SERDES, 16 spacewire, 2 DRAM, 374Kb uPROM</t>
  </si>
  <si>
    <t>CQ352</t>
  </si>
  <si>
    <t>2FSVA3824E</t>
  </si>
  <si>
    <t>ICE40UP3K</t>
  </si>
  <si>
    <t>ICE40UP5K</t>
  </si>
  <si>
    <t>Titanium</t>
  </si>
  <si>
    <t>Ti60</t>
  </si>
  <si>
    <t>Ti90</t>
  </si>
  <si>
    <t>Ti375</t>
  </si>
  <si>
    <t>20X512</t>
  </si>
  <si>
    <t>DDR4, 2to3 four lane 6Ghz CSI-2 MIPI</t>
  </si>
  <si>
    <t>Fomu</t>
  </si>
  <si>
    <t>PCB size of USB connector, 4 inputs, one RGB LED</t>
  </si>
  <si>
    <t>EOS S3 SoC</t>
  </si>
  <si>
    <t>Qomu</t>
  </si>
  <si>
    <t>Seeed</t>
  </si>
  <si>
    <t>Spartan Edge Accelerator Board</t>
  </si>
  <si>
    <t>n5x</t>
  </si>
  <si>
    <t>N5X015</t>
  </si>
  <si>
    <t>N5X007</t>
  </si>
  <si>
    <t>N5X024</t>
  </si>
  <si>
    <t>N5X047</t>
  </si>
  <si>
    <t>N5X088</t>
  </si>
  <si>
    <t>40x256</t>
  </si>
  <si>
    <t>2x64</t>
  </si>
  <si>
    <t>5i2c,7timer,4watchdog,3x1GeMac</t>
  </si>
  <si>
    <t>4A53-1.5GHz,DDR,2usb,2uart,4spi,</t>
  </si>
  <si>
    <t>4CortexA53,1.5GHz,NEON,1MB L2 cache,</t>
  </si>
  <si>
    <t>Cortex A53</t>
  </si>
  <si>
    <t>32.44GHz</t>
  </si>
  <si>
    <t>FC676</t>
  </si>
  <si>
    <t>FC780</t>
  </si>
  <si>
    <t>FC896</t>
  </si>
  <si>
    <t>FC1517</t>
  </si>
  <si>
    <t>now part of Intel</t>
  </si>
  <si>
    <t>27x18DSP</t>
  </si>
  <si>
    <t>DSP E1: ALU &amp; Booleans</t>
  </si>
  <si>
    <t>DSP E2: ALU &amp; Booleans, 10-bit A2D</t>
  </si>
  <si>
    <t>OrangeCrab</t>
  </si>
  <si>
    <t>GroupGets</t>
  </si>
  <si>
    <t>30WLCSP</t>
  </si>
  <si>
    <t>Anlogic</t>
  </si>
  <si>
    <t>EG4S</t>
  </si>
  <si>
    <t>EG4S20</t>
  </si>
  <si>
    <t>9K</t>
  </si>
  <si>
    <t>2Mx32 SDRAM, 8x12bit A2D</t>
  </si>
  <si>
    <t>ELF3</t>
  </si>
  <si>
    <t>risc-v</t>
  </si>
  <si>
    <t>LUT4-5, softcore RISC-V</t>
  </si>
  <si>
    <t>Artix--US+</t>
  </si>
  <si>
    <t>AU10P</t>
  </si>
  <si>
    <t>AU15P</t>
  </si>
  <si>
    <t>AU20P</t>
  </si>
  <si>
    <t>AU25P</t>
  </si>
  <si>
    <t>XCZU1EG/CG</t>
  </si>
  <si>
    <t>Xilinx &amp; Altium JTAG, simple IO</t>
  </si>
  <si>
    <t>ozrobotics</t>
  </si>
  <si>
    <t>UPDuino 3.0</t>
  </si>
  <si>
    <t>Xyloni</t>
  </si>
  <si>
    <t>RISC-v support</t>
  </si>
  <si>
    <t>merged routing/LUT (not both)</t>
  </si>
  <si>
    <t>Ti35</t>
  </si>
  <si>
    <t>Ti120</t>
  </si>
  <si>
    <t>Ti170</t>
  </si>
  <si>
    <t>Ti240</t>
  </si>
  <si>
    <t>Ti550</t>
  </si>
  <si>
    <t>Ti750</t>
  </si>
  <si>
    <t>Ti1000</t>
  </si>
  <si>
    <t>DSP engine: 5KB prog ram, 16KB data ram</t>
  </si>
  <si>
    <t>EOS3FF512</t>
  </si>
  <si>
    <t>quick-feather</t>
  </si>
  <si>
    <t>Cortex M4</t>
  </si>
  <si>
    <t>https://www.mouser.com/new/crowd-supply/quicklogic-quickfeather-dev-kit/</t>
  </si>
  <si>
    <t>WRN42</t>
  </si>
  <si>
    <t>M4</t>
  </si>
  <si>
    <t>M4 &amp; M0</t>
  </si>
  <si>
    <t>512K RAM, SPI. I2S, I2C, A2D, DMA</t>
  </si>
  <si>
    <t>https://www.crowdsupply.com/quicklogic/qomu</t>
  </si>
  <si>
    <t>EOS-S3</t>
  </si>
  <si>
    <t>32x32</t>
  </si>
  <si>
    <t>wide tile</t>
  </si>
  <si>
    <t>36x36</t>
  </si>
  <si>
    <t>DSP: 5KB prog ram, 16KB data ram</t>
  </si>
  <si>
    <t>42M</t>
  </si>
  <si>
    <t>package determines pSRAM &amp; flash</t>
  </si>
  <si>
    <t>Kria K26 SOM</t>
  </si>
  <si>
    <t>119x140</t>
  </si>
  <si>
    <t>inclues heatsink, fan, base PCB</t>
  </si>
  <si>
    <t>Bajie</t>
  </si>
  <si>
    <t>https://www.aliexpress.com/wholesale?catId=0&amp;initiative_id=SB_20210113023711&amp;SearchText=QMTECH</t>
  </si>
  <si>
    <t>All QMTech boards</t>
  </si>
  <si>
    <t>7BG256C</t>
  </si>
  <si>
    <t>8X 12bit 4GHz A2D, 8X 14bit 6.4GHz D2A</t>
  </si>
  <si>
    <t>8X 12bit 4GHz A2D, 8X 14bit 6.4GHz D2A, 8X SD-FEC</t>
  </si>
  <si>
    <t>16X 12bit 2GHz A2D, 16X 14bit 6.4GHz D2A</t>
  </si>
  <si>
    <t>CertusPro-NX</t>
  </si>
  <si>
    <t>LFCPNX-50</t>
  </si>
  <si>
    <t>LFCPNX-100</t>
  </si>
  <si>
    <t>ASG256</t>
  </si>
  <si>
    <t>85 version at $180.66 @ Newark</t>
  </si>
  <si>
    <t>MPF050T</t>
  </si>
  <si>
    <t>(4) 512Mx16 DRAM</t>
  </si>
  <si>
    <t>AGM</t>
  </si>
  <si>
    <t>AG16K</t>
  </si>
  <si>
    <t>16X</t>
  </si>
  <si>
    <t>AG1K</t>
  </si>
  <si>
    <t>AG3K</t>
  </si>
  <si>
    <t>AG6K</t>
  </si>
  <si>
    <t>AG10K</t>
  </si>
  <si>
    <t>available with stacked DDR</t>
  </si>
  <si>
    <t>M3 optional, reduces IO count</t>
  </si>
  <si>
    <t>M3 has uP peripherals</t>
  </si>
  <si>
    <t>LUT RAM, carry chains</t>
  </si>
  <si>
    <t>1K+</t>
  </si>
  <si>
    <t>x-on.com</t>
  </si>
  <si>
    <t>Kria KV260 kit</t>
  </si>
  <si>
    <t>667MHz RISC-V: fltg-pt, MMU, L1, 2MB L2 cache</t>
  </si>
  <si>
    <t>https://www.sparkfun.com/products/17273</t>
  </si>
  <si>
    <t>Sparkfun</t>
  </si>
  <si>
    <t>mouser</t>
  </si>
  <si>
    <t>100 QDIP, 8MB hyperRAM, 88IO, no connectors, no video</t>
  </si>
  <si>
    <t>AGFA006</t>
  </si>
  <si>
    <t>AGFA008</t>
  </si>
  <si>
    <t>AGFA012</t>
  </si>
  <si>
    <t>AGFA014</t>
  </si>
  <si>
    <t>AGFA022</t>
  </si>
  <si>
    <t>AGFA027</t>
  </si>
  <si>
    <t>AGIA022</t>
  </si>
  <si>
    <t>AGIA027</t>
  </si>
  <si>
    <t>Renesas ForgeFPGA</t>
  </si>
  <si>
    <t>standby current of &lt;20uA, under $.50 in volume</t>
  </si>
  <si>
    <t>ForgeFPGA</t>
  </si>
  <si>
    <t>2DAC, comparators, macrocells</t>
  </si>
  <si>
    <t>Sipeed Tang Nano</t>
  </si>
  <si>
    <t>Sipeed Tang Nano 4K</t>
  </si>
  <si>
    <t>1bitsquared</t>
  </si>
  <si>
    <t>iCEBreaker-bitsy FPGA</t>
  </si>
  <si>
    <t>tinyvision.ai</t>
  </si>
  <si>
    <t>UPDuino v3.1</t>
  </si>
  <si>
    <t>Maximator</t>
  </si>
  <si>
    <t>https://maximator-fpga.org/</t>
  </si>
  <si>
    <t>SparkFun Thing Plus</t>
  </si>
  <si>
    <t>Evo M51</t>
  </si>
  <si>
    <t>0.9"x1.7",SAMD51 uP , 32IO</t>
  </si>
  <si>
    <t>512x8</t>
  </si>
  <si>
    <t>iCE40 Feather</t>
  </si>
  <si>
    <t>FPGA boards for "Economies of scale FPGA project"</t>
  </si>
  <si>
    <t>dx in</t>
  </si>
  <si>
    <t>dy in</t>
  </si>
  <si>
    <t>Battery</t>
  </si>
  <si>
    <t>ATD</t>
  </si>
  <si>
    <t>PMOD</t>
  </si>
  <si>
    <t>Grove</t>
  </si>
  <si>
    <t>pcbway</t>
  </si>
  <si>
    <t>https://www.pcbway.com/project/gifts_detail/iCE40_Feather.html</t>
  </si>
  <si>
    <t>Evo M51 Plus</t>
  </si>
  <si>
    <t>Also SAMD51 Cortex M4</t>
  </si>
  <si>
    <t>DIP form factor</t>
  </si>
  <si>
    <t>Pi form factor</t>
  </si>
  <si>
    <t>Trenz TE0723-3M</t>
  </si>
  <si>
    <t>NA</t>
  </si>
  <si>
    <t>Trenz</t>
  </si>
  <si>
    <t>ZynqBerryZero Module</t>
  </si>
  <si>
    <t>IceZero</t>
  </si>
  <si>
    <t>Arduino form factor</t>
  </si>
  <si>
    <t>Trenz TE0726-3M</t>
  </si>
  <si>
    <t>Trenz MAX-1000</t>
  </si>
  <si>
    <t>"Rectangle" format</t>
  </si>
  <si>
    <t>Feather Wing</t>
  </si>
  <si>
    <t>Adafruit Joy FeatherWing for all Feathers</t>
  </si>
  <si>
    <t>#3632</t>
  </si>
  <si>
    <t>I2C</t>
  </si>
  <si>
    <t>Adafruit Mini Color TFT with Joystick FeatherWing</t>
  </si>
  <si>
    <t>#3321</t>
  </si>
  <si>
    <t>I2C, SPI</t>
  </si>
  <si>
    <t>google</t>
  </si>
  <si>
    <t>SparkFun DEV16525 Alchitry Io Element Board</t>
  </si>
  <si>
    <t>LANTRO JS - Multifunctional Expansion Board Basic Learning Kit</t>
  </si>
  <si>
    <t>STEP-MAX10M02 FPGA dev bd</t>
  </si>
  <si>
    <t>https://www.ebay.com/itm/143318504573</t>
  </si>
  <si>
    <t>Ep4ce6 Dev Bd</t>
  </si>
  <si>
    <t>S7 Mini</t>
  </si>
  <si>
    <t>SD slot, ESP32, HDMI, can be prog from Arduino IDE</t>
  </si>
  <si>
    <t>Digikey &amp; Mouser</t>
  </si>
  <si>
    <t>PB, 7-seg, dated</t>
  </si>
  <si>
    <t>STEP-MX02</t>
  </si>
  <si>
    <t>Sipeed Tang Nano-4K</t>
  </si>
  <si>
    <t>Aliexpress</t>
  </si>
  <si>
    <t>Cortex-M3, 64Mb pSRAM/SDRAM, HDMI</t>
  </si>
  <si>
    <t>LUT RAM, 9x9-18x18-36x36 mults,1% osc</t>
  </si>
  <si>
    <t>training materials, 4 PB, 4 SSW, 10 LED, 2 digit 7-seg</t>
  </si>
  <si>
    <t>ebay</t>
  </si>
  <si>
    <t>Feather form factor, has Arduino pin assignments with narrow width</t>
  </si>
  <si>
    <t>QuickLogic Thing Plus</t>
  </si>
  <si>
    <t>EOS3FLF512</t>
  </si>
  <si>
    <r>
      <t xml:space="preserve">8MB DRAM, </t>
    </r>
    <r>
      <rPr>
        <b/>
        <sz val="10"/>
        <rFont val="Arial"/>
        <family val="2"/>
      </rPr>
      <t>no USB</t>
    </r>
  </si>
  <si>
    <t>iceFUN</t>
  </si>
  <si>
    <t>robot-electronics</t>
  </si>
  <si>
    <r>
      <rPr>
        <b/>
        <sz val="10"/>
        <rFont val="Arial"/>
        <family val="2"/>
      </rPr>
      <t>32 LEDS</t>
    </r>
    <r>
      <rPr>
        <sz val="10"/>
        <rFont val="Arial"/>
        <family val="2"/>
      </rPr>
      <t xml:space="preserve">, 4 pb, 45 IO pins; also </t>
    </r>
    <r>
      <rPr>
        <b/>
        <sz val="10"/>
        <rFont val="Arial"/>
        <family val="2"/>
      </rPr>
      <t>iceBlip ($6)</t>
    </r>
    <r>
      <rPr>
        <sz val="10"/>
        <rFont val="Arial"/>
        <family val="2"/>
      </rPr>
      <t xml:space="preserve"> &amp; iceWerk</t>
    </r>
  </si>
  <si>
    <t>VM2202</t>
  </si>
  <si>
    <t>VM2302</t>
  </si>
  <si>
    <t>VE2002</t>
  </si>
  <si>
    <t>VE2202</t>
  </si>
  <si>
    <t>VE2102</t>
  </si>
  <si>
    <t>VE2302</t>
  </si>
  <si>
    <t>VE1752</t>
  </si>
  <si>
    <t>VE2602</t>
  </si>
  <si>
    <t>VE2802</t>
  </si>
  <si>
    <t>AI engine ML tiles</t>
  </si>
  <si>
    <t>AI engine tiles</t>
  </si>
  <si>
    <t>VC2602</t>
  </si>
  <si>
    <t>VC2802</t>
  </si>
  <si>
    <t>VH1522</t>
  </si>
  <si>
    <t>VH1542</t>
  </si>
  <si>
    <t>VH1582</t>
  </si>
  <si>
    <t>VH1742</t>
  </si>
  <si>
    <t>VH1782</t>
  </si>
  <si>
    <t>8GB DRAM</t>
  </si>
  <si>
    <t>16GB DRAM</t>
  </si>
  <si>
    <t>32GB DRAM</t>
  </si>
  <si>
    <t>5K+</t>
  </si>
  <si>
    <t>50K+</t>
  </si>
  <si>
    <t>ICE40LP/UL1K</t>
  </si>
  <si>
    <t>ICE40LP/UL640</t>
  </si>
  <si>
    <t>Trenz Electronic TE0890</t>
  </si>
  <si>
    <t>DIL48, 8MB DRAM</t>
  </si>
  <si>
    <t>27x52</t>
  </si>
  <si>
    <t>DIL48, 8MB DRAM, obsolete</t>
  </si>
  <si>
    <t>PIF-2</t>
  </si>
  <si>
    <t>Bugblat</t>
  </si>
  <si>
    <t>Raspberry Pi pinout, dated</t>
  </si>
  <si>
    <t>Boolean board</t>
  </si>
  <si>
    <t>realdigital.org</t>
  </si>
  <si>
    <t>HDMI</t>
  </si>
  <si>
    <t>16Kx16</t>
  </si>
  <si>
    <t>large RAM is single port</t>
  </si>
  <si>
    <t>DE10-Lite Board</t>
  </si>
  <si>
    <t>Terasic</t>
  </si>
  <si>
    <t>HDMI, 8dig 7seg, 16 sw, 4 servo</t>
  </si>
  <si>
    <t>AGM032</t>
  </si>
  <si>
    <t>AGM039</t>
  </si>
  <si>
    <t>1MSEVIVA1596</t>
  </si>
  <si>
    <t>Pine S7</t>
  </si>
  <si>
    <t>16 slide&amp;LED, 4 PB&amp;7SEG, DB15, WiFi</t>
  </si>
  <si>
    <t>fpgatechsolution</t>
  </si>
  <si>
    <t>fpgatechsolution.com</t>
  </si>
  <si>
    <t>25x75</t>
  </si>
  <si>
    <t>Campus-FPGA</t>
  </si>
  <si>
    <t>4pb,4sw,8LED,3 7-seg,28 GPIO</t>
  </si>
  <si>
    <t>Mercury 2 FPGA Development Board</t>
  </si>
  <si>
    <t>Mercury 2 FPGA Dev Board</t>
  </si>
  <si>
    <t>micro-nova</t>
  </si>
  <si>
    <t>SRAM, rj45, 64 pin DIP, $29 IO board</t>
  </si>
  <si>
    <t>Mercury Baseboard</t>
  </si>
  <si>
    <t>https://www.micro-nova.com/mercury-baseboard</t>
  </si>
  <si>
    <t>16/32GB HBM option, DDR5 &amp; Optane support</t>
  </si>
  <si>
    <t>RealDigital</t>
  </si>
  <si>
    <t>7 seg digits</t>
  </si>
  <si>
    <t>nav sw</t>
  </si>
  <si>
    <t># LEDs</t>
  </si>
  <si>
    <t># slide sw</t>
  </si>
  <si>
    <t>user Ios</t>
  </si>
  <si>
    <t>Arduino</t>
  </si>
  <si>
    <t>SRAM/DDR</t>
  </si>
  <si>
    <t>VGA/HDMI</t>
  </si>
  <si>
    <t>H</t>
  </si>
  <si>
    <t>V</t>
  </si>
  <si>
    <t># PB sw</t>
  </si>
  <si>
    <t>Pi hdr</t>
  </si>
  <si>
    <t>4Mb</t>
  </si>
  <si>
    <t>4Mb external RAM, Raspberry Pi header</t>
  </si>
  <si>
    <t>Arduino header</t>
  </si>
  <si>
    <t>512MB</t>
  </si>
  <si>
    <t>Pi header</t>
  </si>
  <si>
    <t>(2)12-bit A2D, 17 chnls, micro SD card</t>
  </si>
  <si>
    <t>block RAM bits</t>
  </si>
  <si>
    <t>https://www.joelw.id.au/FPGA/CheapFPGADevelopmentBoards</t>
  </si>
  <si>
    <t>Low cost FPGA boards</t>
  </si>
  <si>
    <t xml:space="preserve">similar to STEP-MX02  &amp; STEP-MAX10M02 </t>
  </si>
  <si>
    <t>Board Name</t>
  </si>
  <si>
    <t>Mfg</t>
  </si>
  <si>
    <t>block RAM</t>
  </si>
  <si>
    <t>SRAM DDR</t>
  </si>
  <si>
    <t>VGA HDMI</t>
  </si>
  <si>
    <t>7 seg digs</t>
  </si>
  <si>
    <t>Pmod</t>
  </si>
  <si>
    <t>Board Mfg</t>
  </si>
  <si>
    <t>M RAM bits</t>
  </si>
  <si>
    <t>Nav sw</t>
  </si>
  <si>
    <t>open source</t>
  </si>
  <si>
    <t>User IOs</t>
  </si>
  <si>
    <t>MAX10M02</t>
  </si>
  <si>
    <t>StepFPGA</t>
  </si>
  <si>
    <t>Seeedstudio</t>
  </si>
  <si>
    <t>Spartan Edge</t>
  </si>
  <si>
    <t>DE10-Lite</t>
  </si>
  <si>
    <t>XC7A35</t>
  </si>
  <si>
    <t>Basys 3 Artix-7</t>
  </si>
  <si>
    <t>PB</t>
  </si>
  <si>
    <t>Realdigital</t>
  </si>
  <si>
    <t>Blackboard</t>
  </si>
  <si>
    <t>ARM A9</t>
  </si>
  <si>
    <t>XC7007S</t>
  </si>
  <si>
    <t>K logic cells</t>
  </si>
  <si>
    <t>64MB</t>
  </si>
  <si>
    <t>Gowin RUNBER</t>
  </si>
  <si>
    <t>GW1N-UV4</t>
  </si>
  <si>
    <t>FPGA Study Board</t>
  </si>
  <si>
    <t>fraserinnovations</t>
  </si>
  <si>
    <t xml:space="preserve">also RJ45, pot, </t>
  </si>
  <si>
    <t>ZU39DR</t>
  </si>
  <si>
    <t>ZU42DR</t>
  </si>
  <si>
    <t>ZU43DR</t>
  </si>
  <si>
    <t>ZU46DR</t>
  </si>
  <si>
    <t>ZU47DR</t>
  </si>
  <si>
    <t>ZU48DR</t>
  </si>
  <si>
    <t>ZU49DR</t>
  </si>
  <si>
    <t xml:space="preserve">  4X 14bit 5GHz A2D, 12X 14bit 9.9GHz D2A</t>
  </si>
  <si>
    <t xml:space="preserve">  2X 14bit 5GHz A2D,   8X 14bit 9.9GHz D2A</t>
  </si>
  <si>
    <t xml:space="preserve">  4X 14bit 5GHz A2D,   4X 14bit 9.9GHz D2A</t>
  </si>
  <si>
    <t xml:space="preserve">  8X 14bit 5GHz A2D,   8X 14bit 9.9GHz D2A</t>
  </si>
  <si>
    <t>16X 14bit 2.5GHz A2D,16X 14bit 9.9GHz D2A</t>
  </si>
  <si>
    <t>numato.com</t>
  </si>
  <si>
    <t>Mimas V2 S6</t>
  </si>
  <si>
    <t>XC6S09</t>
  </si>
  <si>
    <t>Numato</t>
  </si>
  <si>
    <t>numato</t>
  </si>
  <si>
    <t>mimas-v2 S6</t>
  </si>
  <si>
    <t>audio, SD slot</t>
  </si>
  <si>
    <t>Arduino IO, 10sw, 6dig 7seg, DB15</t>
  </si>
  <si>
    <t>14x23</t>
  </si>
  <si>
    <t>HDMI, 4X7-seg, 12sw, 6pb, ESP32, 3X Pmod, 12X led</t>
  </si>
  <si>
    <t>C</t>
  </si>
  <si>
    <t>30x65</t>
  </si>
  <si>
    <t>mini-HDMI, 26 IO, 512MB, uSD slot, Raspberry Pi Zero form factor</t>
  </si>
  <si>
    <t>ZynqBerry Zero</t>
  </si>
  <si>
    <t>Edge Spartan-7 FPGA Board</t>
  </si>
  <si>
    <t>16 slide&amp;LED, 5 PB, 4-7SEG, DB15, LCD disp, WiFi</t>
  </si>
  <si>
    <t>EDGE Spartan 6 FPGA Dev Board</t>
  </si>
  <si>
    <t>invent logics</t>
  </si>
  <si>
    <t>5PB,4X 7seg,16sw,16LED,vga,ble,WiFi; S6,S7,A7 or Zq; 22IO</t>
  </si>
  <si>
    <t xml:space="preserve">64MB DDR, 3X 7seg, 8dip, 8LED, uSD, 6PB, vga, 4pmod, </t>
  </si>
  <si>
    <t>12bitA2D</t>
  </si>
  <si>
    <t>MachXO5-NX</t>
  </si>
  <si>
    <t>16K*36</t>
  </si>
  <si>
    <t>LFMXO5</t>
  </si>
  <si>
    <t>2 ATD, 450MHz &amp; 128KHz osc, I2C, SPI, 15Kb flash</t>
  </si>
  <si>
    <t>Gowin MiniStar</t>
  </si>
  <si>
    <t>QN48P</t>
  </si>
  <si>
    <t>GW1NSR-LV4</t>
  </si>
  <si>
    <t>Amazon</t>
  </si>
  <si>
    <t>two boards, user IO headers</t>
  </si>
  <si>
    <t>A3</t>
  </si>
  <si>
    <t>magicjellybeanfpga</t>
  </si>
  <si>
    <t>Gowin MiniStar kit</t>
  </si>
  <si>
    <t>FPGA data for parts with free tools ©2022 Brakefield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</si>
</sst>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00"/>
    <numFmt numFmtId="168" formatCode="0;[Red]0"/>
    <numFmt numFmtId="169" formatCode="#,##0;[Red]#,##0"/>
    <numFmt numFmtId="170" formatCode="0.00;[Red]0.00"/>
    <numFmt numFmtId="171" formatCode="0.0;[Red]0.0"/>
    <numFmt numFmtId="172" formatCode="#,##0.000;[Red]#,##0.000"/>
    <numFmt numFmtId="173" formatCode="#,##0.00;[Red]#,##0.00"/>
    <numFmt numFmtId="174" formatCode="#,##0.0;[Red]#,##0.0"/>
    <numFmt numFmtId="175" formatCode="#,##0.0"/>
    <numFmt numFmtId="176" formatCode="0.000;[Red]0.000"/>
    <numFmt numFmtId="177" formatCode="#,##0.0000;[Red]#,##0.0000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color indexed="8"/>
      <name val="Calibri"/>
      <family val="2"/>
    </font>
    <font>
      <b/>
      <i/>
      <sz val="10"/>
      <name val="Arial"/>
      <family val="2"/>
    </font>
    <font>
      <sz val="11"/>
      <name val="Arial"/>
      <family val="2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u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871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0" fontId="3" fillId="0" borderId="1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164" fontId="3" fillId="0" borderId="2" xfId="0" applyNumberFormat="1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2" fontId="3" fillId="0" borderId="2" xfId="0" applyNumberFormat="1" applyFont="1" applyBorder="1" applyAlignment="1">
      <alignment horizontal="center" textRotation="90" wrapText="1"/>
    </xf>
    <xf numFmtId="0" fontId="4" fillId="0" borderId="3" xfId="0" applyFont="1" applyBorder="1"/>
    <xf numFmtId="0" fontId="3" fillId="0" borderId="4" xfId="0" applyFont="1" applyBorder="1" applyAlignment="1">
      <alignment horizontal="lef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right"/>
    </xf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right"/>
    </xf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 applyAlignment="1">
      <alignment horizontal="right"/>
    </xf>
    <xf numFmtId="164" fontId="0" fillId="0" borderId="16" xfId="0" applyNumberFormat="1" applyBorder="1"/>
    <xf numFmtId="164" fontId="0" fillId="0" borderId="17" xfId="0" applyNumberFormat="1" applyBorder="1"/>
    <xf numFmtId="0" fontId="5" fillId="0" borderId="9" xfId="0" applyFont="1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5" fillId="0" borderId="15" xfId="0" applyFont="1" applyBorder="1"/>
    <xf numFmtId="0" fontId="3" fillId="0" borderId="16" xfId="0" applyFont="1" applyBorder="1" applyAlignment="1">
      <alignment horizontal="lef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5" fillId="0" borderId="6" xfId="0" applyFont="1" applyBorder="1"/>
    <xf numFmtId="0" fontId="3" fillId="0" borderId="7" xfId="0" applyFont="1" applyBorder="1" applyAlignment="1">
      <alignment horizontal="lef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5" fillId="0" borderId="7" xfId="0" applyFon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0" fontId="3" fillId="0" borderId="3" xfId="0" applyFont="1" applyBorder="1"/>
    <xf numFmtId="164" fontId="0" fillId="0" borderId="4" xfId="0" applyNumberFormat="1" applyBorder="1"/>
    <xf numFmtId="164" fontId="0" fillId="0" borderId="5" xfId="0" applyNumberFormat="1" applyBorder="1"/>
    <xf numFmtId="0" fontId="3" fillId="0" borderId="19" xfId="0" applyFont="1" applyBorder="1" applyAlignment="1">
      <alignment horizontal="center" textRotation="90" wrapText="1"/>
    </xf>
    <xf numFmtId="168" fontId="0" fillId="0" borderId="0" xfId="0" applyNumberFormat="1"/>
    <xf numFmtId="168" fontId="0" fillId="0" borderId="20" xfId="0" applyNumberFormat="1" applyBorder="1"/>
    <xf numFmtId="168" fontId="0" fillId="0" borderId="21" xfId="0" applyNumberFormat="1" applyBorder="1"/>
    <xf numFmtId="168" fontId="0" fillId="0" borderId="22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9" fontId="0" fillId="0" borderId="0" xfId="0" applyNumberFormat="1"/>
    <xf numFmtId="169" fontId="3" fillId="0" borderId="2" xfId="0" applyNumberFormat="1" applyFont="1" applyBorder="1" applyAlignment="1">
      <alignment horizontal="center" textRotation="90" wrapText="1"/>
    </xf>
    <xf numFmtId="169" fontId="0" fillId="0" borderId="20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right"/>
    </xf>
    <xf numFmtId="169" fontId="0" fillId="0" borderId="25" xfId="0" applyNumberFormat="1" applyBorder="1" applyAlignment="1">
      <alignment horizontal="right"/>
    </xf>
    <xf numFmtId="169" fontId="0" fillId="0" borderId="21" xfId="0" applyNumberFormat="1" applyBorder="1"/>
    <xf numFmtId="169" fontId="0" fillId="0" borderId="7" xfId="0" applyNumberFormat="1" applyBorder="1"/>
    <xf numFmtId="169" fontId="0" fillId="0" borderId="26" xfId="0" applyNumberFormat="1" applyBorder="1"/>
    <xf numFmtId="169" fontId="0" fillId="0" borderId="22" xfId="0" applyNumberFormat="1" applyBorder="1"/>
    <xf numFmtId="169" fontId="0" fillId="0" borderId="10" xfId="0" applyNumberForma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16" xfId="0" applyNumberFormat="1" applyBorder="1"/>
    <xf numFmtId="169" fontId="0" fillId="0" borderId="24" xfId="0" applyNumberFormat="1" applyBorder="1"/>
    <xf numFmtId="169" fontId="0" fillId="0" borderId="13" xfId="0" applyNumberFormat="1" applyBorder="1"/>
    <xf numFmtId="169" fontId="0" fillId="0" borderId="4" xfId="0" applyNumberFormat="1" applyBorder="1" applyAlignment="1">
      <alignment horizontal="left"/>
    </xf>
    <xf numFmtId="169" fontId="0" fillId="0" borderId="7" xfId="0" applyNumberFormat="1" applyBorder="1" applyAlignment="1">
      <alignment horizontal="right"/>
    </xf>
    <xf numFmtId="169" fontId="0" fillId="0" borderId="10" xfId="0" applyNumberFormat="1" applyBorder="1" applyAlignment="1">
      <alignment horizontal="right"/>
    </xf>
    <xf numFmtId="169" fontId="0" fillId="0" borderId="16" xfId="0" applyNumberFormat="1" applyBorder="1" applyAlignment="1">
      <alignment horizontal="right"/>
    </xf>
    <xf numFmtId="170" fontId="0" fillId="0" borderId="0" xfId="0" applyNumberFormat="1"/>
    <xf numFmtId="170" fontId="3" fillId="0" borderId="2" xfId="0" applyNumberFormat="1" applyFont="1" applyBorder="1" applyAlignment="1">
      <alignment horizontal="center" textRotation="90" wrapText="1"/>
    </xf>
    <xf numFmtId="170" fontId="5" fillId="0" borderId="20" xfId="0" applyNumberFormat="1" applyFont="1" applyBorder="1" applyAlignment="1">
      <alignment horizontal="left"/>
    </xf>
    <xf numFmtId="170" fontId="0" fillId="0" borderId="21" xfId="0" applyNumberFormat="1" applyBorder="1"/>
    <xf numFmtId="170" fontId="0" fillId="0" borderId="22" xfId="0" applyNumberFormat="1" applyBorder="1"/>
    <xf numFmtId="170" fontId="0" fillId="0" borderId="23" xfId="0" applyNumberFormat="1" applyBorder="1"/>
    <xf numFmtId="170" fontId="0" fillId="0" borderId="24" xfId="0" applyNumberFormat="1" applyBorder="1"/>
    <xf numFmtId="170" fontId="5" fillId="0" borderId="21" xfId="0" applyNumberFormat="1" applyFont="1" applyBorder="1" applyAlignment="1">
      <alignment horizontal="left"/>
    </xf>
    <xf numFmtId="170" fontId="5" fillId="0" borderId="23" xfId="0" applyNumberFormat="1" applyFont="1" applyBorder="1" applyAlignment="1">
      <alignment horizontal="right"/>
    </xf>
    <xf numFmtId="170" fontId="5" fillId="0" borderId="21" xfId="0" applyNumberFormat="1" applyFont="1" applyBorder="1" applyAlignment="1">
      <alignment horizontal="right"/>
    </xf>
    <xf numFmtId="170" fontId="5" fillId="0" borderId="22" xfId="0" applyNumberFormat="1" applyFont="1" applyBorder="1" applyAlignment="1">
      <alignment horizontal="left"/>
    </xf>
    <xf numFmtId="170" fontId="5" fillId="0" borderId="23" xfId="0" applyNumberFormat="1" applyFont="1" applyBorder="1" applyAlignment="1">
      <alignment horizontal="left"/>
    </xf>
    <xf numFmtId="168" fontId="3" fillId="0" borderId="28" xfId="0" applyNumberFormat="1" applyFont="1" applyBorder="1" applyAlignment="1">
      <alignment horizontal="center" textRotation="90" wrapText="1"/>
    </xf>
    <xf numFmtId="168" fontId="3" fillId="0" borderId="1" xfId="0" applyNumberFormat="1" applyFont="1" applyBorder="1" applyAlignment="1">
      <alignment horizontal="center" textRotation="90" wrapText="1"/>
    </xf>
    <xf numFmtId="168" fontId="3" fillId="0" borderId="20" xfId="0" applyNumberFormat="1" applyFont="1" applyBorder="1"/>
    <xf numFmtId="168" fontId="5" fillId="0" borderId="21" xfId="0" applyNumberFormat="1" applyFont="1" applyBorder="1"/>
    <xf numFmtId="168" fontId="5" fillId="0" borderId="22" xfId="0" applyNumberFormat="1" applyFont="1" applyBorder="1"/>
    <xf numFmtId="168" fontId="3" fillId="0" borderId="23" xfId="0" applyNumberFormat="1" applyFont="1" applyBorder="1"/>
    <xf numFmtId="171" fontId="0" fillId="0" borderId="0" xfId="0" applyNumberFormat="1"/>
    <xf numFmtId="171" fontId="3" fillId="0" borderId="2" xfId="0" applyNumberFormat="1" applyFont="1" applyBorder="1" applyAlignment="1">
      <alignment horizontal="center" textRotation="90" wrapText="1"/>
    </xf>
    <xf numFmtId="171" fontId="3" fillId="0" borderId="4" xfId="0" applyNumberFormat="1" applyFon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1" fontId="0" fillId="0" borderId="16" xfId="0" applyNumberFormat="1" applyBorder="1"/>
    <xf numFmtId="171" fontId="5" fillId="0" borderId="7" xfId="0" applyNumberFormat="1" applyFont="1" applyBorder="1"/>
    <xf numFmtId="171" fontId="5" fillId="0" borderId="10" xfId="0" applyNumberFormat="1" applyFont="1" applyBorder="1"/>
    <xf numFmtId="171" fontId="0" fillId="0" borderId="4" xfId="0" applyNumberFormat="1" applyBorder="1"/>
    <xf numFmtId="171" fontId="3" fillId="0" borderId="20" xfId="0" applyNumberFormat="1" applyFont="1" applyBorder="1"/>
    <xf numFmtId="171" fontId="3" fillId="0" borderId="16" xfId="0" applyNumberFormat="1" applyFont="1" applyBorder="1"/>
    <xf numFmtId="169" fontId="3" fillId="0" borderId="28" xfId="0" applyNumberFormat="1" applyFont="1" applyBorder="1" applyAlignment="1">
      <alignment horizontal="center" textRotation="90" wrapText="1"/>
    </xf>
    <xf numFmtId="169" fontId="0" fillId="0" borderId="29" xfId="0" applyNumberFormat="1" applyBorder="1" applyAlignment="1">
      <alignment horizontal="right"/>
    </xf>
    <xf numFmtId="169" fontId="0" fillId="0" borderId="30" xfId="0" applyNumberFormat="1" applyBorder="1"/>
    <xf numFmtId="169" fontId="0" fillId="0" borderId="31" xfId="0" applyNumberFormat="1" applyBorder="1"/>
    <xf numFmtId="169" fontId="0" fillId="0" borderId="32" xfId="0" applyNumberFormat="1" applyBorder="1"/>
    <xf numFmtId="169" fontId="0" fillId="0" borderId="29" xfId="0" applyNumberFormat="1" applyBorder="1"/>
    <xf numFmtId="169" fontId="0" fillId="0" borderId="33" xfId="0" applyNumberFormat="1" applyBorder="1"/>
    <xf numFmtId="169" fontId="0" fillId="0" borderId="30" xfId="0" applyNumberFormat="1" applyBorder="1" applyAlignment="1">
      <alignment horizontal="right"/>
    </xf>
    <xf numFmtId="169" fontId="0" fillId="0" borderId="31" xfId="0" applyNumberFormat="1" applyBorder="1" applyAlignment="1">
      <alignment horizontal="right"/>
    </xf>
    <xf numFmtId="169" fontId="0" fillId="0" borderId="33" xfId="0" applyNumberFormat="1" applyBorder="1" applyAlignment="1">
      <alignment horizontal="right"/>
    </xf>
    <xf numFmtId="0" fontId="0" fillId="2" borderId="6" xfId="0" applyFill="1" applyBorder="1"/>
    <xf numFmtId="0" fontId="0" fillId="0" borderId="6" xfId="0" applyFill="1" applyBorder="1"/>
    <xf numFmtId="0" fontId="0" fillId="0" borderId="9" xfId="0" applyFill="1" applyBorder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textRotation="90" wrapText="1"/>
    </xf>
    <xf numFmtId="3" fontId="0" fillId="0" borderId="4" xfId="0" applyNumberFormat="1" applyBorder="1" applyAlignment="1">
      <alignment horizontal="right"/>
    </xf>
    <xf numFmtId="3" fontId="0" fillId="0" borderId="7" xfId="0" applyNumberFormat="1" applyBorder="1"/>
    <xf numFmtId="3" fontId="0" fillId="0" borderId="10" xfId="0" applyNumberFormat="1" applyBorder="1"/>
    <xf numFmtId="3" fontId="0" fillId="0" borderId="16" xfId="0" applyNumberFormat="1" applyBorder="1"/>
    <xf numFmtId="3" fontId="0" fillId="0" borderId="13" xfId="0" applyNumberFormat="1" applyBorder="1"/>
    <xf numFmtId="3" fontId="0" fillId="0" borderId="7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4" xfId="0" applyNumberFormat="1" applyBorder="1"/>
    <xf numFmtId="3" fontId="0" fillId="0" borderId="4" xfId="0" applyNumberForma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2" borderId="6" xfId="0" applyFont="1" applyFill="1" applyBorder="1"/>
    <xf numFmtId="169" fontId="0" fillId="2" borderId="7" xfId="0" applyNumberFormat="1" applyFill="1" applyBorder="1"/>
    <xf numFmtId="0" fontId="0" fillId="0" borderId="20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4" xfId="0" applyBorder="1" applyAlignment="1">
      <alignment horizontal="right"/>
    </xf>
    <xf numFmtId="168" fontId="0" fillId="0" borderId="30" xfId="0" applyNumberFormat="1" applyBorder="1"/>
    <xf numFmtId="168" fontId="0" fillId="0" borderId="31" xfId="0" applyNumberFormat="1" applyBorder="1"/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9" xfId="0" applyFill="1" applyBorder="1"/>
    <xf numFmtId="3" fontId="0" fillId="0" borderId="25" xfId="0" applyNumberFormat="1" applyBorder="1" applyAlignment="1">
      <alignment horizontal="right"/>
    </xf>
    <xf numFmtId="3" fontId="0" fillId="0" borderId="26" xfId="0" applyNumberFormat="1" applyBorder="1"/>
    <xf numFmtId="3" fontId="0" fillId="0" borderId="27" xfId="0" applyNumberFormat="1" applyBorder="1"/>
    <xf numFmtId="0" fontId="0" fillId="0" borderId="22" xfId="0" applyBorder="1" applyAlignment="1">
      <alignment horizontal="right"/>
    </xf>
    <xf numFmtId="169" fontId="0" fillId="0" borderId="7" xfId="0" applyNumberFormat="1" applyFill="1" applyBorder="1"/>
    <xf numFmtId="169" fontId="0" fillId="0" borderId="10" xfId="0" applyNumberFormat="1" applyFill="1" applyBorder="1"/>
    <xf numFmtId="164" fontId="0" fillId="0" borderId="18" xfId="0" applyNumberFormat="1" applyBorder="1"/>
    <xf numFmtId="172" fontId="0" fillId="0" borderId="7" xfId="0" applyNumberFormat="1" applyBorder="1"/>
    <xf numFmtId="172" fontId="0" fillId="0" borderId="10" xfId="0" applyNumberFormat="1" applyBorder="1"/>
    <xf numFmtId="169" fontId="0" fillId="0" borderId="5" xfId="0" applyNumberFormat="1" applyBorder="1" applyAlignment="1">
      <alignment horizontal="right"/>
    </xf>
    <xf numFmtId="0" fontId="5" fillId="0" borderId="12" xfId="0" applyFont="1" applyBorder="1"/>
    <xf numFmtId="3" fontId="0" fillId="0" borderId="13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164" fontId="0" fillId="0" borderId="35" xfId="0" applyNumberFormat="1" applyBorder="1"/>
    <xf numFmtId="3" fontId="0" fillId="0" borderId="29" xfId="0" applyNumberFormat="1" applyBorder="1" applyAlignment="1">
      <alignment horizontal="right"/>
    </xf>
    <xf numFmtId="3" fontId="0" fillId="0" borderId="30" xfId="0" applyNumberFormat="1" applyBorder="1"/>
    <xf numFmtId="3" fontId="0" fillId="0" borderId="31" xfId="0" applyNumberFormat="1" applyBorder="1"/>
    <xf numFmtId="168" fontId="0" fillId="0" borderId="29" xfId="0" applyNumberFormat="1" applyBorder="1"/>
    <xf numFmtId="3" fontId="0" fillId="0" borderId="29" xfId="0" applyNumberFormat="1" applyBorder="1"/>
    <xf numFmtId="3" fontId="0" fillId="0" borderId="33" xfId="0" applyNumberFormat="1" applyBorder="1"/>
    <xf numFmtId="3" fontId="0" fillId="0" borderId="30" xfId="0" applyNumberFormat="1" applyBorder="1" applyAlignment="1">
      <alignment horizontal="right"/>
    </xf>
    <xf numFmtId="3" fontId="0" fillId="0" borderId="32" xfId="0" applyNumberFormat="1" applyBorder="1" applyAlignment="1">
      <alignment horizontal="right"/>
    </xf>
    <xf numFmtId="3" fontId="0" fillId="0" borderId="31" xfId="0" applyNumberFormat="1" applyBorder="1" applyAlignment="1">
      <alignment horizontal="right"/>
    </xf>
    <xf numFmtId="3" fontId="0" fillId="0" borderId="33" xfId="0" applyNumberFormat="1" applyBorder="1" applyAlignment="1">
      <alignment horizontal="right"/>
    </xf>
    <xf numFmtId="170" fontId="0" fillId="0" borderId="20" xfId="0" applyNumberFormat="1" applyBorder="1"/>
    <xf numFmtId="168" fontId="0" fillId="0" borderId="33" xfId="0" applyNumberFormat="1" applyBorder="1"/>
    <xf numFmtId="168" fontId="0" fillId="0" borderId="32" xfId="0" applyNumberFormat="1" applyBorder="1"/>
    <xf numFmtId="0" fontId="0" fillId="0" borderId="36" xfId="0" applyBorder="1" applyAlignment="1">
      <alignment horizontal="right"/>
    </xf>
    <xf numFmtId="164" fontId="0" fillId="0" borderId="37" xfId="0" applyNumberFormat="1" applyBorder="1" applyAlignment="1">
      <alignment horizontal="right"/>
    </xf>
    <xf numFmtId="164" fontId="0" fillId="0" borderId="37" xfId="0" applyNumberFormat="1" applyBorder="1"/>
    <xf numFmtId="3" fontId="0" fillId="0" borderId="32" xfId="0" applyNumberFormat="1" applyBorder="1"/>
    <xf numFmtId="0" fontId="0" fillId="0" borderId="36" xfId="0" applyBorder="1" applyAlignment="1">
      <alignment horizontal="left"/>
    </xf>
    <xf numFmtId="0" fontId="5" fillId="0" borderId="13" xfId="0" applyFont="1" applyBorder="1" applyAlignment="1">
      <alignment horizontal="left"/>
    </xf>
    <xf numFmtId="171" fontId="0" fillId="0" borderId="38" xfId="0" applyNumberForma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69" fontId="0" fillId="0" borderId="8" xfId="0" applyNumberFormat="1" applyBorder="1" applyAlignment="1">
      <alignment horizontal="right"/>
    </xf>
    <xf numFmtId="0" fontId="0" fillId="2" borderId="15" xfId="0" applyFill="1" applyBorder="1"/>
    <xf numFmtId="172" fontId="0" fillId="0" borderId="30" xfId="0" applyNumberFormat="1" applyBorder="1"/>
    <xf numFmtId="172" fontId="0" fillId="0" borderId="31" xfId="0" applyNumberFormat="1" applyBorder="1"/>
    <xf numFmtId="0" fontId="0" fillId="0" borderId="3" xfId="0" applyBorder="1"/>
    <xf numFmtId="172" fontId="0" fillId="0" borderId="33" xfId="0" applyNumberFormat="1" applyBorder="1"/>
    <xf numFmtId="169" fontId="0" fillId="0" borderId="3" xfId="0" applyNumberFormat="1" applyBorder="1" applyAlignment="1">
      <alignment horizontal="left"/>
    </xf>
    <xf numFmtId="166" fontId="0" fillId="0" borderId="29" xfId="0" applyNumberFormat="1" applyBorder="1"/>
    <xf numFmtId="166" fontId="0" fillId="0" borderId="6" xfId="0" applyNumberFormat="1" applyBorder="1"/>
    <xf numFmtId="166" fontId="0" fillId="0" borderId="30" xfId="0" applyNumberFormat="1" applyBorder="1"/>
    <xf numFmtId="166" fontId="0" fillId="0" borderId="9" xfId="0" applyNumberFormat="1" applyBorder="1"/>
    <xf numFmtId="166" fontId="0" fillId="0" borderId="31" xfId="0" applyNumberFormat="1" applyBorder="1"/>
    <xf numFmtId="166" fontId="0" fillId="0" borderId="3" xfId="0" applyNumberFormat="1" applyBorder="1"/>
    <xf numFmtId="168" fontId="0" fillId="0" borderId="9" xfId="0" applyNumberFormat="1" applyBorder="1"/>
    <xf numFmtId="166" fontId="0" fillId="0" borderId="6" xfId="0" applyNumberFormat="1" applyFill="1" applyBorder="1"/>
    <xf numFmtId="166" fontId="0" fillId="0" borderId="9" xfId="0" applyNumberFormat="1" applyFill="1" applyBorder="1"/>
    <xf numFmtId="170" fontId="5" fillId="0" borderId="22" xfId="0" applyNumberFormat="1" applyFont="1" applyBorder="1" applyAlignment="1">
      <alignment horizontal="right"/>
    </xf>
    <xf numFmtId="168" fontId="0" fillId="0" borderId="5" xfId="0" applyNumberFormat="1" applyBorder="1"/>
    <xf numFmtId="169" fontId="0" fillId="0" borderId="20" xfId="0" applyNumberFormat="1" applyBorder="1" applyAlignment="1">
      <alignment horizontal="left"/>
    </xf>
    <xf numFmtId="166" fontId="0" fillId="0" borderId="21" xfId="0" applyNumberFormat="1" applyBorder="1"/>
    <xf numFmtId="166" fontId="0" fillId="0" borderId="22" xfId="0" applyNumberFormat="1" applyBorder="1"/>
    <xf numFmtId="168" fontId="3" fillId="0" borderId="3" xfId="0" applyNumberFormat="1" applyFont="1" applyBorder="1"/>
    <xf numFmtId="168" fontId="0" fillId="0" borderId="6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70" fontId="5" fillId="0" borderId="3" xfId="0" applyNumberFormat="1" applyFont="1" applyBorder="1" applyAlignment="1">
      <alignment horizontal="left"/>
    </xf>
    <xf numFmtId="170" fontId="0" fillId="0" borderId="6" xfId="0" applyNumberFormat="1" applyBorder="1"/>
    <xf numFmtId="170" fontId="0" fillId="0" borderId="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6" fontId="0" fillId="0" borderId="32" xfId="0" applyNumberFormat="1" applyBorder="1"/>
    <xf numFmtId="0" fontId="0" fillId="0" borderId="47" xfId="0" applyBorder="1"/>
    <xf numFmtId="0" fontId="0" fillId="0" borderId="48" xfId="0" applyBorder="1"/>
    <xf numFmtId="0" fontId="3" fillId="0" borderId="49" xfId="0" applyFont="1" applyBorder="1" applyAlignment="1">
      <alignment horizontal="center" textRotation="90" wrapText="1"/>
    </xf>
    <xf numFmtId="0" fontId="3" fillId="0" borderId="50" xfId="0" applyFont="1" applyBorder="1" applyAlignment="1">
      <alignment horizontal="center" textRotation="90" wrapText="1"/>
    </xf>
    <xf numFmtId="0" fontId="3" fillId="0" borderId="51" xfId="0" applyFont="1" applyBorder="1" applyAlignment="1">
      <alignment horizontal="center" textRotation="90" wrapText="1"/>
    </xf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5" fillId="0" borderId="30" xfId="0" applyFont="1" applyBorder="1"/>
    <xf numFmtId="0" fontId="5" fillId="0" borderId="7" xfId="0" applyFont="1" applyBorder="1"/>
    <xf numFmtId="0" fontId="5" fillId="0" borderId="31" xfId="0" applyFont="1" applyBorder="1"/>
    <xf numFmtId="0" fontId="5" fillId="0" borderId="10" xfId="0" applyFont="1" applyBorder="1"/>
    <xf numFmtId="167" fontId="0" fillId="0" borderId="0" xfId="0" applyNumberFormat="1"/>
    <xf numFmtId="172" fontId="0" fillId="0" borderId="23" xfId="0" applyNumberFormat="1" applyBorder="1"/>
    <xf numFmtId="172" fontId="0" fillId="0" borderId="21" xfId="0" applyNumberFormat="1" applyBorder="1"/>
    <xf numFmtId="2" fontId="0" fillId="0" borderId="0" xfId="0" applyNumberFormat="1" applyBorder="1"/>
    <xf numFmtId="0" fontId="0" fillId="0" borderId="0" xfId="0" applyBorder="1"/>
    <xf numFmtId="169" fontId="0" fillId="0" borderId="0" xfId="0" applyNumberFormat="1" applyBorder="1"/>
    <xf numFmtId="0" fontId="0" fillId="0" borderId="13" xfId="0" applyBorder="1"/>
    <xf numFmtId="0" fontId="0" fillId="0" borderId="32" xfId="0" applyBorder="1"/>
    <xf numFmtId="0" fontId="3" fillId="0" borderId="3" xfId="0" applyFont="1" applyBorder="1" applyAlignment="1">
      <alignment horizontal="left"/>
    </xf>
    <xf numFmtId="169" fontId="0" fillId="0" borderId="0" xfId="0" applyNumberFormat="1" applyFill="1"/>
    <xf numFmtId="169" fontId="3" fillId="0" borderId="2" xfId="0" applyNumberFormat="1" applyFont="1" applyFill="1" applyBorder="1" applyAlignment="1">
      <alignment horizontal="center" textRotation="90" wrapText="1"/>
    </xf>
    <xf numFmtId="169" fontId="0" fillId="0" borderId="52" xfId="0" applyNumberFormat="1" applyFill="1" applyBorder="1"/>
    <xf numFmtId="169" fontId="0" fillId="0" borderId="53" xfId="0" applyNumberFormat="1" applyFill="1" applyBorder="1"/>
    <xf numFmtId="169" fontId="0" fillId="0" borderId="54" xfId="0" applyNumberFormat="1" applyFill="1" applyBorder="1"/>
    <xf numFmtId="169" fontId="0" fillId="0" borderId="55" xfId="0" applyNumberFormat="1" applyFill="1" applyBorder="1"/>
    <xf numFmtId="169" fontId="0" fillId="0" borderId="3" xfId="0" applyNumberFormat="1" applyFill="1" applyBorder="1"/>
    <xf numFmtId="169" fontId="0" fillId="0" borderId="6" xfId="0" applyNumberFormat="1" applyFill="1" applyBorder="1"/>
    <xf numFmtId="169" fontId="0" fillId="0" borderId="9" xfId="0" applyNumberFormat="1" applyFill="1" applyBorder="1"/>
    <xf numFmtId="169" fontId="0" fillId="0" borderId="12" xfId="0" applyNumberFormat="1" applyFill="1" applyBorder="1"/>
    <xf numFmtId="169" fontId="0" fillId="0" borderId="56" xfId="0" applyNumberFormat="1" applyFill="1" applyBorder="1"/>
    <xf numFmtId="169" fontId="0" fillId="0" borderId="21" xfId="0" applyNumberFormat="1" applyFill="1" applyBorder="1"/>
    <xf numFmtId="169" fontId="5" fillId="0" borderId="52" xfId="0" applyNumberFormat="1" applyFont="1" applyFill="1" applyBorder="1"/>
    <xf numFmtId="172" fontId="0" fillId="0" borderId="55" xfId="0" applyNumberFormat="1" applyFill="1" applyBorder="1"/>
    <xf numFmtId="172" fontId="0" fillId="0" borderId="54" xfId="0" applyNumberFormat="1" applyFill="1" applyBorder="1"/>
    <xf numFmtId="0" fontId="0" fillId="0" borderId="57" xfId="0" applyBorder="1" applyAlignment="1">
      <alignment horizontal="right"/>
    </xf>
    <xf numFmtId="164" fontId="0" fillId="0" borderId="58" xfId="0" applyNumberFormat="1" applyBorder="1"/>
    <xf numFmtId="170" fontId="0" fillId="0" borderId="3" xfId="0" applyNumberFormat="1" applyBorder="1"/>
    <xf numFmtId="169" fontId="0" fillId="0" borderId="14" xfId="0" applyNumberFormat="1" applyBorder="1" applyAlignment="1">
      <alignment horizontal="right"/>
    </xf>
    <xf numFmtId="170" fontId="5" fillId="0" borderId="6" xfId="0" applyNumberFormat="1" applyFont="1" applyBorder="1" applyAlignment="1">
      <alignment horizontal="left"/>
    </xf>
    <xf numFmtId="170" fontId="5" fillId="0" borderId="6" xfId="0" applyNumberFormat="1" applyFont="1" applyBorder="1" applyAlignment="1">
      <alignment horizontal="right"/>
    </xf>
    <xf numFmtId="170" fontId="5" fillId="0" borderId="9" xfId="0" applyNumberFormat="1" applyFont="1" applyBorder="1" applyAlignment="1">
      <alignment horizontal="right"/>
    </xf>
    <xf numFmtId="1" fontId="0" fillId="0" borderId="6" xfId="0" applyNumberFormat="1" applyBorder="1"/>
    <xf numFmtId="1" fontId="0" fillId="0" borderId="9" xfId="0" applyNumberFormat="1" applyBorder="1"/>
    <xf numFmtId="170" fontId="5" fillId="0" borderId="3" xfId="0" applyNumberFormat="1" applyFont="1" applyBorder="1" applyAlignment="1">
      <alignment horizontal="right"/>
    </xf>
    <xf numFmtId="1" fontId="0" fillId="0" borderId="6" xfId="0" applyNumberFormat="1" applyFill="1" applyBorder="1"/>
    <xf numFmtId="0" fontId="0" fillId="0" borderId="59" xfId="0" applyBorder="1"/>
    <xf numFmtId="3" fontId="0" fillId="0" borderId="0" xfId="0" applyNumberFormat="1" applyBorder="1"/>
    <xf numFmtId="168" fontId="3" fillId="0" borderId="21" xfId="0" applyNumberFormat="1" applyFont="1" applyBorder="1"/>
    <xf numFmtId="171" fontId="3" fillId="0" borderId="7" xfId="0" applyNumberFormat="1" applyFont="1" applyBorder="1"/>
    <xf numFmtId="0" fontId="3" fillId="0" borderId="4" xfId="0" applyFont="1" applyBorder="1"/>
    <xf numFmtId="0" fontId="3" fillId="0" borderId="29" xfId="0" applyFont="1" applyBorder="1"/>
    <xf numFmtId="0" fontId="0" fillId="0" borderId="40" xfId="0" applyBorder="1" applyAlignment="1">
      <alignment horizontal="left"/>
    </xf>
    <xf numFmtId="164" fontId="0" fillId="0" borderId="13" xfId="0" applyNumberFormat="1" applyBorder="1" applyAlignment="1">
      <alignment horizontal="right"/>
    </xf>
    <xf numFmtId="0" fontId="0" fillId="0" borderId="60" xfId="0" applyBorder="1"/>
    <xf numFmtId="0" fontId="0" fillId="0" borderId="61" xfId="0" applyBorder="1" applyAlignment="1">
      <alignment horizontal="right"/>
    </xf>
    <xf numFmtId="0" fontId="0" fillId="0" borderId="62" xfId="0" applyBorder="1"/>
    <xf numFmtId="168" fontId="0" fillId="0" borderId="62" xfId="0" applyNumberFormat="1" applyBorder="1"/>
    <xf numFmtId="0" fontId="0" fillId="2" borderId="7" xfId="0" applyFill="1" applyBorder="1"/>
    <xf numFmtId="170" fontId="0" fillId="0" borderId="7" xfId="0" applyNumberFormat="1" applyBorder="1"/>
    <xf numFmtId="168" fontId="0" fillId="0" borderId="7" xfId="0" applyNumberFormat="1" applyBorder="1"/>
    <xf numFmtId="0" fontId="3" fillId="0" borderId="6" xfId="0" applyFont="1" applyBorder="1"/>
    <xf numFmtId="0" fontId="4" fillId="0" borderId="7" xfId="0" applyFont="1" applyBorder="1"/>
    <xf numFmtId="3" fontId="0" fillId="0" borderId="7" xfId="0" applyNumberFormat="1" applyBorder="1" applyAlignment="1">
      <alignment horizontal="left"/>
    </xf>
    <xf numFmtId="170" fontId="5" fillId="0" borderId="7" xfId="0" applyNumberFormat="1" applyFont="1" applyBorder="1" applyAlignment="1">
      <alignment horizontal="left"/>
    </xf>
    <xf numFmtId="168" fontId="3" fillId="0" borderId="7" xfId="0" applyNumberFormat="1" applyFont="1" applyBorder="1"/>
    <xf numFmtId="0" fontId="0" fillId="0" borderId="7" xfId="0" applyBorder="1" applyAlignment="1">
      <alignment horizontal="left"/>
    </xf>
    <xf numFmtId="0" fontId="5" fillId="2" borderId="7" xfId="0" applyFont="1" applyFill="1" applyBorder="1"/>
    <xf numFmtId="168" fontId="5" fillId="0" borderId="7" xfId="0" applyNumberFormat="1" applyFont="1" applyBorder="1"/>
    <xf numFmtId="170" fontId="5" fillId="0" borderId="7" xfId="0" applyNumberFormat="1" applyFont="1" applyBorder="1" applyAlignment="1">
      <alignment horizontal="right"/>
    </xf>
    <xf numFmtId="0" fontId="0" fillId="2" borderId="10" xfId="0" applyFill="1" applyBorder="1"/>
    <xf numFmtId="169" fontId="0" fillId="2" borderId="10" xfId="0" applyNumberFormat="1" applyFill="1" applyBorder="1"/>
    <xf numFmtId="170" fontId="0" fillId="0" borderId="10" xfId="0" applyNumberFormat="1" applyBorder="1"/>
    <xf numFmtId="168" fontId="0" fillId="0" borderId="10" xfId="0" applyNumberFormat="1" applyBorder="1"/>
    <xf numFmtId="0" fontId="0" fillId="0" borderId="16" xfId="0" applyBorder="1"/>
    <xf numFmtId="0" fontId="0" fillId="2" borderId="16" xfId="0" applyFill="1" applyBorder="1"/>
    <xf numFmtId="170" fontId="0" fillId="0" borderId="16" xfId="0" applyNumberFormat="1" applyBorder="1"/>
    <xf numFmtId="168" fontId="0" fillId="0" borderId="16" xfId="0" applyNumberFormat="1" applyBorder="1"/>
    <xf numFmtId="0" fontId="0" fillId="0" borderId="33" xfId="0" applyBorder="1"/>
    <xf numFmtId="168" fontId="0" fillId="0" borderId="13" xfId="0" applyNumberFormat="1" applyBorder="1"/>
    <xf numFmtId="2" fontId="0" fillId="0" borderId="33" xfId="0" applyNumberFormat="1" applyBorder="1"/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168" fontId="3" fillId="0" borderId="16" xfId="0" applyNumberFormat="1" applyFont="1" applyBorder="1"/>
    <xf numFmtId="0" fontId="0" fillId="0" borderId="63" xfId="0" applyBorder="1"/>
    <xf numFmtId="0" fontId="4" fillId="0" borderId="63" xfId="0" applyFont="1" applyBorder="1"/>
    <xf numFmtId="0" fontId="3" fillId="0" borderId="63" xfId="0" applyFont="1" applyBorder="1" applyAlignment="1">
      <alignment horizontal="left"/>
    </xf>
    <xf numFmtId="164" fontId="0" fillId="0" borderId="63" xfId="0" applyNumberFormat="1" applyBorder="1" applyAlignment="1">
      <alignment horizontal="right"/>
    </xf>
    <xf numFmtId="3" fontId="0" fillId="0" borderId="63" xfId="0" applyNumberFormat="1" applyBorder="1" applyAlignment="1">
      <alignment horizontal="right"/>
    </xf>
    <xf numFmtId="0" fontId="0" fillId="0" borderId="63" xfId="0" applyBorder="1" applyAlignment="1">
      <alignment horizontal="right"/>
    </xf>
    <xf numFmtId="169" fontId="0" fillId="0" borderId="63" xfId="0" applyNumberFormat="1" applyBorder="1"/>
    <xf numFmtId="169" fontId="0" fillId="0" borderId="63" xfId="0" applyNumberFormat="1" applyBorder="1" applyAlignment="1">
      <alignment horizontal="right"/>
    </xf>
    <xf numFmtId="170" fontId="5" fillId="0" borderId="63" xfId="0" applyNumberFormat="1" applyFont="1" applyBorder="1" applyAlignment="1">
      <alignment horizontal="left"/>
    </xf>
    <xf numFmtId="168" fontId="0" fillId="0" borderId="63" xfId="0" applyNumberFormat="1" applyBorder="1"/>
    <xf numFmtId="0" fontId="0" fillId="0" borderId="64" xfId="0" applyBorder="1"/>
    <xf numFmtId="0" fontId="3" fillId="0" borderId="65" xfId="0" applyFont="1" applyBorder="1"/>
    <xf numFmtId="3" fontId="0" fillId="0" borderId="63" xfId="0" applyNumberFormat="1" applyBorder="1" applyAlignment="1">
      <alignment horizontal="left"/>
    </xf>
    <xf numFmtId="166" fontId="0" fillId="0" borderId="64" xfId="0" applyNumberFormat="1" applyBorder="1"/>
    <xf numFmtId="0" fontId="0" fillId="0" borderId="63" xfId="0" applyBorder="1" applyAlignment="1">
      <alignment horizontal="left"/>
    </xf>
    <xf numFmtId="0" fontId="3" fillId="0" borderId="65" xfId="0" applyFont="1" applyBorder="1" applyAlignment="1">
      <alignment horizontal="left"/>
    </xf>
    <xf numFmtId="169" fontId="3" fillId="0" borderId="16" xfId="0" applyNumberFormat="1" applyFont="1" applyFill="1" applyBorder="1"/>
    <xf numFmtId="169" fontId="3" fillId="0" borderId="7" xfId="0" applyNumberFormat="1" applyFont="1" applyFill="1" applyBorder="1"/>
    <xf numFmtId="169" fontId="3" fillId="0" borderId="13" xfId="0" applyNumberFormat="1" applyFont="1" applyFill="1" applyBorder="1"/>
    <xf numFmtId="169" fontId="3" fillId="0" borderId="10" xfId="0" applyNumberFormat="1" applyFont="1" applyFill="1" applyBorder="1"/>
    <xf numFmtId="169" fontId="3" fillId="0" borderId="16" xfId="0" applyNumberFormat="1" applyFont="1" applyBorder="1"/>
    <xf numFmtId="169" fontId="3" fillId="0" borderId="7" xfId="0" applyNumberFormat="1" applyFont="1" applyBorder="1"/>
    <xf numFmtId="169" fontId="3" fillId="0" borderId="13" xfId="0" applyNumberFormat="1" applyFont="1" applyBorder="1"/>
    <xf numFmtId="169" fontId="3" fillId="0" borderId="63" xfId="0" applyNumberFormat="1" applyFont="1" applyBorder="1"/>
    <xf numFmtId="169" fontId="3" fillId="0" borderId="7" xfId="0" applyNumberFormat="1" applyFont="1" applyBorder="1" applyAlignment="1">
      <alignment horizontal="right"/>
    </xf>
    <xf numFmtId="169" fontId="3" fillId="0" borderId="10" xfId="0" applyNumberFormat="1" applyFont="1" applyBorder="1"/>
    <xf numFmtId="172" fontId="3" fillId="0" borderId="7" xfId="0" applyNumberFormat="1" applyFont="1" applyBorder="1"/>
    <xf numFmtId="0" fontId="3" fillId="0" borderId="66" xfId="0" applyFont="1" applyBorder="1"/>
    <xf numFmtId="0" fontId="0" fillId="0" borderId="67" xfId="0" applyBorder="1"/>
    <xf numFmtId="0" fontId="4" fillId="0" borderId="67" xfId="0" applyFont="1" applyBorder="1"/>
    <xf numFmtId="0" fontId="3" fillId="0" borderId="67" xfId="0" applyFont="1" applyBorder="1" applyAlignment="1">
      <alignment horizontal="left"/>
    </xf>
    <xf numFmtId="164" fontId="0" fillId="0" borderId="67" xfId="0" applyNumberFormat="1" applyBorder="1" applyAlignment="1">
      <alignment horizontal="right"/>
    </xf>
    <xf numFmtId="3" fontId="0" fillId="0" borderId="67" xfId="0" applyNumberFormat="1" applyBorder="1" applyAlignment="1">
      <alignment horizontal="right"/>
    </xf>
    <xf numFmtId="0" fontId="0" fillId="0" borderId="67" xfId="0" applyBorder="1" applyAlignment="1">
      <alignment horizontal="right"/>
    </xf>
    <xf numFmtId="169" fontId="0" fillId="0" borderId="67" xfId="0" applyNumberFormat="1" applyBorder="1"/>
    <xf numFmtId="169" fontId="3" fillId="0" borderId="67" xfId="0" applyNumberFormat="1" applyFont="1" applyBorder="1"/>
    <xf numFmtId="169" fontId="0" fillId="0" borderId="67" xfId="0" applyNumberFormat="1" applyBorder="1" applyAlignment="1">
      <alignment horizontal="right"/>
    </xf>
    <xf numFmtId="170" fontId="5" fillId="0" borderId="67" xfId="0" applyNumberFormat="1" applyFont="1" applyBorder="1" applyAlignment="1">
      <alignment horizontal="left"/>
    </xf>
    <xf numFmtId="168" fontId="0" fillId="0" borderId="67" xfId="0" applyNumberFormat="1" applyBorder="1"/>
    <xf numFmtId="0" fontId="0" fillId="0" borderId="68" xfId="0" applyBorder="1"/>
    <xf numFmtId="169" fontId="5" fillId="0" borderId="67" xfId="0" applyNumberFormat="1" applyFont="1" applyFill="1" applyBorder="1"/>
    <xf numFmtId="169" fontId="5" fillId="0" borderId="63" xfId="0" applyNumberFormat="1" applyFont="1" applyFill="1" applyBorder="1"/>
    <xf numFmtId="0" fontId="5" fillId="0" borderId="63" xfId="0" applyFont="1" applyBorder="1" applyAlignment="1">
      <alignment horizontal="left"/>
    </xf>
    <xf numFmtId="169" fontId="5" fillId="0" borderId="67" xfId="0" applyNumberFormat="1" applyFont="1" applyBorder="1"/>
    <xf numFmtId="169" fontId="5" fillId="0" borderId="63" xfId="0" applyNumberFormat="1" applyFont="1" applyBorder="1"/>
    <xf numFmtId="169" fontId="5" fillId="0" borderId="67" xfId="0" applyNumberFormat="1" applyFont="1" applyBorder="1" applyAlignment="1">
      <alignment horizontal="right"/>
    </xf>
    <xf numFmtId="169" fontId="5" fillId="0" borderId="63" xfId="0" applyNumberFormat="1" applyFont="1" applyBorder="1" applyAlignment="1">
      <alignment horizontal="right"/>
    </xf>
    <xf numFmtId="168" fontId="5" fillId="0" borderId="67" xfId="0" applyNumberFormat="1" applyFont="1" applyBorder="1"/>
    <xf numFmtId="171" fontId="5" fillId="0" borderId="67" xfId="0" applyNumberFormat="1" applyFont="1" applyBorder="1"/>
    <xf numFmtId="168" fontId="5" fillId="0" borderId="63" xfId="0" applyNumberFormat="1" applyFont="1" applyBorder="1"/>
    <xf numFmtId="171" fontId="5" fillId="0" borderId="63" xfId="0" applyNumberFormat="1" applyFont="1" applyBorder="1"/>
    <xf numFmtId="0" fontId="3" fillId="0" borderId="63" xfId="0" applyFont="1" applyBorder="1"/>
    <xf numFmtId="164" fontId="0" fillId="0" borderId="63" xfId="0" applyNumberFormat="1" applyBorder="1"/>
    <xf numFmtId="3" fontId="0" fillId="0" borderId="63" xfId="0" applyNumberFormat="1" applyBorder="1"/>
    <xf numFmtId="170" fontId="0" fillId="0" borderId="63" xfId="0" applyNumberFormat="1" applyBorder="1"/>
    <xf numFmtId="171" fontId="0" fillId="0" borderId="63" xfId="0" applyNumberFormat="1" applyBorder="1"/>
    <xf numFmtId="49" fontId="3" fillId="0" borderId="67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5" fillId="0" borderId="63" xfId="0" applyNumberFormat="1" applyFont="1" applyBorder="1" applyAlignment="1">
      <alignment horizontal="center"/>
    </xf>
    <xf numFmtId="49" fontId="3" fillId="0" borderId="63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168" fontId="3" fillId="0" borderId="69" xfId="0" applyNumberFormat="1" applyFont="1" applyBorder="1" applyAlignment="1">
      <alignment horizontal="center" textRotation="90" wrapText="1"/>
    </xf>
    <xf numFmtId="168" fontId="3" fillId="0" borderId="70" xfId="0" applyNumberFormat="1" applyFont="1" applyBorder="1"/>
    <xf numFmtId="168" fontId="0" fillId="0" borderId="71" xfId="0" applyNumberFormat="1" applyBorder="1"/>
    <xf numFmtId="168" fontId="3" fillId="0" borderId="72" xfId="0" applyNumberFormat="1" applyFont="1" applyBorder="1"/>
    <xf numFmtId="168" fontId="0" fillId="0" borderId="72" xfId="0" applyNumberFormat="1" applyBorder="1"/>
    <xf numFmtId="168" fontId="0" fillId="0" borderId="73" xfId="0" applyNumberFormat="1" applyBorder="1"/>
    <xf numFmtId="168" fontId="0" fillId="0" borderId="74" xfId="0" applyNumberFormat="1" applyBorder="1"/>
    <xf numFmtId="168" fontId="0" fillId="0" borderId="75" xfId="0" applyNumberFormat="1" applyBorder="1"/>
    <xf numFmtId="168" fontId="0" fillId="0" borderId="70" xfId="0" applyNumberFormat="1" applyBorder="1"/>
    <xf numFmtId="168" fontId="0" fillId="0" borderId="76" xfId="0" applyNumberFormat="1" applyBorder="1"/>
    <xf numFmtId="168" fontId="0" fillId="0" borderId="77" xfId="0" applyNumberFormat="1" applyBorder="1"/>
    <xf numFmtId="168" fontId="3" fillId="0" borderId="4" xfId="0" applyNumberFormat="1" applyFont="1" applyBorder="1"/>
    <xf numFmtId="168" fontId="5" fillId="0" borderId="20" xfId="0" applyNumberFormat="1" applyFont="1" applyBorder="1"/>
    <xf numFmtId="168" fontId="5" fillId="0" borderId="4" xfId="0" applyNumberFormat="1" applyFont="1" applyBorder="1"/>
    <xf numFmtId="169" fontId="0" fillId="0" borderId="5" xfId="0" applyNumberFormat="1" applyBorder="1"/>
    <xf numFmtId="169" fontId="0" fillId="0" borderId="78" xfId="0" applyNumberFormat="1" applyBorder="1"/>
    <xf numFmtId="169" fontId="3" fillId="0" borderId="20" xfId="0" applyNumberFormat="1" applyFont="1" applyBorder="1"/>
    <xf numFmtId="169" fontId="3" fillId="0" borderId="4" xfId="0" applyNumberFormat="1" applyFont="1" applyBorder="1"/>
    <xf numFmtId="169" fontId="0" fillId="0" borderId="22" xfId="0" applyNumberFormat="1" applyFill="1" applyBorder="1"/>
    <xf numFmtId="0" fontId="0" fillId="0" borderId="79" xfId="0" applyBorder="1"/>
    <xf numFmtId="0" fontId="0" fillId="0" borderId="38" xfId="0" applyBorder="1" applyAlignment="1">
      <alignment horizontal="right"/>
    </xf>
    <xf numFmtId="168" fontId="0" fillId="0" borderId="8" xfId="0" applyNumberFormat="1" applyBorder="1"/>
    <xf numFmtId="168" fontId="0" fillId="0" borderId="48" xfId="0" applyNumberFormat="1" applyBorder="1"/>
    <xf numFmtId="168" fontId="0" fillId="0" borderId="0" xfId="0" applyNumberFormat="1" applyBorder="1"/>
    <xf numFmtId="171" fontId="0" fillId="0" borderId="6" xfId="0" applyNumberFormat="1" applyBorder="1"/>
    <xf numFmtId="172" fontId="0" fillId="0" borderId="8" xfId="0" applyNumberFormat="1" applyBorder="1"/>
    <xf numFmtId="168" fontId="3" fillId="0" borderId="5" xfId="0" applyNumberFormat="1" applyFont="1" applyBorder="1"/>
    <xf numFmtId="168" fontId="0" fillId="0" borderId="11" xfId="0" applyNumberFormat="1" applyBorder="1"/>
    <xf numFmtId="168" fontId="3" fillId="0" borderId="78" xfId="0" applyNumberFormat="1" applyFont="1" applyBorder="1"/>
    <xf numFmtId="171" fontId="3" fillId="0" borderId="3" xfId="0" applyNumberFormat="1" applyFont="1" applyBorder="1"/>
    <xf numFmtId="169" fontId="5" fillId="0" borderId="4" xfId="0" applyNumberFormat="1" applyFont="1" applyBorder="1"/>
    <xf numFmtId="169" fontId="0" fillId="0" borderId="48" xfId="0" applyNumberFormat="1" applyBorder="1"/>
    <xf numFmtId="0" fontId="0" fillId="0" borderId="80" xfId="0" applyBorder="1"/>
    <xf numFmtId="49" fontId="0" fillId="0" borderId="7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3" fontId="0" fillId="0" borderId="5" xfId="0" applyNumberFormat="1" applyBorder="1" applyAlignment="1">
      <alignment horizontal="right"/>
    </xf>
    <xf numFmtId="3" fontId="0" fillId="0" borderId="8" xfId="0" applyNumberFormat="1" applyBorder="1"/>
    <xf numFmtId="3" fontId="0" fillId="0" borderId="11" xfId="0" applyNumberFormat="1" applyBorder="1"/>
    <xf numFmtId="169" fontId="0" fillId="0" borderId="20" xfId="0" applyNumberFormat="1" applyFill="1" applyBorder="1"/>
    <xf numFmtId="164" fontId="0" fillId="0" borderId="29" xfId="0" applyNumberFormat="1" applyBorder="1" applyAlignment="1">
      <alignment horizontal="right"/>
    </xf>
    <xf numFmtId="164" fontId="3" fillId="0" borderId="30" xfId="0" applyNumberFormat="1" applyFont="1" applyBorder="1"/>
    <xf numFmtId="164" fontId="3" fillId="0" borderId="29" xfId="0" applyNumberFormat="1" applyFont="1" applyBorder="1" applyAlignment="1">
      <alignment horizontal="right"/>
    </xf>
    <xf numFmtId="164" fontId="3" fillId="0" borderId="31" xfId="0" applyNumberFormat="1" applyFont="1" applyBorder="1"/>
    <xf numFmtId="0" fontId="3" fillId="0" borderId="59" xfId="0" applyFont="1" applyBorder="1" applyAlignment="1">
      <alignment horizontal="center"/>
    </xf>
    <xf numFmtId="0" fontId="5" fillId="2" borderId="9" xfId="0" applyFont="1" applyFill="1" applyBorder="1"/>
    <xf numFmtId="3" fontId="0" fillId="0" borderId="11" xfId="0" applyNumberFormat="1" applyBorder="1" applyAlignment="1">
      <alignment horizontal="right"/>
    </xf>
    <xf numFmtId="164" fontId="3" fillId="0" borderId="31" xfId="0" applyNumberFormat="1" applyFont="1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left"/>
    </xf>
    <xf numFmtId="166" fontId="0" fillId="0" borderId="12" xfId="0" applyNumberFormat="1" applyBorder="1"/>
    <xf numFmtId="0" fontId="0" fillId="0" borderId="81" xfId="0" applyBorder="1" applyAlignment="1">
      <alignment horizontal="center"/>
    </xf>
    <xf numFmtId="0" fontId="3" fillId="0" borderId="82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8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64" fontId="3" fillId="0" borderId="79" xfId="0" applyNumberFormat="1" applyFont="1" applyBorder="1"/>
    <xf numFmtId="164" fontId="3" fillId="0" borderId="30" xfId="0" applyNumberFormat="1" applyFon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5" fillId="0" borderId="8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" fontId="0" fillId="0" borderId="16" xfId="0" applyNumberFormat="1" applyBorder="1" applyAlignment="1">
      <alignment horizontal="left"/>
    </xf>
    <xf numFmtId="171" fontId="3" fillId="0" borderId="23" xfId="0" applyNumberFormat="1" applyFont="1" applyBorder="1"/>
    <xf numFmtId="3" fontId="0" fillId="0" borderId="17" xfId="0" applyNumberFormat="1" applyBorder="1" applyAlignment="1">
      <alignment horizontal="right"/>
    </xf>
    <xf numFmtId="0" fontId="3" fillId="0" borderId="84" xfId="0" applyFont="1" applyBorder="1" applyAlignment="1">
      <alignment horizontal="center"/>
    </xf>
    <xf numFmtId="164" fontId="3" fillId="0" borderId="33" xfId="0" applyNumberFormat="1" applyFont="1" applyBorder="1" applyAlignment="1">
      <alignment horizontal="right"/>
    </xf>
    <xf numFmtId="169" fontId="0" fillId="0" borderId="23" xfId="0" applyNumberFormat="1" applyFill="1" applyBorder="1"/>
    <xf numFmtId="168" fontId="5" fillId="0" borderId="23" xfId="0" applyNumberFormat="1" applyFont="1" applyBorder="1"/>
    <xf numFmtId="0" fontId="5" fillId="0" borderId="16" xfId="0" applyFont="1" applyBorder="1" applyAlignment="1">
      <alignment horizontal="left"/>
    </xf>
    <xf numFmtId="49" fontId="0" fillId="0" borderId="16" xfId="0" applyNumberFormat="1" applyBorder="1" applyAlignment="1">
      <alignment horizontal="center"/>
    </xf>
    <xf numFmtId="169" fontId="0" fillId="0" borderId="17" xfId="0" applyNumberFormat="1" applyBorder="1" applyAlignment="1">
      <alignment horizontal="right"/>
    </xf>
    <xf numFmtId="166" fontId="0" fillId="0" borderId="23" xfId="0" applyNumberFormat="1" applyBorder="1"/>
    <xf numFmtId="170" fontId="5" fillId="0" borderId="15" xfId="0" applyNumberFormat="1" applyFont="1" applyBorder="1" applyAlignment="1">
      <alignment horizontal="right"/>
    </xf>
    <xf numFmtId="170" fontId="5" fillId="0" borderId="85" xfId="0" applyNumberFormat="1" applyFont="1" applyBorder="1" applyAlignment="1">
      <alignment horizontal="right"/>
    </xf>
    <xf numFmtId="166" fontId="0" fillId="0" borderId="82" xfId="0" applyNumberFormat="1" applyBorder="1"/>
    <xf numFmtId="166" fontId="0" fillId="0" borderId="83" xfId="0" applyNumberFormat="1" applyBorder="1"/>
    <xf numFmtId="0" fontId="3" fillId="0" borderId="15" xfId="0" applyFont="1" applyBorder="1"/>
    <xf numFmtId="169" fontId="0" fillId="0" borderId="46" xfId="0" applyNumberFormat="1" applyBorder="1"/>
    <xf numFmtId="169" fontId="0" fillId="0" borderId="35" xfId="0" applyNumberFormat="1" applyBorder="1"/>
    <xf numFmtId="173" fontId="0" fillId="0" borderId="6" xfId="0" applyNumberFormat="1" applyFill="1" applyBorder="1"/>
    <xf numFmtId="173" fontId="0" fillId="0" borderId="7" xfId="0" applyNumberFormat="1" applyFill="1" applyBorder="1"/>
    <xf numFmtId="173" fontId="0" fillId="0" borderId="9" xfId="0" applyNumberFormat="1" applyFill="1" applyBorder="1"/>
    <xf numFmtId="173" fontId="0" fillId="0" borderId="10" xfId="0" applyNumberFormat="1" applyFill="1" applyBorder="1"/>
    <xf numFmtId="173" fontId="0" fillId="0" borderId="53" xfId="0" applyNumberFormat="1" applyFill="1" applyBorder="1"/>
    <xf numFmtId="174" fontId="0" fillId="0" borderId="6" xfId="0" applyNumberFormat="1" applyFill="1" applyBorder="1"/>
    <xf numFmtId="174" fontId="0" fillId="0" borderId="7" xfId="0" applyNumberFormat="1" applyBorder="1"/>
    <xf numFmtId="174" fontId="0" fillId="0" borderId="9" xfId="0" applyNumberFormat="1" applyFill="1" applyBorder="1"/>
    <xf numFmtId="174" fontId="0" fillId="0" borderId="10" xfId="0" applyNumberFormat="1" applyBorder="1"/>
    <xf numFmtId="172" fontId="0" fillId="0" borderId="53" xfId="0" applyNumberFormat="1" applyFill="1" applyBorder="1"/>
    <xf numFmtId="0" fontId="0" fillId="0" borderId="0" xfId="0" applyFill="1"/>
    <xf numFmtId="175" fontId="0" fillId="0" borderId="7" xfId="0" applyNumberFormat="1" applyBorder="1"/>
    <xf numFmtId="0" fontId="5" fillId="2" borderId="23" xfId="0" applyFont="1" applyFill="1" applyBorder="1"/>
    <xf numFmtId="168" fontId="0" fillId="0" borderId="17" xfId="0" applyNumberFormat="1" applyBorder="1"/>
    <xf numFmtId="0" fontId="3" fillId="0" borderId="21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175" fontId="0" fillId="0" borderId="10" xfId="0" applyNumberFormat="1" applyBorder="1"/>
    <xf numFmtId="169" fontId="5" fillId="0" borderId="4" xfId="0" applyNumberFormat="1" applyFont="1" applyBorder="1" applyAlignment="1">
      <alignment horizontal="right"/>
    </xf>
    <xf numFmtId="169" fontId="5" fillId="0" borderId="7" xfId="0" applyNumberFormat="1" applyFont="1" applyBorder="1"/>
    <xf numFmtId="0" fontId="5" fillId="0" borderId="33" xfId="0" applyFont="1" applyBorder="1"/>
    <xf numFmtId="3" fontId="5" fillId="0" borderId="0" xfId="0" applyNumberFormat="1" applyFont="1" applyBorder="1"/>
    <xf numFmtId="168" fontId="0" fillId="0" borderId="35" xfId="0" applyNumberFormat="1" applyBorder="1"/>
    <xf numFmtId="3" fontId="0" fillId="0" borderId="14" xfId="0" applyNumberFormat="1" applyBorder="1" applyAlignment="1">
      <alignment horizontal="right"/>
    </xf>
    <xf numFmtId="174" fontId="0" fillId="0" borderId="13" xfId="0" applyNumberFormat="1" applyBorder="1"/>
    <xf numFmtId="169" fontId="0" fillId="0" borderId="32" xfId="0" applyNumberFormat="1" applyBorder="1" applyAlignment="1">
      <alignment horizontal="right"/>
    </xf>
    <xf numFmtId="170" fontId="5" fillId="0" borderId="24" xfId="0" applyNumberFormat="1" applyFont="1" applyBorder="1" applyAlignment="1">
      <alignment horizontal="right"/>
    </xf>
    <xf numFmtId="168" fontId="0" fillId="0" borderId="86" xfId="0" applyNumberFormat="1" applyBorder="1"/>
    <xf numFmtId="172" fontId="0" fillId="0" borderId="32" xfId="0" applyNumberFormat="1" applyBorder="1"/>
    <xf numFmtId="166" fontId="0" fillId="0" borderId="87" xfId="0" applyNumberFormat="1" applyBorder="1"/>
    <xf numFmtId="166" fontId="0" fillId="0" borderId="46" xfId="0" applyNumberFormat="1" applyBorder="1"/>
    <xf numFmtId="166" fontId="0" fillId="0" borderId="35" xfId="0" applyNumberFormat="1" applyBorder="1"/>
    <xf numFmtId="0" fontId="4" fillId="0" borderId="15" xfId="0" applyFont="1" applyBorder="1"/>
    <xf numFmtId="0" fontId="0" fillId="0" borderId="23" xfId="0" applyBorder="1" applyAlignment="1">
      <alignment horizontal="left"/>
    </xf>
    <xf numFmtId="169" fontId="3" fillId="0" borderId="23" xfId="0" applyNumberFormat="1" applyFont="1" applyBorder="1"/>
    <xf numFmtId="174" fontId="0" fillId="0" borderId="21" xfId="0" applyNumberFormat="1" applyFill="1" applyBorder="1"/>
    <xf numFmtId="169" fontId="0" fillId="0" borderId="3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8" xfId="0" applyNumberFormat="1" applyFont="1" applyBorder="1" applyAlignment="1">
      <alignment horizontal="right"/>
    </xf>
    <xf numFmtId="169" fontId="5" fillId="0" borderId="20" xfId="0" applyNumberFormat="1" applyFont="1" applyBorder="1"/>
    <xf numFmtId="169" fontId="5" fillId="0" borderId="4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center"/>
    </xf>
    <xf numFmtId="2" fontId="5" fillId="0" borderId="0" xfId="0" applyNumberFormat="1" applyFont="1"/>
    <xf numFmtId="0" fontId="5" fillId="0" borderId="0" xfId="0" applyFont="1"/>
    <xf numFmtId="0" fontId="5" fillId="0" borderId="46" xfId="0" applyFont="1" applyBorder="1"/>
    <xf numFmtId="0" fontId="5" fillId="0" borderId="48" xfId="0" applyFont="1" applyBorder="1"/>
    <xf numFmtId="169" fontId="5" fillId="0" borderId="13" xfId="0" applyNumberFormat="1" applyFont="1" applyBorder="1"/>
    <xf numFmtId="0" fontId="5" fillId="0" borderId="4" xfId="0" applyFont="1" applyBorder="1" applyAlignment="1">
      <alignment horizontal="left"/>
    </xf>
    <xf numFmtId="164" fontId="0" fillId="0" borderId="88" xfId="0" applyNumberFormat="1" applyBorder="1" applyAlignment="1">
      <alignment horizontal="right"/>
    </xf>
    <xf numFmtId="169" fontId="0" fillId="0" borderId="89" xfId="0" applyNumberFormat="1" applyBorder="1"/>
    <xf numFmtId="0" fontId="3" fillId="0" borderId="90" xfId="0" applyFont="1" applyBorder="1"/>
    <xf numFmtId="0" fontId="0" fillId="0" borderId="89" xfId="0" applyBorder="1"/>
    <xf numFmtId="0" fontId="4" fillId="0" borderId="89" xfId="0" applyFont="1" applyBorder="1"/>
    <xf numFmtId="0" fontId="3" fillId="0" borderId="89" xfId="0" applyFont="1" applyBorder="1" applyAlignment="1">
      <alignment horizontal="left"/>
    </xf>
    <xf numFmtId="164" fontId="0" fillId="0" borderId="89" xfId="0" applyNumberFormat="1" applyBorder="1" applyAlignment="1">
      <alignment horizontal="right"/>
    </xf>
    <xf numFmtId="0" fontId="0" fillId="0" borderId="89" xfId="0" applyBorder="1" applyAlignment="1">
      <alignment horizontal="left"/>
    </xf>
    <xf numFmtId="3" fontId="0" fillId="0" borderId="89" xfId="0" applyNumberFormat="1" applyBorder="1" applyAlignment="1">
      <alignment horizontal="right"/>
    </xf>
    <xf numFmtId="0" fontId="0" fillId="0" borderId="89" xfId="0" applyBorder="1" applyAlignment="1">
      <alignment horizontal="right"/>
    </xf>
    <xf numFmtId="169" fontId="0" fillId="0" borderId="89" xfId="0" applyNumberFormat="1" applyBorder="1" applyAlignment="1">
      <alignment horizontal="right"/>
    </xf>
    <xf numFmtId="170" fontId="5" fillId="0" borderId="89" xfId="0" applyNumberFormat="1" applyFont="1" applyBorder="1" applyAlignment="1">
      <alignment horizontal="left"/>
    </xf>
    <xf numFmtId="168" fontId="0" fillId="0" borderId="89" xfId="0" applyNumberFormat="1" applyBorder="1"/>
    <xf numFmtId="168" fontId="3" fillId="0" borderId="89" xfId="0" applyNumberFormat="1" applyFont="1" applyBorder="1"/>
    <xf numFmtId="166" fontId="0" fillId="0" borderId="91" xfId="0" applyNumberFormat="1" applyBorder="1"/>
    <xf numFmtId="0" fontId="5" fillId="3" borderId="6" xfId="0" applyFont="1" applyFill="1" applyBorder="1"/>
    <xf numFmtId="172" fontId="0" fillId="0" borderId="29" xfId="0" applyNumberFormat="1" applyBorder="1"/>
    <xf numFmtId="169" fontId="0" fillId="0" borderId="8" xfId="0" applyNumberFormat="1" applyBorder="1"/>
    <xf numFmtId="2" fontId="5" fillId="0" borderId="0" xfId="0" applyNumberFormat="1" applyFont="1" applyBorder="1"/>
    <xf numFmtId="169" fontId="5" fillId="0" borderId="3" xfId="0" applyNumberFormat="1" applyFont="1" applyFill="1" applyBorder="1"/>
    <xf numFmtId="172" fontId="5" fillId="0" borderId="4" xfId="0" applyNumberFormat="1" applyFont="1" applyBorder="1"/>
    <xf numFmtId="0" fontId="5" fillId="0" borderId="44" xfId="0" applyFont="1" applyBorder="1"/>
    <xf numFmtId="164" fontId="3" fillId="0" borderId="18" xfId="0" applyNumberFormat="1" applyFont="1" applyBorder="1" applyAlignment="1">
      <alignment horizontal="right"/>
    </xf>
    <xf numFmtId="172" fontId="0" fillId="0" borderId="21" xfId="0" applyNumberFormat="1" applyFill="1" applyBorder="1"/>
    <xf numFmtId="169" fontId="5" fillId="0" borderId="29" xfId="0" applyNumberFormat="1" applyFont="1" applyBorder="1" applyAlignment="1">
      <alignment horizontal="right"/>
    </xf>
    <xf numFmtId="0" fontId="5" fillId="0" borderId="40" xfId="0" applyFont="1" applyBorder="1"/>
    <xf numFmtId="0" fontId="5" fillId="0" borderId="0" xfId="0" applyFont="1" applyAlignment="1">
      <alignment horizontal="left"/>
    </xf>
    <xf numFmtId="164" fontId="5" fillId="0" borderId="7" xfId="0" applyNumberFormat="1" applyFont="1" applyBorder="1" applyAlignment="1">
      <alignment horizontal="center"/>
    </xf>
    <xf numFmtId="0" fontId="5" fillId="2" borderId="12" xfId="0" applyFont="1" applyFill="1" applyBorder="1"/>
    <xf numFmtId="164" fontId="3" fillId="0" borderId="32" xfId="0" applyNumberFormat="1" applyFont="1" applyBorder="1" applyAlignment="1">
      <alignment horizontal="right"/>
    </xf>
    <xf numFmtId="166" fontId="0" fillId="0" borderId="24" xfId="0" applyNumberFormat="1" applyBorder="1"/>
    <xf numFmtId="0" fontId="3" fillId="0" borderId="9" xfId="0" applyFont="1" applyBorder="1" applyAlignment="1">
      <alignment horizontal="center"/>
    </xf>
    <xf numFmtId="0" fontId="1" fillId="0" borderId="0" xfId="2" applyAlignment="1" applyProtection="1"/>
    <xf numFmtId="169" fontId="0" fillId="0" borderId="13" xfId="0" applyNumberFormat="1" applyFill="1" applyBorder="1"/>
    <xf numFmtId="0" fontId="5" fillId="0" borderId="32" xfId="0" applyFont="1" applyBorder="1"/>
    <xf numFmtId="169" fontId="5" fillId="0" borderId="10" xfId="0" applyNumberFormat="1" applyFont="1" applyBorder="1"/>
    <xf numFmtId="174" fontId="0" fillId="0" borderId="24" xfId="0" applyNumberFormat="1" applyFill="1" applyBorder="1"/>
    <xf numFmtId="0" fontId="3" fillId="0" borderId="12" xfId="0" applyFont="1" applyBorder="1" applyAlignment="1">
      <alignment horizontal="center"/>
    </xf>
    <xf numFmtId="172" fontId="5" fillId="0" borderId="7" xfId="0" applyNumberFormat="1" applyFont="1" applyBorder="1"/>
    <xf numFmtId="164" fontId="3" fillId="0" borderId="33" xfId="0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9" fontId="3" fillId="0" borderId="50" xfId="0" applyNumberFormat="1" applyFont="1" applyBorder="1" applyAlignment="1">
      <alignment textRotation="90"/>
    </xf>
    <xf numFmtId="0" fontId="3" fillId="0" borderId="92" xfId="0" applyFont="1" applyBorder="1" applyAlignment="1">
      <alignment horizontal="center" textRotation="90"/>
    </xf>
    <xf numFmtId="170" fontId="5" fillId="0" borderId="35" xfId="0" applyNumberFormat="1" applyFont="1" applyBorder="1" applyAlignment="1">
      <alignment horizontal="right"/>
    </xf>
    <xf numFmtId="168" fontId="0" fillId="0" borderId="31" xfId="0" applyNumberFormat="1" applyBorder="1" applyAlignment="1">
      <alignment horizontal="right"/>
    </xf>
    <xf numFmtId="0" fontId="0" fillId="0" borderId="8" xfId="0" applyBorder="1"/>
    <xf numFmtId="168" fontId="0" fillId="0" borderId="93" xfId="0" applyNumberFormat="1" applyBorder="1"/>
    <xf numFmtId="0" fontId="5" fillId="0" borderId="6" xfId="0" applyFont="1" applyFill="1" applyBorder="1"/>
    <xf numFmtId="0" fontId="0" fillId="0" borderId="14" xfId="0" applyBorder="1"/>
    <xf numFmtId="0" fontId="5" fillId="0" borderId="12" xfId="0" applyFont="1" applyFill="1" applyBorder="1"/>
    <xf numFmtId="169" fontId="0" fillId="0" borderId="94" xfId="0" applyNumberFormat="1" applyBorder="1"/>
    <xf numFmtId="168" fontId="0" fillId="0" borderId="14" xfId="0" applyNumberFormat="1" applyBorder="1"/>
    <xf numFmtId="169" fontId="5" fillId="0" borderId="25" xfId="0" applyNumberFormat="1" applyFont="1" applyBorder="1" applyAlignment="1">
      <alignment horizontal="right"/>
    </xf>
    <xf numFmtId="0" fontId="15" fillId="0" borderId="15" xfId="0" applyFont="1" applyBorder="1"/>
    <xf numFmtId="0" fontId="15" fillId="0" borderId="16" xfId="0" applyFont="1" applyBorder="1"/>
    <xf numFmtId="0" fontId="15" fillId="0" borderId="30" xfId="0" applyFont="1" applyBorder="1"/>
    <xf numFmtId="0" fontId="15" fillId="0" borderId="9" xfId="0" applyFont="1" applyBorder="1"/>
    <xf numFmtId="0" fontId="15" fillId="0" borderId="10" xfId="0" applyFont="1" applyBorder="1" applyAlignment="1">
      <alignment horizontal="right"/>
    </xf>
    <xf numFmtId="164" fontId="15" fillId="0" borderId="10" xfId="0" applyNumberFormat="1" applyFont="1" applyBorder="1"/>
    <xf numFmtId="3" fontId="15" fillId="0" borderId="10" xfId="0" applyNumberFormat="1" applyFont="1" applyBorder="1"/>
    <xf numFmtId="3" fontId="15" fillId="0" borderId="31" xfId="0" applyNumberFormat="1" applyFont="1" applyBorder="1"/>
    <xf numFmtId="0" fontId="15" fillId="0" borderId="22" xfId="0" applyFont="1" applyBorder="1" applyAlignment="1">
      <alignment horizontal="right"/>
    </xf>
    <xf numFmtId="164" fontId="15" fillId="0" borderId="11" xfId="0" applyNumberFormat="1" applyFont="1" applyBorder="1"/>
    <xf numFmtId="169" fontId="15" fillId="0" borderId="9" xfId="0" applyNumberFormat="1" applyFont="1" applyFill="1" applyBorder="1"/>
    <xf numFmtId="169" fontId="15" fillId="0" borderId="10" xfId="0" applyNumberFormat="1" applyFont="1" applyFill="1" applyBorder="1"/>
    <xf numFmtId="169" fontId="15" fillId="0" borderId="7" xfId="0" applyNumberFormat="1" applyFont="1" applyBorder="1"/>
    <xf numFmtId="169" fontId="15" fillId="0" borderId="10" xfId="0" applyNumberFormat="1" applyFont="1" applyBorder="1"/>
    <xf numFmtId="169" fontId="15" fillId="0" borderId="30" xfId="0" applyNumberFormat="1" applyFont="1" applyBorder="1"/>
    <xf numFmtId="170" fontId="15" fillId="0" borderId="9" xfId="0" applyNumberFormat="1" applyFont="1" applyBorder="1"/>
    <xf numFmtId="168" fontId="15" fillId="0" borderId="30" xfId="0" applyNumberFormat="1" applyFont="1" applyBorder="1"/>
    <xf numFmtId="168" fontId="15" fillId="0" borderId="73" xfId="0" applyNumberFormat="1" applyFont="1" applyBorder="1"/>
    <xf numFmtId="168" fontId="15" fillId="0" borderId="23" xfId="0" applyNumberFormat="1" applyFont="1" applyBorder="1"/>
    <xf numFmtId="171" fontId="15" fillId="0" borderId="7" xfId="0" applyNumberFormat="1" applyFont="1" applyBorder="1"/>
    <xf numFmtId="172" fontId="15" fillId="0" borderId="30" xfId="0" applyNumberFormat="1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33" xfId="0" applyFont="1" applyBorder="1"/>
    <xf numFmtId="0" fontId="15" fillId="0" borderId="16" xfId="0" applyFont="1" applyBorder="1" applyAlignment="1">
      <alignment horizontal="right"/>
    </xf>
    <xf numFmtId="164" fontId="15" fillId="0" borderId="16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0" fontId="15" fillId="0" borderId="23" xfId="0" applyFont="1" applyBorder="1" applyAlignment="1">
      <alignment horizontal="right"/>
    </xf>
    <xf numFmtId="164" fontId="15" fillId="0" borderId="17" xfId="0" applyNumberFormat="1" applyFont="1" applyBorder="1" applyAlignment="1">
      <alignment horizontal="right"/>
    </xf>
    <xf numFmtId="174" fontId="15" fillId="0" borderId="6" xfId="0" applyNumberFormat="1" applyFont="1" applyFill="1" applyBorder="1"/>
    <xf numFmtId="174" fontId="15" fillId="0" borderId="7" xfId="0" applyNumberFormat="1" applyFont="1" applyBorder="1"/>
    <xf numFmtId="168" fontId="15" fillId="0" borderId="16" xfId="0" applyNumberFormat="1" applyFont="1" applyBorder="1"/>
    <xf numFmtId="169" fontId="15" fillId="0" borderId="23" xfId="0" applyNumberFormat="1" applyFont="1" applyBorder="1"/>
    <xf numFmtId="169" fontId="15" fillId="0" borderId="16" xfId="0" applyNumberFormat="1" applyFont="1" applyBorder="1"/>
    <xf numFmtId="169" fontId="15" fillId="0" borderId="16" xfId="0" applyNumberFormat="1" applyFont="1" applyBorder="1" applyAlignment="1">
      <alignment horizontal="right"/>
    </xf>
    <xf numFmtId="169" fontId="15" fillId="0" borderId="33" xfId="0" applyNumberFormat="1" applyFont="1" applyBorder="1" applyAlignment="1">
      <alignment horizontal="right"/>
    </xf>
    <xf numFmtId="170" fontId="15" fillId="0" borderId="23" xfId="0" applyNumberFormat="1" applyFont="1" applyBorder="1" applyAlignment="1">
      <alignment horizontal="left"/>
    </xf>
    <xf numFmtId="168" fontId="15" fillId="0" borderId="17" xfId="0" applyNumberFormat="1" applyFont="1" applyBorder="1"/>
    <xf numFmtId="168" fontId="15" fillId="0" borderId="76" xfId="0" applyNumberFormat="1" applyFont="1" applyBorder="1"/>
    <xf numFmtId="168" fontId="16" fillId="0" borderId="23" xfId="0" applyNumberFormat="1" applyFont="1" applyBorder="1"/>
    <xf numFmtId="166" fontId="15" fillId="0" borderId="84" xfId="0" applyNumberFormat="1" applyFont="1" applyBorder="1" applyAlignment="1">
      <alignment horizontal="right"/>
    </xf>
    <xf numFmtId="166" fontId="15" fillId="0" borderId="30" xfId="0" applyNumberFormat="1" applyFont="1" applyBorder="1"/>
    <xf numFmtId="0" fontId="15" fillId="0" borderId="7" xfId="0" applyFont="1" applyBorder="1" applyAlignment="1">
      <alignment horizontal="left"/>
    </xf>
    <xf numFmtId="164" fontId="15" fillId="0" borderId="7" xfId="0" applyNumberFormat="1" applyFont="1" applyBorder="1" applyAlignment="1">
      <alignment horizontal="right"/>
    </xf>
    <xf numFmtId="0" fontId="15" fillId="0" borderId="21" xfId="0" applyFont="1" applyBorder="1" applyAlignment="1">
      <alignment horizontal="right"/>
    </xf>
    <xf numFmtId="164" fontId="15" fillId="0" borderId="8" xfId="0" applyNumberFormat="1" applyFont="1" applyBorder="1" applyAlignment="1">
      <alignment horizontal="right"/>
    </xf>
    <xf numFmtId="169" fontId="15" fillId="0" borderId="30" xfId="0" applyNumberFormat="1" applyFont="1" applyBorder="1" applyAlignment="1">
      <alignment horizontal="right"/>
    </xf>
    <xf numFmtId="170" fontId="15" fillId="0" borderId="21" xfId="0" applyNumberFormat="1" applyFont="1" applyBorder="1" applyAlignment="1">
      <alignment horizontal="right"/>
    </xf>
    <xf numFmtId="168" fontId="15" fillId="0" borderId="71" xfId="0" applyNumberFormat="1" applyFont="1" applyBorder="1"/>
    <xf numFmtId="168" fontId="15" fillId="0" borderId="21" xfId="0" applyNumberFormat="1" applyFont="1" applyBorder="1"/>
    <xf numFmtId="166" fontId="15" fillId="0" borderId="82" xfId="0" applyNumberFormat="1" applyFont="1" applyBorder="1"/>
    <xf numFmtId="0" fontId="5" fillId="0" borderId="0" xfId="3"/>
    <xf numFmtId="0" fontId="5" fillId="0" borderId="0" xfId="3" applyAlignment="1">
      <alignment horizontal="right"/>
    </xf>
    <xf numFmtId="0" fontId="4" fillId="0" borderId="3" xfId="3" applyFont="1" applyBorder="1"/>
    <xf numFmtId="164" fontId="5" fillId="0" borderId="4" xfId="3" applyNumberFormat="1" applyBorder="1" applyAlignment="1">
      <alignment horizontal="right"/>
    </xf>
    <xf numFmtId="164" fontId="5" fillId="0" borderId="5" xfId="3" applyNumberFormat="1" applyBorder="1" applyAlignment="1">
      <alignment horizontal="right"/>
    </xf>
    <xf numFmtId="0" fontId="5" fillId="0" borderId="6" xfId="3" applyBorder="1"/>
    <xf numFmtId="0" fontId="5" fillId="0" borderId="7" xfId="3" applyBorder="1" applyAlignment="1">
      <alignment horizontal="right"/>
    </xf>
    <xf numFmtId="164" fontId="5" fillId="0" borderId="7" xfId="3" applyNumberFormat="1" applyBorder="1"/>
    <xf numFmtId="164" fontId="5" fillId="0" borderId="8" xfId="3" applyNumberFormat="1" applyBorder="1"/>
    <xf numFmtId="0" fontId="5" fillId="0" borderId="9" xfId="3" applyBorder="1"/>
    <xf numFmtId="0" fontId="5" fillId="0" borderId="10" xfId="3" applyBorder="1" applyAlignment="1">
      <alignment horizontal="right"/>
    </xf>
    <xf numFmtId="164" fontId="5" fillId="0" borderId="10" xfId="3" applyNumberFormat="1" applyBorder="1"/>
    <xf numFmtId="164" fontId="5" fillId="0" borderId="11" xfId="3" applyNumberFormat="1" applyBorder="1"/>
    <xf numFmtId="164" fontId="5" fillId="0" borderId="16" xfId="3" applyNumberFormat="1" applyBorder="1" applyAlignment="1">
      <alignment horizontal="right"/>
    </xf>
    <xf numFmtId="164" fontId="5" fillId="0" borderId="17" xfId="3" applyNumberFormat="1" applyBorder="1" applyAlignment="1">
      <alignment horizontal="right"/>
    </xf>
    <xf numFmtId="0" fontId="5" fillId="0" borderId="7" xfId="3" applyFont="1" applyBorder="1" applyAlignment="1">
      <alignment horizontal="right"/>
    </xf>
    <xf numFmtId="168" fontId="5" fillId="0" borderId="21" xfId="3" applyNumberFormat="1" applyBorder="1"/>
    <xf numFmtId="168" fontId="5" fillId="0" borderId="22" xfId="3" applyNumberFormat="1" applyBorder="1"/>
    <xf numFmtId="169" fontId="5" fillId="0" borderId="20" xfId="3" applyNumberFormat="1" applyBorder="1"/>
    <xf numFmtId="169" fontId="5" fillId="0" borderId="4" xfId="3" applyNumberFormat="1" applyBorder="1"/>
    <xf numFmtId="169" fontId="5" fillId="0" borderId="4" xfId="3" applyNumberFormat="1" applyBorder="1" applyAlignment="1">
      <alignment horizontal="right"/>
    </xf>
    <xf numFmtId="169" fontId="5" fillId="0" borderId="7" xfId="3" applyNumberFormat="1" applyBorder="1"/>
    <xf numFmtId="169" fontId="5" fillId="0" borderId="10" xfId="3" applyNumberFormat="1" applyBorder="1"/>
    <xf numFmtId="169" fontId="5" fillId="0" borderId="16" xfId="3" applyNumberFormat="1" applyBorder="1"/>
    <xf numFmtId="169" fontId="5" fillId="0" borderId="16" xfId="3" applyNumberFormat="1" applyBorder="1" applyAlignment="1">
      <alignment horizontal="right"/>
    </xf>
    <xf numFmtId="170" fontId="5" fillId="0" borderId="20" xfId="3" applyNumberFormat="1" applyFont="1" applyBorder="1" applyAlignment="1">
      <alignment horizontal="left"/>
    </xf>
    <xf numFmtId="170" fontId="5" fillId="0" borderId="21" xfId="3" applyNumberFormat="1" applyBorder="1"/>
    <xf numFmtId="170" fontId="5" fillId="0" borderId="22" xfId="3" applyNumberFormat="1" applyBorder="1"/>
    <xf numFmtId="170" fontId="5" fillId="0" borderId="23" xfId="3" applyNumberFormat="1" applyFont="1" applyBorder="1" applyAlignment="1">
      <alignment horizontal="left"/>
    </xf>
    <xf numFmtId="168" fontId="3" fillId="0" borderId="20" xfId="3" applyNumberFormat="1" applyFont="1" applyBorder="1"/>
    <xf numFmtId="168" fontId="3" fillId="0" borderId="23" xfId="3" applyNumberFormat="1" applyFont="1" applyBorder="1"/>
    <xf numFmtId="171" fontId="3" fillId="0" borderId="20" xfId="3" applyNumberFormat="1" applyFont="1" applyBorder="1"/>
    <xf numFmtId="169" fontId="5" fillId="0" borderId="29" xfId="3" applyNumberFormat="1" applyBorder="1" applyAlignment="1">
      <alignment horizontal="right"/>
    </xf>
    <xf numFmtId="169" fontId="5" fillId="0" borderId="30" xfId="3" applyNumberFormat="1" applyBorder="1"/>
    <xf numFmtId="169" fontId="5" fillId="0" borderId="31" xfId="3" applyNumberFormat="1" applyBorder="1"/>
    <xf numFmtId="169" fontId="5" fillId="0" borderId="33" xfId="3" applyNumberFormat="1" applyBorder="1" applyAlignment="1">
      <alignment horizontal="right"/>
    </xf>
    <xf numFmtId="0" fontId="5" fillId="2" borderId="6" xfId="3" applyFill="1" applyBorder="1"/>
    <xf numFmtId="3" fontId="5" fillId="0" borderId="7" xfId="3" applyNumberFormat="1" applyBorder="1"/>
    <xf numFmtId="3" fontId="5" fillId="0" borderId="10" xfId="3" applyNumberFormat="1" applyBorder="1"/>
    <xf numFmtId="3" fontId="5" fillId="0" borderId="16" xfId="3" applyNumberFormat="1" applyBorder="1" applyAlignment="1">
      <alignment horizontal="right"/>
    </xf>
    <xf numFmtId="3" fontId="5" fillId="0" borderId="4" xfId="3" applyNumberFormat="1" applyBorder="1" applyAlignment="1">
      <alignment horizontal="left"/>
    </xf>
    <xf numFmtId="169" fontId="5" fillId="2" borderId="7" xfId="3" applyNumberFormat="1" applyFill="1" applyBorder="1"/>
    <xf numFmtId="0" fontId="5" fillId="0" borderId="20" xfId="3" applyBorder="1" applyAlignment="1">
      <alignment horizontal="right"/>
    </xf>
    <xf numFmtId="0" fontId="5" fillId="0" borderId="23" xfId="3" applyBorder="1" applyAlignment="1">
      <alignment horizontal="right"/>
    </xf>
    <xf numFmtId="0" fontId="5" fillId="0" borderId="21" xfId="3" applyBorder="1" applyAlignment="1">
      <alignment horizontal="right"/>
    </xf>
    <xf numFmtId="0" fontId="5" fillId="2" borderId="9" xfId="3" applyFill="1" applyBorder="1"/>
    <xf numFmtId="0" fontId="5" fillId="0" borderId="22" xfId="3" applyBorder="1" applyAlignment="1">
      <alignment horizontal="right"/>
    </xf>
    <xf numFmtId="3" fontId="5" fillId="0" borderId="29" xfId="3" applyNumberFormat="1" applyBorder="1" applyAlignment="1">
      <alignment horizontal="right"/>
    </xf>
    <xf numFmtId="3" fontId="5" fillId="0" borderId="30" xfId="3" applyNumberFormat="1" applyBorder="1"/>
    <xf numFmtId="3" fontId="5" fillId="0" borderId="31" xfId="3" applyNumberFormat="1" applyBorder="1"/>
    <xf numFmtId="168" fontId="5" fillId="0" borderId="29" xfId="3" applyNumberFormat="1" applyBorder="1"/>
    <xf numFmtId="3" fontId="5" fillId="0" borderId="33" xfId="3" applyNumberFormat="1" applyBorder="1" applyAlignment="1">
      <alignment horizontal="right"/>
    </xf>
    <xf numFmtId="0" fontId="5" fillId="0" borderId="40" xfId="3" applyBorder="1"/>
    <xf numFmtId="0" fontId="5" fillId="0" borderId="46" xfId="3" applyBorder="1"/>
    <xf numFmtId="0" fontId="5" fillId="0" borderId="29" xfId="3" applyBorder="1"/>
    <xf numFmtId="0" fontId="5" fillId="0" borderId="30" xfId="3" applyBorder="1"/>
    <xf numFmtId="0" fontId="5" fillId="0" borderId="4" xfId="3" applyBorder="1"/>
    <xf numFmtId="0" fontId="5" fillId="0" borderId="7" xfId="3" applyBorder="1"/>
    <xf numFmtId="0" fontId="5" fillId="0" borderId="10" xfId="3" applyBorder="1"/>
    <xf numFmtId="0" fontId="5" fillId="0" borderId="30" xfId="3" applyFont="1" applyBorder="1"/>
    <xf numFmtId="0" fontId="5" fillId="0" borderId="31" xfId="3" applyFont="1" applyBorder="1"/>
    <xf numFmtId="2" fontId="5" fillId="0" borderId="0" xfId="3" applyNumberFormat="1" applyBorder="1"/>
    <xf numFmtId="0" fontId="3" fillId="0" borderId="3" xfId="3" applyFont="1" applyBorder="1" applyAlignment="1">
      <alignment horizontal="left"/>
    </xf>
    <xf numFmtId="169" fontId="5" fillId="0" borderId="52" xfId="3" applyNumberFormat="1" applyFill="1" applyBorder="1"/>
    <xf numFmtId="169" fontId="5" fillId="0" borderId="53" xfId="3" applyNumberFormat="1" applyFill="1" applyBorder="1"/>
    <xf numFmtId="169" fontId="5" fillId="0" borderId="54" xfId="3" applyNumberFormat="1" applyFill="1" applyBorder="1"/>
    <xf numFmtId="169" fontId="5" fillId="0" borderId="55" xfId="3" applyNumberFormat="1" applyFill="1" applyBorder="1"/>
    <xf numFmtId="0" fontId="5" fillId="0" borderId="16" xfId="3" applyBorder="1"/>
    <xf numFmtId="0" fontId="5" fillId="0" borderId="33" xfId="3" applyBorder="1"/>
    <xf numFmtId="169" fontId="3" fillId="0" borderId="16" xfId="3" applyNumberFormat="1" applyFont="1" applyBorder="1"/>
    <xf numFmtId="169" fontId="3" fillId="0" borderId="7" xfId="3" applyNumberFormat="1" applyFont="1" applyBorder="1"/>
    <xf numFmtId="168" fontId="5" fillId="0" borderId="71" xfId="3" applyNumberFormat="1" applyBorder="1"/>
    <xf numFmtId="168" fontId="5" fillId="0" borderId="72" xfId="3" applyNumberFormat="1" applyBorder="1"/>
    <xf numFmtId="168" fontId="5" fillId="0" borderId="73" xfId="3" applyNumberFormat="1" applyBorder="1"/>
    <xf numFmtId="168" fontId="5" fillId="0" borderId="74" xfId="3" applyNumberFormat="1" applyBorder="1"/>
    <xf numFmtId="0" fontId="5" fillId="2" borderId="15" xfId="3" applyFont="1" applyFill="1" applyBorder="1"/>
    <xf numFmtId="0" fontId="5" fillId="0" borderId="15" xfId="3" applyFont="1" applyBorder="1" applyAlignment="1">
      <alignment horizontal="left"/>
    </xf>
    <xf numFmtId="164" fontId="3" fillId="0" borderId="8" xfId="0" applyNumberFormat="1" applyFont="1" applyBorder="1"/>
    <xf numFmtId="0" fontId="5" fillId="0" borderId="89" xfId="0" applyFont="1" applyBorder="1" applyAlignment="1">
      <alignment horizontal="right"/>
    </xf>
    <xf numFmtId="169" fontId="0" fillId="0" borderId="89" xfId="0" applyNumberFormat="1" applyFill="1" applyBorder="1"/>
    <xf numFmtId="169" fontId="5" fillId="0" borderId="89" xfId="0" applyNumberFormat="1" applyFont="1" applyBorder="1"/>
    <xf numFmtId="169" fontId="5" fillId="0" borderId="89" xfId="0" applyNumberFormat="1" applyFont="1" applyBorder="1" applyAlignment="1">
      <alignment horizontal="left"/>
    </xf>
    <xf numFmtId="169" fontId="5" fillId="0" borderId="89" xfId="0" applyNumberFormat="1" applyFont="1" applyBorder="1" applyAlignment="1">
      <alignment horizontal="center"/>
    </xf>
    <xf numFmtId="0" fontId="0" fillId="0" borderId="95" xfId="0" applyBorder="1"/>
    <xf numFmtId="0" fontId="5" fillId="3" borderId="95" xfId="0" applyFont="1" applyFill="1" applyBorder="1"/>
    <xf numFmtId="0" fontId="5" fillId="0" borderId="95" xfId="0" applyFont="1" applyBorder="1" applyAlignment="1">
      <alignment horizontal="left"/>
    </xf>
    <xf numFmtId="3" fontId="0" fillId="0" borderId="95" xfId="0" applyNumberFormat="1" applyBorder="1" applyAlignment="1">
      <alignment horizontal="right"/>
    </xf>
    <xf numFmtId="174" fontId="0" fillId="0" borderId="95" xfId="0" applyNumberFormat="1" applyFill="1" applyBorder="1"/>
    <xf numFmtId="174" fontId="0" fillId="0" borderId="95" xfId="0" applyNumberFormat="1" applyBorder="1"/>
    <xf numFmtId="169" fontId="0" fillId="0" borderId="95" xfId="0" applyNumberFormat="1" applyBorder="1"/>
    <xf numFmtId="169" fontId="0" fillId="0" borderId="95" xfId="0" applyNumberFormat="1" applyBorder="1" applyAlignment="1">
      <alignment horizontal="right"/>
    </xf>
    <xf numFmtId="168" fontId="0" fillId="0" borderId="95" xfId="0" applyNumberFormat="1" applyBorder="1"/>
    <xf numFmtId="166" fontId="0" fillId="0" borderId="96" xfId="0" applyNumberFormat="1" applyBorder="1"/>
    <xf numFmtId="169" fontId="5" fillId="0" borderId="89" xfId="0" applyNumberFormat="1" applyFont="1" applyFill="1" applyBorder="1"/>
    <xf numFmtId="49" fontId="5" fillId="0" borderId="89" xfId="0" applyNumberFormat="1" applyFont="1" applyBorder="1" applyAlignment="1">
      <alignment horizontal="left"/>
    </xf>
    <xf numFmtId="169" fontId="5" fillId="0" borderId="89" xfId="0" applyNumberFormat="1" applyFont="1" applyBorder="1" applyAlignment="1">
      <alignment horizontal="right"/>
    </xf>
    <xf numFmtId="168" fontId="5" fillId="0" borderId="89" xfId="0" applyNumberFormat="1" applyFont="1" applyBorder="1"/>
    <xf numFmtId="171" fontId="5" fillId="0" borderId="89" xfId="0" applyNumberFormat="1" applyFont="1" applyBorder="1"/>
    <xf numFmtId="0" fontId="5" fillId="0" borderId="41" xfId="3" applyBorder="1"/>
    <xf numFmtId="0" fontId="5" fillId="0" borderId="97" xfId="3" applyBorder="1"/>
    <xf numFmtId="0" fontId="5" fillId="0" borderId="38" xfId="3" applyBorder="1"/>
    <xf numFmtId="0" fontId="5" fillId="0" borderId="79" xfId="3" applyFont="1" applyBorder="1"/>
    <xf numFmtId="0" fontId="3" fillId="0" borderId="97" xfId="3" applyFont="1" applyBorder="1"/>
    <xf numFmtId="0" fontId="5" fillId="2" borderId="12" xfId="3" applyFill="1" applyBorder="1"/>
    <xf numFmtId="0" fontId="5" fillId="0" borderId="13" xfId="3" applyBorder="1" applyAlignment="1">
      <alignment horizontal="right"/>
    </xf>
    <xf numFmtId="164" fontId="5" fillId="0" borderId="13" xfId="3" applyNumberFormat="1" applyBorder="1"/>
    <xf numFmtId="3" fontId="5" fillId="0" borderId="13" xfId="3" applyNumberFormat="1" applyBorder="1"/>
    <xf numFmtId="3" fontId="5" fillId="0" borderId="32" xfId="3" applyNumberFormat="1" applyBorder="1"/>
    <xf numFmtId="0" fontId="5" fillId="0" borderId="24" xfId="3" applyBorder="1" applyAlignment="1">
      <alignment horizontal="right"/>
    </xf>
    <xf numFmtId="164" fontId="5" fillId="0" borderId="14" xfId="3" applyNumberFormat="1" applyBorder="1"/>
    <xf numFmtId="169" fontId="5" fillId="0" borderId="56" xfId="3" applyNumberFormat="1" applyFill="1" applyBorder="1"/>
    <xf numFmtId="169" fontId="5" fillId="0" borderId="13" xfId="3" applyNumberFormat="1" applyBorder="1"/>
    <xf numFmtId="169" fontId="5" fillId="0" borderId="32" xfId="3" applyNumberFormat="1" applyBorder="1"/>
    <xf numFmtId="170" fontId="5" fillId="0" borderId="24" xfId="3" applyNumberFormat="1" applyBorder="1"/>
    <xf numFmtId="168" fontId="5" fillId="0" borderId="75" xfId="3" applyNumberFormat="1" applyBorder="1"/>
    <xf numFmtId="168" fontId="5" fillId="0" borderId="24" xfId="3" applyNumberFormat="1" applyBorder="1"/>
    <xf numFmtId="0" fontId="5" fillId="0" borderId="4" xfId="3" applyBorder="1" applyAlignment="1">
      <alignment horizontal="right"/>
    </xf>
    <xf numFmtId="164" fontId="5" fillId="0" borderId="4" xfId="3" applyNumberFormat="1" applyBorder="1"/>
    <xf numFmtId="3" fontId="5" fillId="0" borderId="4" xfId="3" applyNumberFormat="1" applyBorder="1"/>
    <xf numFmtId="3" fontId="5" fillId="0" borderId="29" xfId="3" applyNumberFormat="1" applyBorder="1"/>
    <xf numFmtId="164" fontId="5" fillId="0" borderId="5" xfId="3" applyNumberFormat="1" applyBorder="1"/>
    <xf numFmtId="169" fontId="5" fillId="0" borderId="29" xfId="3" applyNumberFormat="1" applyBorder="1"/>
    <xf numFmtId="170" fontId="5" fillId="0" borderId="20" xfId="3" applyNumberFormat="1" applyBorder="1"/>
    <xf numFmtId="168" fontId="5" fillId="0" borderId="20" xfId="3" applyNumberFormat="1" applyBorder="1"/>
    <xf numFmtId="169" fontId="5" fillId="0" borderId="7" xfId="3" applyNumberFormat="1" applyBorder="1" applyAlignment="1">
      <alignment horizontal="right"/>
    </xf>
    <xf numFmtId="169" fontId="5" fillId="0" borderId="30" xfId="3" applyNumberFormat="1" applyBorder="1" applyAlignment="1">
      <alignment horizontal="right"/>
    </xf>
    <xf numFmtId="169" fontId="5" fillId="0" borderId="10" xfId="3" applyNumberFormat="1" applyBorder="1" applyAlignment="1">
      <alignment horizontal="right"/>
    </xf>
    <xf numFmtId="169" fontId="5" fillId="0" borderId="31" xfId="3" applyNumberFormat="1" applyBorder="1" applyAlignment="1">
      <alignment horizontal="right"/>
    </xf>
    <xf numFmtId="0" fontId="3" fillId="0" borderId="60" xfId="3" applyFont="1" applyBorder="1"/>
    <xf numFmtId="0" fontId="5" fillId="0" borderId="98" xfId="3" applyBorder="1"/>
    <xf numFmtId="0" fontId="5" fillId="0" borderId="99" xfId="3" applyFont="1" applyBorder="1"/>
    <xf numFmtId="0" fontId="3" fillId="0" borderId="22" xfId="3" applyFont="1" applyBorder="1" applyAlignment="1">
      <alignment horizontal="right"/>
    </xf>
    <xf numFmtId="164" fontId="3" fillId="0" borderId="11" xfId="3" applyNumberFormat="1" applyFont="1" applyBorder="1"/>
    <xf numFmtId="0" fontId="3" fillId="4" borderId="3" xfId="3" applyFont="1" applyFill="1" applyBorder="1"/>
    <xf numFmtId="0" fontId="4" fillId="4" borderId="3" xfId="3" applyFont="1" applyFill="1" applyBorder="1"/>
    <xf numFmtId="0" fontId="5" fillId="0" borderId="13" xfId="3" applyBorder="1"/>
    <xf numFmtId="0" fontId="5" fillId="0" borderId="32" xfId="3" applyFont="1" applyBorder="1"/>
    <xf numFmtId="0" fontId="4" fillId="4" borderId="15" xfId="3" applyFont="1" applyFill="1" applyBorder="1"/>
    <xf numFmtId="0" fontId="5" fillId="0" borderId="16" xfId="3" applyBorder="1" applyAlignment="1">
      <alignment horizontal="right"/>
    </xf>
    <xf numFmtId="164" fontId="5" fillId="0" borderId="16" xfId="3" applyNumberFormat="1" applyBorder="1"/>
    <xf numFmtId="0" fontId="5" fillId="0" borderId="78" xfId="3" applyBorder="1" applyAlignment="1">
      <alignment horizontal="right"/>
    </xf>
    <xf numFmtId="0" fontId="5" fillId="0" borderId="6" xfId="3" applyFill="1" applyBorder="1"/>
    <xf numFmtId="0" fontId="5" fillId="0" borderId="9" xfId="3" applyFill="1" applyBorder="1"/>
    <xf numFmtId="0" fontId="5" fillId="3" borderId="6" xfId="3" applyFill="1" applyBorder="1"/>
    <xf numFmtId="168" fontId="3" fillId="0" borderId="70" xfId="3" applyNumberFormat="1" applyFont="1" applyBorder="1"/>
    <xf numFmtId="0" fontId="15" fillId="0" borderId="46" xfId="0" applyFont="1" applyBorder="1"/>
    <xf numFmtId="169" fontId="15" fillId="0" borderId="46" xfId="0" applyNumberFormat="1" applyFont="1" applyBorder="1"/>
    <xf numFmtId="0" fontId="15" fillId="0" borderId="0" xfId="0" applyFont="1"/>
    <xf numFmtId="168" fontId="15" fillId="0" borderId="86" xfId="0" applyNumberFormat="1" applyFont="1" applyBorder="1"/>
    <xf numFmtId="168" fontId="15" fillId="0" borderId="24" xfId="0" applyNumberFormat="1" applyFont="1" applyBorder="1"/>
    <xf numFmtId="171" fontId="15" fillId="0" borderId="13" xfId="0" applyNumberFormat="1" applyFont="1" applyBorder="1"/>
    <xf numFmtId="166" fontId="15" fillId="0" borderId="46" xfId="0" applyNumberFormat="1" applyFont="1" applyBorder="1"/>
    <xf numFmtId="2" fontId="15" fillId="0" borderId="0" xfId="0" applyNumberFormat="1" applyFont="1"/>
    <xf numFmtId="0" fontId="15" fillId="0" borderId="31" xfId="0" applyFont="1" applyBorder="1"/>
    <xf numFmtId="0" fontId="15" fillId="0" borderId="10" xfId="0" applyFont="1" applyBorder="1" applyAlignment="1">
      <alignment horizontal="left"/>
    </xf>
    <xf numFmtId="164" fontId="15" fillId="0" borderId="10" xfId="0" applyNumberFormat="1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3" fontId="15" fillId="0" borderId="11" xfId="0" applyNumberFormat="1" applyFont="1" applyBorder="1" applyAlignment="1">
      <alignment horizontal="right"/>
    </xf>
    <xf numFmtId="164" fontId="15" fillId="0" borderId="11" xfId="0" applyNumberFormat="1" applyFont="1" applyBorder="1" applyAlignment="1">
      <alignment horizontal="right"/>
    </xf>
    <xf numFmtId="169" fontId="15" fillId="0" borderId="31" xfId="0" applyNumberFormat="1" applyFont="1" applyBorder="1" applyAlignment="1">
      <alignment horizontal="right"/>
    </xf>
    <xf numFmtId="170" fontId="15" fillId="0" borderId="22" xfId="0" applyNumberFormat="1" applyFont="1" applyBorder="1" applyAlignment="1">
      <alignment horizontal="right"/>
    </xf>
    <xf numFmtId="168" fontId="15" fillId="0" borderId="31" xfId="0" applyNumberFormat="1" applyFont="1" applyBorder="1"/>
    <xf numFmtId="168" fontId="15" fillId="0" borderId="22" xfId="0" applyNumberFormat="1" applyFont="1" applyBorder="1"/>
    <xf numFmtId="171" fontId="15" fillId="0" borderId="10" xfId="0" applyNumberFormat="1" applyFont="1" applyBorder="1"/>
    <xf numFmtId="166" fontId="15" fillId="0" borderId="83" xfId="0" applyNumberFormat="1" applyFont="1" applyBorder="1"/>
    <xf numFmtId="0" fontId="15" fillId="0" borderId="40" xfId="0" applyFont="1" applyBorder="1"/>
    <xf numFmtId="0" fontId="16" fillId="0" borderId="3" xfId="0" applyFont="1" applyBorder="1" applyAlignment="1">
      <alignment horizontal="left"/>
    </xf>
    <xf numFmtId="0" fontId="15" fillId="0" borderId="4" xfId="0" applyFont="1" applyBorder="1"/>
    <xf numFmtId="0" fontId="15" fillId="0" borderId="29" xfId="0" applyFont="1" applyBorder="1"/>
    <xf numFmtId="0" fontId="17" fillId="0" borderId="3" xfId="0" applyFont="1" applyBorder="1"/>
    <xf numFmtId="0" fontId="15" fillId="0" borderId="4" xfId="0" applyFont="1" applyBorder="1" applyAlignment="1">
      <alignment horizontal="right"/>
    </xf>
    <xf numFmtId="164" fontId="15" fillId="0" borderId="4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left"/>
    </xf>
    <xf numFmtId="164" fontId="15" fillId="0" borderId="5" xfId="0" applyNumberFormat="1" applyFont="1" applyBorder="1" applyAlignment="1">
      <alignment horizontal="right"/>
    </xf>
    <xf numFmtId="169" fontId="15" fillId="0" borderId="52" xfId="0" applyNumberFormat="1" applyFont="1" applyFill="1" applyBorder="1"/>
    <xf numFmtId="169" fontId="15" fillId="0" borderId="20" xfId="0" applyNumberFormat="1" applyFont="1" applyBorder="1"/>
    <xf numFmtId="169" fontId="15" fillId="0" borderId="4" xfId="0" applyNumberFormat="1" applyFont="1" applyBorder="1"/>
    <xf numFmtId="169" fontId="15" fillId="0" borderId="4" xfId="0" applyNumberFormat="1" applyFont="1" applyBorder="1" applyAlignment="1">
      <alignment horizontal="right"/>
    </xf>
    <xf numFmtId="169" fontId="15" fillId="0" borderId="29" xfId="0" applyNumberFormat="1" applyFont="1" applyBorder="1" applyAlignment="1">
      <alignment horizontal="right"/>
    </xf>
    <xf numFmtId="170" fontId="15" fillId="0" borderId="20" xfId="0" applyNumberFormat="1" applyFont="1" applyBorder="1" applyAlignment="1">
      <alignment horizontal="left"/>
    </xf>
    <xf numFmtId="168" fontId="15" fillId="0" borderId="29" xfId="0" applyNumberFormat="1" applyFont="1" applyBorder="1"/>
    <xf numFmtId="168" fontId="16" fillId="0" borderId="72" xfId="0" applyNumberFormat="1" applyFont="1" applyBorder="1"/>
    <xf numFmtId="168" fontId="16" fillId="0" borderId="20" xfId="0" applyNumberFormat="1" applyFont="1" applyBorder="1"/>
    <xf numFmtId="171" fontId="16" fillId="0" borderId="20" xfId="0" applyNumberFormat="1" applyFont="1" applyBorder="1"/>
    <xf numFmtId="0" fontId="15" fillId="0" borderId="0" xfId="0" applyFont="1" applyBorder="1"/>
    <xf numFmtId="0" fontId="15" fillId="0" borderId="6" xfId="0" applyFont="1" applyFill="1" applyBorder="1"/>
    <xf numFmtId="0" fontId="15" fillId="0" borderId="7" xfId="0" applyFont="1" applyBorder="1" applyAlignment="1">
      <alignment horizontal="right"/>
    </xf>
    <xf numFmtId="164" fontId="15" fillId="0" borderId="7" xfId="0" applyNumberFormat="1" applyFont="1" applyBorder="1"/>
    <xf numFmtId="3" fontId="15" fillId="0" borderId="7" xfId="0" applyNumberFormat="1" applyFont="1" applyBorder="1"/>
    <xf numFmtId="164" fontId="15" fillId="0" borderId="8" xfId="0" applyNumberFormat="1" applyFont="1" applyBorder="1"/>
    <xf numFmtId="169" fontId="15" fillId="0" borderId="21" xfId="0" applyNumberFormat="1" applyFont="1" applyBorder="1"/>
    <xf numFmtId="170" fontId="15" fillId="0" borderId="21" xfId="0" applyNumberFormat="1" applyFont="1" applyBorder="1"/>
    <xf numFmtId="2" fontId="15" fillId="0" borderId="0" xfId="0" applyNumberFormat="1" applyFont="1" applyBorder="1"/>
    <xf numFmtId="168" fontId="15" fillId="0" borderId="8" xfId="0" applyNumberFormat="1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32" xfId="0" applyFont="1" applyBorder="1"/>
    <xf numFmtId="0" fontId="15" fillId="0" borderId="12" xfId="0" applyFont="1" applyFill="1" applyBorder="1"/>
    <xf numFmtId="0" fontId="15" fillId="0" borderId="13" xfId="0" applyFont="1" applyBorder="1" applyAlignment="1">
      <alignment horizontal="right"/>
    </xf>
    <xf numFmtId="164" fontId="15" fillId="0" borderId="13" xfId="0" applyNumberFormat="1" applyFont="1" applyBorder="1"/>
    <xf numFmtId="3" fontId="15" fillId="0" borderId="13" xfId="0" applyNumberFormat="1" applyFont="1" applyBorder="1"/>
    <xf numFmtId="0" fontId="15" fillId="0" borderId="24" xfId="0" applyFont="1" applyBorder="1" applyAlignment="1">
      <alignment horizontal="right"/>
    </xf>
    <xf numFmtId="164" fontId="15" fillId="0" borderId="14" xfId="0" applyNumberFormat="1" applyFont="1" applyBorder="1"/>
    <xf numFmtId="169" fontId="15" fillId="0" borderId="24" xfId="0" applyNumberFormat="1" applyFont="1" applyBorder="1"/>
    <xf numFmtId="169" fontId="15" fillId="0" borderId="13" xfId="0" applyNumberFormat="1" applyFont="1" applyBorder="1"/>
    <xf numFmtId="169" fontId="15" fillId="0" borderId="32" xfId="0" applyNumberFormat="1" applyFont="1" applyBorder="1"/>
    <xf numFmtId="170" fontId="15" fillId="0" borderId="24" xfId="0" applyNumberFormat="1" applyFont="1" applyBorder="1"/>
    <xf numFmtId="168" fontId="15" fillId="0" borderId="14" xfId="0" applyNumberFormat="1" applyFont="1" applyBorder="1"/>
    <xf numFmtId="172" fontId="15" fillId="0" borderId="32" xfId="0" applyNumberFormat="1" applyFont="1" applyBorder="1"/>
    <xf numFmtId="169" fontId="15" fillId="0" borderId="3" xfId="0" applyNumberFormat="1" applyFont="1" applyFill="1" applyBorder="1"/>
    <xf numFmtId="169" fontId="15" fillId="0" borderId="53" xfId="0" applyNumberFormat="1" applyFont="1" applyFill="1" applyBorder="1"/>
    <xf numFmtId="169" fontId="15" fillId="0" borderId="31" xfId="0" applyNumberFormat="1" applyFont="1" applyBorder="1"/>
    <xf numFmtId="170" fontId="15" fillId="0" borderId="22" xfId="0" applyNumberFormat="1" applyFont="1" applyBorder="1"/>
    <xf numFmtId="173" fontId="15" fillId="0" borderId="6" xfId="0" applyNumberFormat="1" applyFont="1" applyFill="1" applyBorder="1"/>
    <xf numFmtId="0" fontId="15" fillId="0" borderId="44" xfId="0" applyFont="1" applyBorder="1"/>
    <xf numFmtId="0" fontId="15" fillId="0" borderId="10" xfId="0" applyFont="1" applyBorder="1"/>
    <xf numFmtId="3" fontId="15" fillId="0" borderId="11" xfId="0" applyNumberFormat="1" applyFont="1" applyBorder="1"/>
    <xf numFmtId="169" fontId="15" fillId="0" borderId="83" xfId="0" applyNumberFormat="1" applyFont="1" applyFill="1" applyBorder="1"/>
    <xf numFmtId="168" fontId="15" fillId="0" borderId="7" xfId="0" applyNumberFormat="1" applyFont="1" applyBorder="1"/>
    <xf numFmtId="166" fontId="15" fillId="0" borderId="9" xfId="0" applyNumberFormat="1" applyFont="1" applyBorder="1"/>
    <xf numFmtId="166" fontId="15" fillId="0" borderId="31" xfId="0" applyNumberFormat="1" applyFont="1" applyBorder="1"/>
    <xf numFmtId="0" fontId="16" fillId="0" borderId="16" xfId="0" applyFont="1" applyBorder="1" applyAlignment="1">
      <alignment horizontal="left"/>
    </xf>
    <xf numFmtId="3" fontId="15" fillId="0" borderId="16" xfId="0" applyNumberFormat="1" applyFont="1" applyBorder="1" applyAlignment="1">
      <alignment horizontal="right"/>
    </xf>
    <xf numFmtId="3" fontId="15" fillId="0" borderId="33" xfId="0" applyNumberFormat="1" applyFont="1" applyBorder="1" applyAlignment="1">
      <alignment horizontal="right"/>
    </xf>
    <xf numFmtId="172" fontId="15" fillId="0" borderId="55" xfId="0" applyNumberFormat="1" applyFont="1" applyFill="1" applyBorder="1"/>
    <xf numFmtId="172" fontId="15" fillId="0" borderId="23" xfId="0" applyNumberFormat="1" applyFont="1" applyBorder="1"/>
    <xf numFmtId="168" fontId="15" fillId="0" borderId="33" xfId="0" applyNumberFormat="1" applyFont="1" applyBorder="1"/>
    <xf numFmtId="168" fontId="15" fillId="0" borderId="74" xfId="0" applyNumberFormat="1" applyFont="1" applyBorder="1"/>
    <xf numFmtId="169" fontId="15" fillId="0" borderId="0" xfId="0" applyNumberFormat="1" applyFont="1" applyBorder="1"/>
    <xf numFmtId="167" fontId="15" fillId="0" borderId="0" xfId="0" applyNumberFormat="1" applyFont="1"/>
    <xf numFmtId="172" fontId="15" fillId="0" borderId="21" xfId="0" applyNumberFormat="1" applyFont="1" applyBorder="1"/>
    <xf numFmtId="169" fontId="15" fillId="0" borderId="7" xfId="0" applyNumberFormat="1" applyFont="1" applyBorder="1" applyAlignment="1">
      <alignment horizontal="right"/>
    </xf>
    <xf numFmtId="172" fontId="15" fillId="0" borderId="54" xfId="0" applyNumberFormat="1" applyFont="1" applyFill="1" applyBorder="1"/>
    <xf numFmtId="172" fontId="15" fillId="0" borderId="22" xfId="0" applyNumberFormat="1" applyFont="1" applyBorder="1"/>
    <xf numFmtId="169" fontId="15" fillId="0" borderId="10" xfId="0" applyNumberFormat="1" applyFont="1" applyBorder="1" applyAlignment="1">
      <alignment horizontal="right"/>
    </xf>
    <xf numFmtId="172" fontId="15" fillId="0" borderId="31" xfId="0" applyNumberFormat="1" applyFont="1" applyBorder="1"/>
    <xf numFmtId="3" fontId="5" fillId="0" borderId="29" xfId="0" applyNumberFormat="1" applyFont="1" applyBorder="1" applyAlignment="1">
      <alignment horizontal="right"/>
    </xf>
    <xf numFmtId="3" fontId="5" fillId="0" borderId="33" xfId="0" applyNumberFormat="1" applyFont="1" applyBorder="1" applyAlignment="1">
      <alignment horizontal="right"/>
    </xf>
    <xf numFmtId="0" fontId="16" fillId="0" borderId="3" xfId="0" applyFont="1" applyBorder="1"/>
    <xf numFmtId="164" fontId="15" fillId="0" borderId="4" xfId="0" applyNumberFormat="1" applyFont="1" applyBorder="1"/>
    <xf numFmtId="3" fontId="15" fillId="0" borderId="4" xfId="0" applyNumberFormat="1" applyFont="1" applyBorder="1"/>
    <xf numFmtId="0" fontId="15" fillId="0" borderId="20" xfId="0" applyFont="1" applyBorder="1" applyAlignment="1">
      <alignment horizontal="right"/>
    </xf>
    <xf numFmtId="164" fontId="15" fillId="0" borderId="5" xfId="0" applyNumberFormat="1" applyFont="1" applyBorder="1"/>
    <xf numFmtId="169" fontId="15" fillId="0" borderId="29" xfId="0" applyNumberFormat="1" applyFont="1" applyBorder="1"/>
    <xf numFmtId="170" fontId="15" fillId="0" borderId="20" xfId="0" applyNumberFormat="1" applyFont="1" applyBorder="1"/>
    <xf numFmtId="168" fontId="15" fillId="0" borderId="72" xfId="0" applyNumberFormat="1" applyFont="1" applyBorder="1"/>
    <xf numFmtId="168" fontId="15" fillId="0" borderId="20" xfId="0" applyNumberFormat="1" applyFont="1" applyBorder="1"/>
    <xf numFmtId="171" fontId="15" fillId="0" borderId="4" xfId="0" applyNumberFormat="1" applyFont="1" applyBorder="1"/>
    <xf numFmtId="166" fontId="15" fillId="0" borderId="3" xfId="0" applyNumberFormat="1" applyFont="1" applyBorder="1"/>
    <xf numFmtId="166" fontId="15" fillId="0" borderId="29" xfId="0" applyNumberFormat="1" applyFont="1" applyBorder="1"/>
    <xf numFmtId="0" fontId="15" fillId="0" borderId="43" xfId="0" applyFont="1" applyBorder="1"/>
    <xf numFmtId="3" fontId="15" fillId="0" borderId="29" xfId="0" applyNumberFormat="1" applyFont="1" applyBorder="1"/>
    <xf numFmtId="164" fontId="5" fillId="0" borderId="4" xfId="0" applyNumberFormat="1" applyFont="1" applyBorder="1"/>
    <xf numFmtId="3" fontId="5" fillId="0" borderId="5" xfId="0" applyNumberFormat="1" applyFont="1" applyBorder="1"/>
    <xf numFmtId="0" fontId="5" fillId="0" borderId="20" xfId="0" applyFont="1" applyBorder="1" applyAlignment="1">
      <alignment horizontal="right"/>
    </xf>
    <xf numFmtId="164" fontId="5" fillId="0" borderId="5" xfId="0" applyNumberFormat="1" applyFont="1" applyBorder="1"/>
    <xf numFmtId="169" fontId="5" fillId="0" borderId="5" xfId="0" applyNumberFormat="1" applyFont="1" applyBorder="1"/>
    <xf numFmtId="169" fontId="5" fillId="0" borderId="29" xfId="0" applyNumberFormat="1" applyFont="1" applyBorder="1"/>
    <xf numFmtId="170" fontId="5" fillId="0" borderId="20" xfId="0" applyNumberFormat="1" applyFont="1" applyBorder="1"/>
    <xf numFmtId="168" fontId="5" fillId="0" borderId="29" xfId="0" applyNumberFormat="1" applyFont="1" applyBorder="1"/>
    <xf numFmtId="168" fontId="5" fillId="0" borderId="72" xfId="0" applyNumberFormat="1" applyFont="1" applyBorder="1"/>
    <xf numFmtId="171" fontId="5" fillId="0" borderId="4" xfId="0" applyNumberFormat="1" applyFont="1" applyBorder="1"/>
    <xf numFmtId="172" fontId="5" fillId="0" borderId="29" xfId="0" applyNumberFormat="1" applyFont="1" applyBorder="1"/>
    <xf numFmtId="166" fontId="5" fillId="0" borderId="3" xfId="0" applyNumberFormat="1" applyFont="1" applyBorder="1"/>
    <xf numFmtId="166" fontId="5" fillId="0" borderId="29" xfId="0" applyNumberFormat="1" applyFont="1" applyBorder="1"/>
    <xf numFmtId="169" fontId="15" fillId="0" borderId="55" xfId="0" applyNumberFormat="1" applyFont="1" applyFill="1" applyBorder="1"/>
    <xf numFmtId="170" fontId="15" fillId="0" borderId="52" xfId="0" applyNumberFormat="1" applyFont="1" applyBorder="1" applyAlignment="1">
      <alignment horizontal="left"/>
    </xf>
    <xf numFmtId="168" fontId="15" fillId="0" borderId="5" xfId="0" applyNumberFormat="1" applyFont="1" applyBorder="1"/>
    <xf numFmtId="168" fontId="15" fillId="0" borderId="70" xfId="0" applyNumberFormat="1" applyFont="1" applyBorder="1"/>
    <xf numFmtId="0" fontId="15" fillId="0" borderId="80" xfId="0" applyFont="1" applyBorder="1"/>
    <xf numFmtId="0" fontId="16" fillId="0" borderId="4" xfId="0" applyFont="1" applyBorder="1" applyAlignment="1">
      <alignment horizontal="left"/>
    </xf>
    <xf numFmtId="3" fontId="15" fillId="0" borderId="4" xfId="0" applyNumberFormat="1" applyFont="1" applyBorder="1" applyAlignment="1">
      <alignment horizontal="right"/>
    </xf>
    <xf numFmtId="3" fontId="15" fillId="0" borderId="29" xfId="0" applyNumberFormat="1" applyFont="1" applyBorder="1" applyAlignment="1">
      <alignment horizontal="right"/>
    </xf>
    <xf numFmtId="3" fontId="15" fillId="0" borderId="30" xfId="0" applyNumberFormat="1" applyFont="1" applyBorder="1"/>
    <xf numFmtId="169" fontId="15" fillId="0" borderId="0" xfId="0" applyNumberFormat="1" applyFont="1"/>
    <xf numFmtId="164" fontId="15" fillId="0" borderId="16" xfId="0" applyNumberFormat="1" applyFont="1" applyBorder="1"/>
    <xf numFmtId="3" fontId="15" fillId="0" borderId="16" xfId="0" applyNumberFormat="1" applyFont="1" applyBorder="1"/>
    <xf numFmtId="3" fontId="15" fillId="0" borderId="33" xfId="0" applyNumberFormat="1" applyFont="1" applyBorder="1"/>
    <xf numFmtId="164" fontId="15" fillId="0" borderId="17" xfId="0" applyNumberFormat="1" applyFont="1" applyBorder="1"/>
    <xf numFmtId="169" fontId="15" fillId="0" borderId="33" xfId="0" applyNumberFormat="1" applyFont="1" applyBorder="1"/>
    <xf numFmtId="170" fontId="15" fillId="0" borderId="23" xfId="0" applyNumberFormat="1" applyFont="1" applyBorder="1"/>
    <xf numFmtId="171" fontId="16" fillId="0" borderId="4" xfId="0" applyNumberFormat="1" applyFont="1" applyBorder="1"/>
    <xf numFmtId="171" fontId="16" fillId="0" borderId="16" xfId="0" applyNumberFormat="1" applyFont="1" applyBorder="1"/>
    <xf numFmtId="164" fontId="3" fillId="0" borderId="8" xfId="3" applyNumberFormat="1" applyFont="1" applyBorder="1"/>
    <xf numFmtId="0" fontId="3" fillId="0" borderId="21" xfId="3" applyFont="1" applyBorder="1" applyAlignment="1">
      <alignment horizontal="center"/>
    </xf>
    <xf numFmtId="1" fontId="0" fillId="0" borderId="7" xfId="0" applyNumberFormat="1" applyBorder="1"/>
    <xf numFmtId="1" fontId="15" fillId="0" borderId="10" xfId="0" applyNumberFormat="1" applyFont="1" applyBorder="1"/>
    <xf numFmtId="164" fontId="5" fillId="0" borderId="13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3" fontId="5" fillId="0" borderId="14" xfId="0" applyNumberFormat="1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174" fontId="5" fillId="0" borderId="6" xfId="0" applyNumberFormat="1" applyFont="1" applyFill="1" applyBorder="1"/>
    <xf numFmtId="169" fontId="5" fillId="0" borderId="48" xfId="0" applyNumberFormat="1" applyFont="1" applyBorder="1"/>
    <xf numFmtId="169" fontId="5" fillId="0" borderId="32" xfId="0" applyNumberFormat="1" applyFont="1" applyBorder="1" applyAlignment="1">
      <alignment horizontal="right"/>
    </xf>
    <xf numFmtId="168" fontId="5" fillId="0" borderId="32" xfId="0" applyNumberFormat="1" applyFont="1" applyBorder="1"/>
    <xf numFmtId="168" fontId="5" fillId="0" borderId="75" xfId="0" applyNumberFormat="1" applyFont="1" applyBorder="1"/>
    <xf numFmtId="168" fontId="5" fillId="0" borderId="24" xfId="0" applyNumberFormat="1" applyFont="1" applyBorder="1"/>
    <xf numFmtId="171" fontId="5" fillId="0" borderId="13" xfId="0" applyNumberFormat="1" applyFont="1" applyBorder="1"/>
    <xf numFmtId="172" fontId="5" fillId="0" borderId="32" xfId="0" applyNumberFormat="1" applyFont="1" applyBorder="1"/>
    <xf numFmtId="166" fontId="5" fillId="0" borderId="9" xfId="0" applyNumberFormat="1" applyFont="1" applyBorder="1"/>
    <xf numFmtId="166" fontId="5" fillId="0" borderId="31" xfId="0" applyNumberFormat="1" applyFont="1" applyBorder="1"/>
    <xf numFmtId="172" fontId="0" fillId="0" borderId="76" xfId="0" applyNumberFormat="1" applyBorder="1"/>
    <xf numFmtId="170" fontId="3" fillId="0" borderId="3" xfId="0" applyNumberFormat="1" applyFont="1" applyBorder="1"/>
    <xf numFmtId="170" fontId="0" fillId="0" borderId="13" xfId="0" applyNumberFormat="1" applyBorder="1"/>
    <xf numFmtId="172" fontId="0" fillId="0" borderId="22" xfId="0" applyNumberFormat="1" applyBorder="1"/>
    <xf numFmtId="0" fontId="5" fillId="3" borderId="6" xfId="0" applyFont="1" applyFill="1" applyBorder="1"/>
    <xf numFmtId="0" fontId="0" fillId="3" borderId="6" xfId="0" applyFill="1" applyBorder="1"/>
    <xf numFmtId="2" fontId="5" fillId="0" borderId="0" xfId="3" applyNumberFormat="1"/>
    <xf numFmtId="0" fontId="5" fillId="0" borderId="9" xfId="3" applyFont="1" applyBorder="1"/>
    <xf numFmtId="0" fontId="5" fillId="0" borderId="6" xfId="3" applyFont="1" applyBorder="1"/>
    <xf numFmtId="0" fontId="3" fillId="0" borderId="3" xfId="3" applyFont="1" applyBorder="1"/>
    <xf numFmtId="169" fontId="5" fillId="0" borderId="21" xfId="3" applyNumberFormat="1" applyBorder="1"/>
    <xf numFmtId="169" fontId="5" fillId="0" borderId="22" xfId="3" applyNumberFormat="1" applyBorder="1"/>
    <xf numFmtId="171" fontId="5" fillId="0" borderId="10" xfId="3" applyNumberFormat="1" applyBorder="1"/>
    <xf numFmtId="171" fontId="5" fillId="0" borderId="13" xfId="3" applyNumberFormat="1" applyBorder="1"/>
    <xf numFmtId="0" fontId="5" fillId="0" borderId="10" xfId="3" applyFont="1" applyBorder="1" applyAlignment="1">
      <alignment horizontal="right"/>
    </xf>
    <xf numFmtId="168" fontId="5" fillId="0" borderId="30" xfId="3" applyNumberFormat="1" applyBorder="1"/>
    <xf numFmtId="168" fontId="5" fillId="0" borderId="31" xfId="3" applyNumberFormat="1" applyBorder="1"/>
    <xf numFmtId="169" fontId="5" fillId="0" borderId="7" xfId="3" applyNumberFormat="1" applyFill="1" applyBorder="1"/>
    <xf numFmtId="169" fontId="5" fillId="0" borderId="10" xfId="3" applyNumberFormat="1" applyFill="1" applyBorder="1"/>
    <xf numFmtId="0" fontId="5" fillId="0" borderId="12" xfId="3" applyFont="1" applyBorder="1"/>
    <xf numFmtId="172" fontId="5" fillId="0" borderId="30" xfId="3" applyNumberFormat="1" applyBorder="1"/>
    <xf numFmtId="172" fontId="5" fillId="0" borderId="31" xfId="3" applyNumberFormat="1" applyBorder="1"/>
    <xf numFmtId="166" fontId="5" fillId="0" borderId="29" xfId="3" applyNumberFormat="1" applyBorder="1"/>
    <xf numFmtId="166" fontId="5" fillId="0" borderId="30" xfId="3" applyNumberFormat="1" applyBorder="1"/>
    <xf numFmtId="166" fontId="5" fillId="0" borderId="31" xfId="3" applyNumberFormat="1" applyBorder="1"/>
    <xf numFmtId="166" fontId="5" fillId="0" borderId="3" xfId="3" applyNumberFormat="1" applyBorder="1"/>
    <xf numFmtId="168" fontId="3" fillId="0" borderId="3" xfId="3" applyNumberFormat="1" applyFont="1" applyBorder="1"/>
    <xf numFmtId="170" fontId="5" fillId="0" borderId="3" xfId="3" applyNumberFormat="1" applyFont="1" applyBorder="1" applyAlignment="1">
      <alignment horizontal="left"/>
    </xf>
    <xf numFmtId="0" fontId="5" fillId="0" borderId="10" xfId="3" applyFont="1" applyBorder="1"/>
    <xf numFmtId="172" fontId="5" fillId="0" borderId="21" xfId="3" applyNumberFormat="1" applyBorder="1"/>
    <xf numFmtId="172" fontId="5" fillId="0" borderId="22" xfId="3" applyNumberFormat="1" applyBorder="1"/>
    <xf numFmtId="0" fontId="5" fillId="0" borderId="13" xfId="3" applyFont="1" applyBorder="1"/>
    <xf numFmtId="168" fontId="3" fillId="0" borderId="4" xfId="3" applyNumberFormat="1" applyFont="1" applyBorder="1"/>
    <xf numFmtId="0" fontId="5" fillId="0" borderId="35" xfId="3" applyBorder="1"/>
    <xf numFmtId="169" fontId="5" fillId="0" borderId="4" xfId="3" applyNumberFormat="1" applyFont="1" applyBorder="1"/>
    <xf numFmtId="174" fontId="5" fillId="0" borderId="6" xfId="3" applyNumberFormat="1" applyFill="1" applyBorder="1"/>
    <xf numFmtId="174" fontId="5" fillId="0" borderId="7" xfId="3" applyNumberFormat="1" applyBorder="1"/>
    <xf numFmtId="174" fontId="5" fillId="0" borderId="9" xfId="3" applyNumberFormat="1" applyFill="1" applyBorder="1"/>
    <xf numFmtId="174" fontId="5" fillId="0" borderId="10" xfId="3" applyNumberFormat="1" applyBorder="1"/>
    <xf numFmtId="0" fontId="5" fillId="0" borderId="4" xfId="3" applyFont="1" applyBorder="1" applyAlignment="1">
      <alignment horizontal="right"/>
    </xf>
    <xf numFmtId="169" fontId="5" fillId="0" borderId="4" xfId="3" applyNumberFormat="1" applyFont="1" applyBorder="1" applyAlignment="1">
      <alignment horizontal="right"/>
    </xf>
    <xf numFmtId="169" fontId="5" fillId="0" borderId="7" xfId="3" applyNumberFormat="1" applyFont="1" applyBorder="1"/>
    <xf numFmtId="169" fontId="5" fillId="0" borderId="3" xfId="3" applyNumberFormat="1" applyFill="1" applyBorder="1" applyAlignment="1">
      <alignment horizontal="center"/>
    </xf>
    <xf numFmtId="2" fontId="5" fillId="0" borderId="0" xfId="3" applyNumberFormat="1" applyFont="1"/>
    <xf numFmtId="0" fontId="5" fillId="0" borderId="40" xfId="3" applyFont="1" applyBorder="1"/>
    <xf numFmtId="169" fontId="5" fillId="0" borderId="10" xfId="3" applyNumberFormat="1" applyFont="1" applyBorder="1"/>
    <xf numFmtId="0" fontId="5" fillId="0" borderId="3" xfId="3" applyBorder="1" applyAlignment="1">
      <alignment horizontal="right"/>
    </xf>
    <xf numFmtId="0" fontId="3" fillId="0" borderId="6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0" fillId="0" borderId="101" xfId="0" applyBorder="1"/>
    <xf numFmtId="0" fontId="0" fillId="0" borderId="21" xfId="0" applyBorder="1"/>
    <xf numFmtId="0" fontId="0" fillId="0" borderId="102" xfId="0" applyBorder="1"/>
    <xf numFmtId="0" fontId="0" fillId="0" borderId="23" xfId="0" applyBorder="1"/>
    <xf numFmtId="166" fontId="0" fillId="0" borderId="21" xfId="0" applyNumberFormat="1" applyFill="1" applyBorder="1"/>
    <xf numFmtId="166" fontId="0" fillId="0" borderId="102" xfId="0" applyNumberFormat="1" applyBorder="1"/>
    <xf numFmtId="169" fontId="5" fillId="0" borderId="103" xfId="0" applyNumberFormat="1" applyFont="1" applyBorder="1" applyAlignment="1">
      <alignment horizontal="left"/>
    </xf>
    <xf numFmtId="169" fontId="0" fillId="0" borderId="103" xfId="0" applyNumberFormat="1" applyBorder="1" applyAlignment="1">
      <alignment horizontal="left"/>
    </xf>
    <xf numFmtId="166" fontId="0" fillId="0" borderId="104" xfId="0" applyNumberFormat="1" applyBorder="1"/>
    <xf numFmtId="0" fontId="0" fillId="0" borderId="22" xfId="0" applyBorder="1"/>
    <xf numFmtId="169" fontId="0" fillId="0" borderId="68" xfId="0" applyNumberFormat="1" applyBorder="1" applyAlignment="1">
      <alignment horizontal="right"/>
    </xf>
    <xf numFmtId="169" fontId="0" fillId="0" borderId="64" xfId="0" applyNumberFormat="1" applyBorder="1" applyAlignment="1">
      <alignment horizontal="right"/>
    </xf>
    <xf numFmtId="169" fontId="5" fillId="0" borderId="64" xfId="0" applyNumberFormat="1" applyFont="1" applyBorder="1" applyAlignment="1">
      <alignment horizontal="right"/>
    </xf>
    <xf numFmtId="169" fontId="5" fillId="0" borderId="91" xfId="0" applyNumberFormat="1" applyFont="1" applyBorder="1" applyAlignment="1">
      <alignment horizontal="right"/>
    </xf>
    <xf numFmtId="169" fontId="0" fillId="0" borderId="91" xfId="0" applyNumberFormat="1" applyBorder="1" applyAlignment="1">
      <alignment horizontal="right"/>
    </xf>
    <xf numFmtId="169" fontId="0" fillId="0" borderId="64" xfId="0" applyNumberFormat="1" applyBorder="1"/>
    <xf numFmtId="168" fontId="3" fillId="0" borderId="33" xfId="0" applyNumberFormat="1" applyFont="1" applyBorder="1"/>
    <xf numFmtId="2" fontId="0" fillId="0" borderId="7" xfId="0" applyNumberFormat="1" applyBorder="1"/>
    <xf numFmtId="0" fontId="0" fillId="0" borderId="7" xfId="0" applyBorder="1" applyAlignment="1">
      <alignment horizontal="center"/>
    </xf>
    <xf numFmtId="3" fontId="14" fillId="0" borderId="7" xfId="0" applyNumberFormat="1" applyFont="1" applyBorder="1"/>
    <xf numFmtId="0" fontId="5" fillId="2" borderId="85" xfId="3" applyFill="1" applyBorder="1"/>
    <xf numFmtId="169" fontId="0" fillId="0" borderId="57" xfId="0" applyNumberFormat="1" applyBorder="1"/>
    <xf numFmtId="169" fontId="5" fillId="0" borderId="105" xfId="3" applyNumberFormat="1" applyBorder="1"/>
    <xf numFmtId="169" fontId="5" fillId="0" borderId="105" xfId="3" applyNumberFormat="1" applyBorder="1" applyAlignment="1">
      <alignment horizontal="right"/>
    </xf>
    <xf numFmtId="169" fontId="5" fillId="0" borderId="62" xfId="3" applyNumberFormat="1" applyBorder="1" applyAlignment="1">
      <alignment horizontal="right"/>
    </xf>
    <xf numFmtId="170" fontId="5" fillId="0" borderId="57" xfId="3" applyNumberFormat="1" applyBorder="1"/>
    <xf numFmtId="172" fontId="0" fillId="0" borderId="62" xfId="0" applyNumberFormat="1" applyBorder="1"/>
    <xf numFmtId="168" fontId="0" fillId="0" borderId="58" xfId="0" applyNumberFormat="1" applyBorder="1"/>
    <xf numFmtId="168" fontId="3" fillId="0" borderId="74" xfId="0" applyNumberFormat="1" applyFont="1" applyBorder="1"/>
    <xf numFmtId="0" fontId="0" fillId="0" borderId="76" xfId="0" applyBorder="1"/>
    <xf numFmtId="0" fontId="1" fillId="0" borderId="21" xfId="2" applyBorder="1" applyAlignment="1" applyProtection="1"/>
    <xf numFmtId="164" fontId="14" fillId="0" borderId="30" xfId="0" applyNumberFormat="1" applyFont="1" applyBorder="1"/>
    <xf numFmtId="171" fontId="0" fillId="0" borderId="57" xfId="0" applyNumberFormat="1" applyBorder="1"/>
    <xf numFmtId="168" fontId="5" fillId="0" borderId="85" xfId="3" applyNumberFormat="1" applyBorder="1"/>
    <xf numFmtId="168" fontId="5" fillId="0" borderId="70" xfId="3" applyNumberFormat="1" applyBorder="1"/>
    <xf numFmtId="168" fontId="5" fillId="0" borderId="77" xfId="3" applyNumberFormat="1" applyBorder="1"/>
    <xf numFmtId="0" fontId="5" fillId="0" borderId="59" xfId="3" applyBorder="1"/>
    <xf numFmtId="0" fontId="5" fillId="0" borderId="0" xfId="3" applyBorder="1"/>
    <xf numFmtId="169" fontId="5" fillId="0" borderId="59" xfId="3" applyNumberFormat="1" applyBorder="1"/>
    <xf numFmtId="169" fontId="5" fillId="0" borderId="0" xfId="3" applyNumberFormat="1" applyBorder="1" applyAlignment="1">
      <alignment horizontal="right"/>
    </xf>
    <xf numFmtId="170" fontId="5" fillId="0" borderId="0" xfId="3" applyNumberFormat="1" applyBorder="1"/>
    <xf numFmtId="168" fontId="5" fillId="0" borderId="0" xfId="3" applyNumberFormat="1" applyBorder="1"/>
    <xf numFmtId="171" fontId="0" fillId="0" borderId="0" xfId="0" applyNumberFormat="1" applyBorder="1"/>
    <xf numFmtId="172" fontId="0" fillId="0" borderId="0" xfId="0" applyNumberFormat="1" applyBorder="1"/>
    <xf numFmtId="0" fontId="0" fillId="2" borderId="13" xfId="0" applyFill="1" applyBorder="1"/>
    <xf numFmtId="0" fontId="3" fillId="0" borderId="0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/>
    </xf>
    <xf numFmtId="3" fontId="0" fillId="0" borderId="100" xfId="0" applyNumberFormat="1" applyBorder="1" applyAlignment="1">
      <alignment horizontal="right"/>
    </xf>
    <xf numFmtId="0" fontId="5" fillId="3" borderId="15" xfId="0" applyFont="1" applyFill="1" applyBorder="1"/>
    <xf numFmtId="169" fontId="5" fillId="0" borderId="16" xfId="0" applyNumberFormat="1" applyFont="1" applyBorder="1"/>
    <xf numFmtId="169" fontId="15" fillId="0" borderId="5" xfId="0" applyNumberFormat="1" applyFont="1" applyBorder="1"/>
    <xf numFmtId="168" fontId="16" fillId="0" borderId="4" xfId="0" applyNumberFormat="1" applyFont="1" applyBorder="1"/>
    <xf numFmtId="168" fontId="15" fillId="0" borderId="4" xfId="0" applyNumberFormat="1" applyFont="1" applyBorder="1"/>
    <xf numFmtId="170" fontId="15" fillId="0" borderId="3" xfId="0" applyNumberFormat="1" applyFont="1" applyBorder="1" applyAlignment="1">
      <alignment horizontal="left"/>
    </xf>
    <xf numFmtId="168" fontId="16" fillId="0" borderId="70" xfId="0" applyNumberFormat="1" applyFont="1" applyBorder="1"/>
    <xf numFmtId="168" fontId="16" fillId="0" borderId="3" xfId="0" applyNumberFormat="1" applyFont="1" applyBorder="1"/>
    <xf numFmtId="3" fontId="15" fillId="0" borderId="0" xfId="0" applyNumberFormat="1" applyFont="1"/>
    <xf numFmtId="0" fontId="15" fillId="0" borderId="40" xfId="0" applyFont="1" applyBorder="1" applyAlignment="1">
      <alignment horizontal="left"/>
    </xf>
    <xf numFmtId="169" fontId="15" fillId="0" borderId="6" xfId="0" applyNumberFormat="1" applyFont="1" applyFill="1" applyBorder="1"/>
    <xf numFmtId="169" fontId="15" fillId="0" borderId="7" xfId="0" applyNumberFormat="1" applyFont="1" applyFill="1" applyBorder="1"/>
    <xf numFmtId="170" fontId="15" fillId="0" borderId="6" xfId="0" applyNumberFormat="1" applyFont="1" applyBorder="1"/>
    <xf numFmtId="0" fontId="5" fillId="0" borderId="47" xfId="3" applyBorder="1"/>
    <xf numFmtId="0" fontId="5" fillId="0" borderId="29" xfId="3" applyFont="1" applyBorder="1"/>
    <xf numFmtId="0" fontId="3" fillId="0" borderId="20" xfId="3" applyFont="1" applyBorder="1" applyAlignment="1">
      <alignment horizontal="right"/>
    </xf>
    <xf numFmtId="0" fontId="5" fillId="4" borderId="6" xfId="3" applyFont="1" applyFill="1" applyBorder="1"/>
    <xf numFmtId="169" fontId="5" fillId="0" borderId="21" xfId="3" applyNumberFormat="1" applyFill="1" applyBorder="1"/>
    <xf numFmtId="169" fontId="5" fillId="0" borderId="21" xfId="0" applyNumberFormat="1" applyFont="1" applyBorder="1"/>
    <xf numFmtId="169" fontId="5" fillId="0" borderId="46" xfId="3" applyNumberFormat="1" applyBorder="1"/>
    <xf numFmtId="168" fontId="5" fillId="0" borderId="76" xfId="3" applyNumberFormat="1" applyBorder="1"/>
    <xf numFmtId="171" fontId="0" fillId="0" borderId="46" xfId="0" applyNumberFormat="1" applyBorder="1"/>
    <xf numFmtId="0" fontId="3" fillId="0" borderId="57" xfId="3" applyFont="1" applyBorder="1" applyAlignment="1">
      <alignment horizontal="center"/>
    </xf>
    <xf numFmtId="169" fontId="5" fillId="0" borderId="57" xfId="3" applyNumberFormat="1" applyFill="1" applyBorder="1"/>
    <xf numFmtId="164" fontId="3" fillId="0" borderId="31" xfId="3" applyNumberFormat="1" applyFont="1" applyBorder="1"/>
    <xf numFmtId="164" fontId="3" fillId="0" borderId="30" xfId="3" applyNumberFormat="1" applyFont="1" applyBorder="1"/>
    <xf numFmtId="3" fontId="5" fillId="0" borderId="4" xfId="0" applyNumberFormat="1" applyFont="1" applyBorder="1" applyAlignment="1">
      <alignment horizontal="left"/>
    </xf>
    <xf numFmtId="169" fontId="5" fillId="0" borderId="3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3" fillId="0" borderId="6" xfId="3" applyFont="1" applyBorder="1"/>
    <xf numFmtId="169" fontId="5" fillId="0" borderId="13" xfId="3" applyNumberFormat="1" applyBorder="1" applyAlignment="1">
      <alignment horizontal="right"/>
    </xf>
    <xf numFmtId="169" fontId="5" fillId="0" borderId="32" xfId="3" applyNumberFormat="1" applyBorder="1" applyAlignment="1">
      <alignment horizontal="right"/>
    </xf>
    <xf numFmtId="172" fontId="0" fillId="0" borderId="6" xfId="0" applyNumberFormat="1" applyBorder="1"/>
    <xf numFmtId="0" fontId="5" fillId="4" borderId="6" xfId="0" applyFont="1" applyFill="1" applyBorder="1"/>
    <xf numFmtId="164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0" fontId="5" fillId="0" borderId="21" xfId="0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74" fontId="5" fillId="0" borderId="7" xfId="0" applyNumberFormat="1" applyFont="1" applyBorder="1"/>
    <xf numFmtId="169" fontId="5" fillId="0" borderId="46" xfId="0" applyNumberFormat="1" applyFont="1" applyBorder="1"/>
    <xf numFmtId="169" fontId="5" fillId="0" borderId="30" xfId="0" applyNumberFormat="1" applyFont="1" applyBorder="1" applyAlignment="1">
      <alignment horizontal="right"/>
    </xf>
    <xf numFmtId="168" fontId="5" fillId="0" borderId="30" xfId="0" applyNumberFormat="1" applyFont="1" applyBorder="1"/>
    <xf numFmtId="168" fontId="5" fillId="0" borderId="71" xfId="0" applyNumberFormat="1" applyFont="1" applyBorder="1"/>
    <xf numFmtId="172" fontId="5" fillId="0" borderId="30" xfId="0" applyNumberFormat="1" applyFont="1" applyBorder="1"/>
    <xf numFmtId="166" fontId="5" fillId="0" borderId="82" xfId="0" applyNumberFormat="1" applyFont="1" applyBorder="1"/>
    <xf numFmtId="166" fontId="5" fillId="0" borderId="30" xfId="0" applyNumberFormat="1" applyFont="1" applyBorder="1"/>
    <xf numFmtId="164" fontId="15" fillId="0" borderId="7" xfId="3" applyNumberFormat="1" applyFont="1" applyBorder="1"/>
    <xf numFmtId="165" fontId="5" fillId="0" borderId="16" xfId="0" applyNumberFormat="1" applyFont="1" applyBorder="1"/>
    <xf numFmtId="175" fontId="5" fillId="0" borderId="7" xfId="0" applyNumberFormat="1" applyFont="1" applyBorder="1"/>
    <xf numFmtId="3" fontId="5" fillId="0" borderId="17" xfId="0" applyNumberFormat="1" applyFont="1" applyBorder="1"/>
    <xf numFmtId="0" fontId="5" fillId="0" borderId="23" xfId="0" applyFont="1" applyBorder="1" applyAlignment="1">
      <alignment horizontal="right"/>
    </xf>
    <xf numFmtId="164" fontId="5" fillId="0" borderId="17" xfId="0" applyNumberFormat="1" applyFont="1" applyBorder="1"/>
    <xf numFmtId="169" fontId="5" fillId="0" borderId="15" xfId="0" applyNumberFormat="1" applyFont="1" applyFill="1" applyBorder="1"/>
    <xf numFmtId="169" fontId="5" fillId="0" borderId="17" xfId="0" applyNumberFormat="1" applyFont="1" applyBorder="1"/>
    <xf numFmtId="172" fontId="5" fillId="0" borderId="16" xfId="0" applyNumberFormat="1" applyFont="1" applyBorder="1"/>
    <xf numFmtId="169" fontId="5" fillId="0" borderId="33" xfId="0" applyNumberFormat="1" applyFont="1" applyBorder="1"/>
    <xf numFmtId="170" fontId="5" fillId="0" borderId="23" xfId="0" applyNumberFormat="1" applyFont="1" applyBorder="1"/>
    <xf numFmtId="168" fontId="5" fillId="0" borderId="33" xfId="0" applyNumberFormat="1" applyFont="1" applyBorder="1"/>
    <xf numFmtId="168" fontId="5" fillId="0" borderId="74" xfId="0" applyNumberFormat="1" applyFont="1" applyBorder="1"/>
    <xf numFmtId="166" fontId="5" fillId="0" borderId="15" xfId="0" applyNumberFormat="1" applyFont="1" applyBorder="1"/>
    <xf numFmtId="165" fontId="5" fillId="0" borderId="7" xfId="0" applyNumberFormat="1" applyFont="1" applyBorder="1"/>
    <xf numFmtId="3" fontId="5" fillId="0" borderId="8" xfId="0" applyNumberFormat="1" applyFont="1" applyBorder="1"/>
    <xf numFmtId="164" fontId="5" fillId="0" borderId="8" xfId="0" applyNumberFormat="1" applyFont="1" applyBorder="1"/>
    <xf numFmtId="169" fontId="5" fillId="0" borderId="6" xfId="0" applyNumberFormat="1" applyFont="1" applyFill="1" applyBorder="1"/>
    <xf numFmtId="170" fontId="5" fillId="0" borderId="21" xfId="0" applyNumberFormat="1" applyFont="1" applyBorder="1"/>
    <xf numFmtId="166" fontId="5" fillId="0" borderId="6" xfId="0" applyNumberFormat="1" applyFont="1" applyBorder="1"/>
    <xf numFmtId="0" fontId="15" fillId="2" borderId="6" xfId="0" applyFont="1" applyFill="1" applyBorder="1"/>
    <xf numFmtId="0" fontId="15" fillId="0" borderId="34" xfId="0" applyFont="1" applyBorder="1" applyAlignment="1">
      <alignment horizontal="right"/>
    </xf>
    <xf numFmtId="164" fontId="15" fillId="0" borderId="18" xfId="0" applyNumberFormat="1" applyFont="1" applyBorder="1"/>
    <xf numFmtId="168" fontId="15" fillId="0" borderId="6" xfId="0" applyNumberFormat="1" applyFont="1" applyBorder="1"/>
    <xf numFmtId="2" fontId="15" fillId="0" borderId="30" xfId="0" applyNumberFormat="1" applyFont="1" applyBorder="1"/>
    <xf numFmtId="169" fontId="3" fillId="0" borderId="63" xfId="0" applyNumberFormat="1" applyFont="1" applyBorder="1" applyAlignment="1">
      <alignment horizontal="right"/>
    </xf>
    <xf numFmtId="169" fontId="3" fillId="0" borderId="53" xfId="3" applyNumberFormat="1" applyFont="1" applyFill="1" applyBorder="1"/>
    <xf numFmtId="0" fontId="5" fillId="0" borderId="4" xfId="0" applyFont="1" applyBorder="1"/>
    <xf numFmtId="0" fontId="5" fillId="0" borderId="29" xfId="0" applyFont="1" applyBorder="1"/>
    <xf numFmtId="3" fontId="5" fillId="0" borderId="4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3" fontId="5" fillId="0" borderId="0" xfId="0" applyNumberFormat="1" applyFont="1"/>
    <xf numFmtId="0" fontId="5" fillId="0" borderId="13" xfId="0" applyFont="1" applyBorder="1" applyAlignment="1">
      <alignment horizontal="right"/>
    </xf>
    <xf numFmtId="173" fontId="0" fillId="0" borderId="12" xfId="0" applyNumberFormat="1" applyFill="1" applyBorder="1"/>
    <xf numFmtId="170" fontId="0" fillId="0" borderId="12" xfId="0" applyNumberFormat="1" applyBorder="1"/>
    <xf numFmtId="168" fontId="0" fillId="0" borderId="12" xfId="0" applyNumberFormat="1" applyBorder="1"/>
    <xf numFmtId="2" fontId="0" fillId="0" borderId="32" xfId="0" applyNumberFormat="1" applyBorder="1"/>
    <xf numFmtId="175" fontId="15" fillId="0" borderId="7" xfId="0" applyNumberFormat="1" applyFont="1" applyBorder="1"/>
    <xf numFmtId="172" fontId="15" fillId="0" borderId="7" xfId="0" applyNumberFormat="1" applyFont="1" applyBorder="1"/>
    <xf numFmtId="166" fontId="15" fillId="0" borderId="6" xfId="0" applyNumberFormat="1" applyFont="1" applyBorder="1"/>
    <xf numFmtId="3" fontId="15" fillId="0" borderId="32" xfId="0" applyNumberFormat="1" applyFont="1" applyBorder="1"/>
    <xf numFmtId="169" fontId="15" fillId="0" borderId="12" xfId="0" applyNumberFormat="1" applyFont="1" applyFill="1" applyBorder="1"/>
    <xf numFmtId="172" fontId="15" fillId="0" borderId="13" xfId="0" applyNumberFormat="1" applyFont="1" applyBorder="1"/>
    <xf numFmtId="168" fontId="15" fillId="0" borderId="32" xfId="0" applyNumberFormat="1" applyFont="1" applyBorder="1"/>
    <xf numFmtId="166" fontId="15" fillId="0" borderId="12" xfId="0" applyNumberFormat="1" applyFont="1" applyBorder="1"/>
    <xf numFmtId="166" fontId="15" fillId="0" borderId="32" xfId="0" applyNumberFormat="1" applyFont="1" applyBorder="1"/>
    <xf numFmtId="168" fontId="15" fillId="0" borderId="75" xfId="0" applyNumberFormat="1" applyFont="1" applyBorder="1"/>
    <xf numFmtId="0" fontId="3" fillId="0" borderId="15" xfId="3" applyFont="1" applyBorder="1"/>
    <xf numFmtId="0" fontId="5" fillId="0" borderId="33" xfId="3" applyFont="1" applyBorder="1"/>
    <xf numFmtId="3" fontId="5" fillId="0" borderId="16" xfId="3" applyNumberFormat="1" applyBorder="1"/>
    <xf numFmtId="3" fontId="5" fillId="0" borderId="33" xfId="3" applyNumberFormat="1" applyBorder="1"/>
    <xf numFmtId="169" fontId="5" fillId="0" borderId="23" xfId="3" applyNumberFormat="1" applyFill="1" applyBorder="1"/>
    <xf numFmtId="169" fontId="5" fillId="0" borderId="23" xfId="0" applyNumberFormat="1" applyFont="1" applyBorder="1"/>
    <xf numFmtId="169" fontId="5" fillId="0" borderId="47" xfId="3" applyNumberFormat="1" applyBorder="1"/>
    <xf numFmtId="170" fontId="5" fillId="0" borderId="23" xfId="3" applyNumberFormat="1" applyBorder="1"/>
    <xf numFmtId="168" fontId="5" fillId="0" borderId="93" xfId="3" applyNumberFormat="1" applyBorder="1"/>
    <xf numFmtId="168" fontId="5" fillId="0" borderId="23" xfId="3" applyNumberFormat="1" applyBorder="1"/>
    <xf numFmtId="171" fontId="0" fillId="0" borderId="47" xfId="0" applyNumberFormat="1" applyBorder="1"/>
    <xf numFmtId="169" fontId="5" fillId="0" borderId="20" xfId="3" applyNumberFormat="1" applyFill="1" applyBorder="1"/>
    <xf numFmtId="164" fontId="5" fillId="0" borderId="29" xfId="3" applyNumberFormat="1" applyBorder="1"/>
    <xf numFmtId="164" fontId="3" fillId="0" borderId="33" xfId="3" applyNumberFormat="1" applyFont="1" applyBorder="1"/>
    <xf numFmtId="0" fontId="3" fillId="0" borderId="23" xfId="3" applyFont="1" applyBorder="1" applyAlignment="1">
      <alignment horizontal="center"/>
    </xf>
    <xf numFmtId="0" fontId="5" fillId="3" borderId="9" xfId="0" applyFont="1" applyFill="1" applyBorder="1"/>
    <xf numFmtId="3" fontId="0" fillId="0" borderId="62" xfId="0" applyNumberFormat="1" applyBorder="1" applyAlignment="1">
      <alignment horizontal="right"/>
    </xf>
    <xf numFmtId="3" fontId="5" fillId="0" borderId="7" xfId="0" applyNumberFormat="1" applyFont="1" applyBorder="1"/>
    <xf numFmtId="168" fontId="3" fillId="0" borderId="29" xfId="0" applyNumberFormat="1" applyFont="1" applyBorder="1"/>
    <xf numFmtId="0" fontId="5" fillId="0" borderId="31" xfId="3" applyBorder="1"/>
    <xf numFmtId="165" fontId="5" fillId="0" borderId="13" xfId="0" applyNumberFormat="1" applyFont="1" applyBorder="1"/>
    <xf numFmtId="175" fontId="5" fillId="0" borderId="13" xfId="0" applyNumberFormat="1" applyFont="1" applyBorder="1"/>
    <xf numFmtId="3" fontId="5" fillId="0" borderId="14" xfId="0" applyNumberFormat="1" applyFont="1" applyBorder="1"/>
    <xf numFmtId="164" fontId="5" fillId="0" borderId="14" xfId="0" applyNumberFormat="1" applyFont="1" applyBorder="1"/>
    <xf numFmtId="169" fontId="5" fillId="0" borderId="12" xfId="0" applyNumberFormat="1" applyFont="1" applyFill="1" applyBorder="1"/>
    <xf numFmtId="172" fontId="5" fillId="0" borderId="13" xfId="0" applyNumberFormat="1" applyFont="1" applyBorder="1"/>
    <xf numFmtId="170" fontId="5" fillId="0" borderId="24" xfId="0" applyNumberFormat="1" applyFont="1" applyBorder="1"/>
    <xf numFmtId="166" fontId="5" fillId="0" borderId="12" xfId="0" applyNumberFormat="1" applyFont="1" applyBorder="1"/>
    <xf numFmtId="166" fontId="5" fillId="0" borderId="32" xfId="0" applyNumberFormat="1" applyFont="1" applyBorder="1"/>
    <xf numFmtId="175" fontId="15" fillId="0" borderId="13" xfId="0" applyNumberFormat="1" applyFont="1" applyBorder="1"/>
    <xf numFmtId="3" fontId="15" fillId="0" borderId="14" xfId="0" applyNumberFormat="1" applyFont="1" applyBorder="1"/>
    <xf numFmtId="0" fontId="5" fillId="0" borderId="3" xfId="0" applyFont="1" applyBorder="1"/>
    <xf numFmtId="175" fontId="5" fillId="0" borderId="4" xfId="0" applyNumberFormat="1" applyFont="1" applyBorder="1"/>
    <xf numFmtId="169" fontId="5" fillId="0" borderId="8" xfId="0" applyNumberFormat="1" applyFont="1" applyBorder="1"/>
    <xf numFmtId="169" fontId="5" fillId="0" borderId="30" xfId="0" applyNumberFormat="1" applyFont="1" applyBorder="1"/>
    <xf numFmtId="175" fontId="5" fillId="0" borderId="10" xfId="0" applyNumberFormat="1" applyFont="1" applyBorder="1"/>
    <xf numFmtId="3" fontId="5" fillId="0" borderId="11" xfId="0" applyNumberFormat="1" applyFont="1" applyBorder="1"/>
    <xf numFmtId="0" fontId="5" fillId="0" borderId="22" xfId="0" applyFont="1" applyBorder="1" applyAlignment="1">
      <alignment horizontal="right"/>
    </xf>
    <xf numFmtId="164" fontId="5" fillId="0" borderId="11" xfId="0" applyNumberFormat="1" applyFont="1" applyBorder="1"/>
    <xf numFmtId="169" fontId="5" fillId="0" borderId="9" xfId="0" applyNumberFormat="1" applyFont="1" applyFill="1" applyBorder="1"/>
    <xf numFmtId="169" fontId="5" fillId="0" borderId="11" xfId="0" applyNumberFormat="1" applyFont="1" applyBorder="1"/>
    <xf numFmtId="172" fontId="5" fillId="0" borderId="10" xfId="0" applyNumberFormat="1" applyFont="1" applyBorder="1"/>
    <xf numFmtId="169" fontId="5" fillId="0" borderId="31" xfId="0" applyNumberFormat="1" applyFont="1" applyBorder="1"/>
    <xf numFmtId="170" fontId="5" fillId="0" borderId="22" xfId="0" applyNumberFormat="1" applyFont="1" applyBorder="1"/>
    <xf numFmtId="168" fontId="5" fillId="0" borderId="73" xfId="0" applyNumberFormat="1" applyFont="1" applyBorder="1"/>
    <xf numFmtId="172" fontId="5" fillId="0" borderId="31" xfId="0" applyNumberFormat="1" applyFont="1" applyBorder="1"/>
    <xf numFmtId="165" fontId="5" fillId="0" borderId="10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3" fillId="0" borderId="17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1" fontId="5" fillId="0" borderId="7" xfId="0" applyNumberFormat="1" applyFont="1" applyBorder="1"/>
    <xf numFmtId="168" fontId="5" fillId="0" borderId="16" xfId="0" applyNumberFormat="1" applyFont="1" applyBorder="1"/>
    <xf numFmtId="169" fontId="5" fillId="0" borderId="16" xfId="0" applyNumberFormat="1" applyFont="1" applyBorder="1" applyAlignment="1">
      <alignment horizontal="right"/>
    </xf>
    <xf numFmtId="169" fontId="5" fillId="0" borderId="33" xfId="0" applyNumberFormat="1" applyFont="1" applyBorder="1" applyAlignment="1">
      <alignment horizontal="right"/>
    </xf>
    <xf numFmtId="168" fontId="5" fillId="0" borderId="17" xfId="0" applyNumberFormat="1" applyFont="1" applyBorder="1"/>
    <xf numFmtId="168" fontId="5" fillId="0" borderId="76" xfId="0" applyNumberFormat="1" applyFont="1" applyBorder="1"/>
    <xf numFmtId="166" fontId="5" fillId="0" borderId="84" xfId="0" applyNumberFormat="1" applyFont="1" applyBorder="1" applyAlignment="1">
      <alignment horizontal="right"/>
    </xf>
    <xf numFmtId="0" fontId="5" fillId="4" borderId="48" xfId="0" applyFont="1" applyFill="1" applyBorder="1"/>
    <xf numFmtId="0" fontId="5" fillId="0" borderId="105" xfId="3" applyBorder="1" applyAlignment="1">
      <alignment horizontal="right"/>
    </xf>
    <xf numFmtId="3" fontId="5" fillId="0" borderId="62" xfId="3" applyNumberFormat="1" applyBorder="1"/>
    <xf numFmtId="0" fontId="5" fillId="0" borderId="57" xfId="3" applyBorder="1" applyAlignment="1">
      <alignment horizontal="right"/>
    </xf>
    <xf numFmtId="164" fontId="5" fillId="0" borderId="58" xfId="3" applyNumberFormat="1" applyBorder="1"/>
    <xf numFmtId="169" fontId="5" fillId="0" borderId="106" xfId="3" applyNumberFormat="1" applyFill="1" applyBorder="1"/>
    <xf numFmtId="168" fontId="5" fillId="0" borderId="107" xfId="3" applyNumberFormat="1" applyBorder="1"/>
    <xf numFmtId="168" fontId="5" fillId="0" borderId="57" xfId="3" applyNumberFormat="1" applyBorder="1"/>
    <xf numFmtId="171" fontId="0" fillId="0" borderId="105" xfId="0" applyNumberFormat="1" applyBorder="1"/>
    <xf numFmtId="2" fontId="0" fillId="0" borderId="59" xfId="0" applyNumberFormat="1" applyBorder="1"/>
    <xf numFmtId="0" fontId="0" fillId="0" borderId="81" xfId="0" applyBorder="1"/>
    <xf numFmtId="166" fontId="0" fillId="0" borderId="29" xfId="0" applyNumberFormat="1" applyFill="1" applyBorder="1"/>
    <xf numFmtId="166" fontId="0" fillId="0" borderId="82" xfId="0" applyNumberFormat="1" applyFill="1" applyBorder="1"/>
    <xf numFmtId="166" fontId="0" fillId="0" borderId="83" xfId="0" applyNumberFormat="1" applyFill="1" applyBorder="1"/>
    <xf numFmtId="166" fontId="0" fillId="0" borderId="72" xfId="0" applyNumberFormat="1" applyBorder="1"/>
    <xf numFmtId="164" fontId="0" fillId="0" borderId="88" xfId="0" applyNumberFormat="1" applyBorder="1"/>
    <xf numFmtId="166" fontId="0" fillId="0" borderId="87" xfId="0" applyNumberFormat="1" applyFill="1" applyBorder="1"/>
    <xf numFmtId="164" fontId="5" fillId="0" borderId="7" xfId="3" applyNumberFormat="1" applyFont="1" applyBorder="1"/>
    <xf numFmtId="0" fontId="16" fillId="0" borderId="4" xfId="0" applyFont="1" applyBorder="1"/>
    <xf numFmtId="0" fontId="16" fillId="0" borderId="29" xfId="0" applyFont="1" applyBorder="1"/>
    <xf numFmtId="3" fontId="15" fillId="0" borderId="5" xfId="0" applyNumberFormat="1" applyFont="1" applyBorder="1"/>
    <xf numFmtId="172" fontId="15" fillId="0" borderId="4" xfId="0" applyNumberFormat="1" applyFont="1" applyBorder="1"/>
    <xf numFmtId="172" fontId="15" fillId="0" borderId="29" xfId="0" applyNumberFormat="1" applyFont="1" applyBorder="1"/>
    <xf numFmtId="3" fontId="15" fillId="0" borderId="8" xfId="0" applyNumberFormat="1" applyFont="1" applyBorder="1"/>
    <xf numFmtId="169" fontId="15" fillId="0" borderId="82" xfId="0" applyNumberFormat="1" applyFont="1" applyFill="1" applyBorder="1"/>
    <xf numFmtId="169" fontId="15" fillId="0" borderId="26" xfId="0" applyNumberFormat="1" applyFont="1" applyBorder="1"/>
    <xf numFmtId="166" fontId="0" fillId="0" borderId="0" xfId="0" applyNumberFormat="1" applyBorder="1"/>
    <xf numFmtId="168" fontId="0" fillId="0" borderId="4" xfId="0" applyNumberFormat="1" applyBorder="1"/>
    <xf numFmtId="0" fontId="3" fillId="4" borderId="3" xfId="0" applyFont="1" applyFill="1" applyBorder="1"/>
    <xf numFmtId="0" fontId="5" fillId="4" borderId="9" xfId="0" applyFont="1" applyFill="1" applyBorder="1"/>
    <xf numFmtId="171" fontId="3" fillId="0" borderId="4" xfId="3" applyNumberFormat="1" applyFont="1" applyBorder="1"/>
    <xf numFmtId="168" fontId="3" fillId="0" borderId="15" xfId="0" applyNumberFormat="1" applyFont="1" applyBorder="1"/>
    <xf numFmtId="166" fontId="0" fillId="0" borderId="59" xfId="0" applyNumberFormat="1" applyBorder="1"/>
    <xf numFmtId="164" fontId="5" fillId="0" borderId="1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16" xfId="0" applyFont="1" applyBorder="1" applyAlignment="1"/>
    <xf numFmtId="168" fontId="0" fillId="0" borderId="107" xfId="0" applyNumberFormat="1" applyBorder="1"/>
    <xf numFmtId="169" fontId="5" fillId="0" borderId="13" xfId="0" applyNumberFormat="1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3" fillId="0" borderId="15" xfId="3" applyFont="1" applyBorder="1" applyAlignment="1">
      <alignment horizontal="left"/>
    </xf>
    <xf numFmtId="2" fontId="0" fillId="0" borderId="0" xfId="0" applyNumberFormat="1" applyFont="1" applyFill="1" applyBorder="1"/>
    <xf numFmtId="0" fontId="3" fillId="0" borderId="6" xfId="0" applyFont="1" applyBorder="1" applyAlignment="1">
      <alignment horizontal="right"/>
    </xf>
    <xf numFmtId="0" fontId="0" fillId="0" borderId="108" xfId="0" applyBorder="1"/>
    <xf numFmtId="0" fontId="0" fillId="0" borderId="109" xfId="0" applyBorder="1"/>
    <xf numFmtId="0" fontId="0" fillId="0" borderId="109" xfId="0" applyBorder="1" applyAlignment="1">
      <alignment horizontal="right"/>
    </xf>
    <xf numFmtId="164" fontId="0" fillId="0" borderId="109" xfId="0" applyNumberFormat="1" applyBorder="1"/>
    <xf numFmtId="3" fontId="0" fillId="0" borderId="109" xfId="0" applyNumberFormat="1" applyBorder="1"/>
    <xf numFmtId="169" fontId="3" fillId="0" borderId="109" xfId="0" applyNumberFormat="1" applyFont="1" applyFill="1" applyBorder="1"/>
    <xf numFmtId="169" fontId="0" fillId="0" borderId="109" xfId="0" applyNumberFormat="1" applyBorder="1"/>
    <xf numFmtId="169" fontId="3" fillId="0" borderId="109" xfId="0" applyNumberFormat="1" applyFont="1" applyBorder="1"/>
    <xf numFmtId="49" fontId="3" fillId="0" borderId="109" xfId="0" applyNumberFormat="1" applyFont="1" applyBorder="1" applyAlignment="1">
      <alignment horizontal="center"/>
    </xf>
    <xf numFmtId="170" fontId="0" fillId="0" borderId="109" xfId="0" applyNumberFormat="1" applyBorder="1"/>
    <xf numFmtId="168" fontId="0" fillId="0" borderId="109" xfId="0" applyNumberFormat="1" applyBorder="1"/>
    <xf numFmtId="171" fontId="0" fillId="0" borderId="109" xfId="0" applyNumberFormat="1" applyBorder="1"/>
    <xf numFmtId="172" fontId="0" fillId="0" borderId="110" xfId="0" applyNumberFormat="1" applyBorder="1"/>
    <xf numFmtId="0" fontId="5" fillId="2" borderId="109" xfId="0" applyFont="1" applyFill="1" applyBorder="1"/>
    <xf numFmtId="0" fontId="5" fillId="0" borderId="16" xfId="0" applyFont="1" applyBorder="1"/>
    <xf numFmtId="3" fontId="5" fillId="0" borderId="16" xfId="0" applyNumberFormat="1" applyFont="1" applyBorder="1" applyAlignment="1">
      <alignment horizontal="right"/>
    </xf>
    <xf numFmtId="0" fontId="5" fillId="0" borderId="34" xfId="0" applyFont="1" applyBorder="1" applyAlignment="1">
      <alignment horizontal="right"/>
    </xf>
    <xf numFmtId="164" fontId="5" fillId="0" borderId="18" xfId="0" applyNumberFormat="1" applyFont="1" applyBorder="1" applyAlignment="1">
      <alignment horizontal="right"/>
    </xf>
    <xf numFmtId="0" fontId="15" fillId="4" borderId="6" xfId="0" applyFont="1" applyFill="1" applyBorder="1"/>
    <xf numFmtId="169" fontId="0" fillId="0" borderId="16" xfId="0" applyNumberFormat="1" applyFill="1" applyBorder="1"/>
    <xf numFmtId="174" fontId="0" fillId="0" borderId="20" xfId="0" applyNumberFormat="1" applyBorder="1"/>
    <xf numFmtId="172" fontId="0" fillId="0" borderId="20" xfId="0" applyNumberFormat="1" applyBorder="1"/>
    <xf numFmtId="174" fontId="5" fillId="0" borderId="20" xfId="0" applyNumberFormat="1" applyFont="1" applyFill="1" applyBorder="1"/>
    <xf numFmtId="169" fontId="5" fillId="0" borderId="4" xfId="0" applyNumberFormat="1" applyFont="1" applyFill="1" applyBorder="1"/>
    <xf numFmtId="0" fontId="15" fillId="0" borderId="41" xfId="3" applyFont="1" applyBorder="1"/>
    <xf numFmtId="0" fontId="15" fillId="0" borderId="7" xfId="3" applyFont="1" applyBorder="1"/>
    <xf numFmtId="0" fontId="15" fillId="0" borderId="30" xfId="3" applyFont="1" applyBorder="1"/>
    <xf numFmtId="0" fontId="15" fillId="0" borderId="6" xfId="3" applyFont="1" applyFill="1" applyBorder="1"/>
    <xf numFmtId="0" fontId="15" fillId="0" borderId="7" xfId="3" applyFont="1" applyBorder="1" applyAlignment="1">
      <alignment horizontal="right"/>
    </xf>
    <xf numFmtId="3" fontId="15" fillId="0" borderId="7" xfId="3" applyNumberFormat="1" applyFont="1" applyBorder="1"/>
    <xf numFmtId="3" fontId="15" fillId="0" borderId="30" xfId="3" applyNumberFormat="1" applyFont="1" applyBorder="1"/>
    <xf numFmtId="0" fontId="15" fillId="0" borderId="21" xfId="3" applyFont="1" applyBorder="1" applyAlignment="1">
      <alignment horizontal="right"/>
    </xf>
    <xf numFmtId="164" fontId="15" fillId="0" borderId="8" xfId="3" applyNumberFormat="1" applyFont="1" applyBorder="1"/>
    <xf numFmtId="169" fontId="15" fillId="0" borderId="53" xfId="3" applyNumberFormat="1" applyFont="1" applyFill="1" applyBorder="1"/>
    <xf numFmtId="169" fontId="15" fillId="0" borderId="7" xfId="3" applyNumberFormat="1" applyFont="1" applyBorder="1"/>
    <xf numFmtId="169" fontId="15" fillId="0" borderId="30" xfId="3" applyNumberFormat="1" applyFont="1" applyBorder="1"/>
    <xf numFmtId="170" fontId="15" fillId="0" borderId="21" xfId="3" applyNumberFormat="1" applyFont="1" applyBorder="1"/>
    <xf numFmtId="168" fontId="15" fillId="0" borderId="21" xfId="3" applyNumberFormat="1" applyFont="1" applyBorder="1"/>
    <xf numFmtId="0" fontId="15" fillId="0" borderId="0" xfId="3" applyFont="1"/>
    <xf numFmtId="0" fontId="5" fillId="0" borderId="3" xfId="0" applyFont="1" applyBorder="1" applyAlignment="1">
      <alignment horizontal="center"/>
    </xf>
    <xf numFmtId="164" fontId="5" fillId="0" borderId="10" xfId="3" applyNumberFormat="1" applyFont="1" applyBorder="1"/>
    <xf numFmtId="0" fontId="0" fillId="0" borderId="71" xfId="0" applyFont="1" applyFill="1" applyBorder="1"/>
    <xf numFmtId="0" fontId="0" fillId="0" borderId="71" xfId="0" applyBorder="1"/>
    <xf numFmtId="172" fontId="0" fillId="0" borderId="11" xfId="0" applyNumberFormat="1" applyBorder="1"/>
    <xf numFmtId="165" fontId="15" fillId="0" borderId="16" xfId="0" applyNumberFormat="1" applyFont="1" applyBorder="1"/>
    <xf numFmtId="174" fontId="0" fillId="0" borderId="15" xfId="0" applyNumberFormat="1" applyFill="1" applyBorder="1"/>
    <xf numFmtId="174" fontId="0" fillId="0" borderId="16" xfId="0" applyNumberFormat="1" applyBorder="1"/>
    <xf numFmtId="169" fontId="0" fillId="0" borderId="47" xfId="0" applyNumberFormat="1" applyBorder="1"/>
    <xf numFmtId="0" fontId="5" fillId="2" borderId="16" xfId="0" applyFont="1" applyFill="1" applyBorder="1"/>
    <xf numFmtId="170" fontId="5" fillId="0" borderId="16" xfId="0" applyNumberFormat="1" applyFont="1" applyBorder="1" applyAlignment="1">
      <alignment horizontal="right"/>
    </xf>
    <xf numFmtId="166" fontId="0" fillId="0" borderId="33" xfId="0" applyNumberFormat="1" applyBorder="1"/>
    <xf numFmtId="169" fontId="3" fillId="0" borderId="28" xfId="0" applyNumberFormat="1" applyFont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2" xfId="0" applyNumberFormat="1" applyFont="1" applyBorder="1" applyAlignment="1">
      <alignment horizontal="center" vertical="center" wrapText="1"/>
    </xf>
    <xf numFmtId="171" fontId="3" fillId="0" borderId="2" xfId="0" applyNumberFormat="1" applyFont="1" applyBorder="1" applyAlignment="1">
      <alignment horizontal="center" vertical="center" wrapText="1"/>
    </xf>
    <xf numFmtId="169" fontId="3" fillId="0" borderId="89" xfId="0" applyNumberFormat="1" applyFont="1" applyBorder="1"/>
    <xf numFmtId="169" fontId="5" fillId="0" borderId="6" xfId="0" applyNumberFormat="1" applyFont="1" applyBorder="1" applyAlignment="1">
      <alignment horizontal="right"/>
    </xf>
    <xf numFmtId="169" fontId="0" fillId="0" borderId="12" xfId="0" applyNumberFormat="1" applyBorder="1"/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72" fontId="15" fillId="0" borderId="10" xfId="0" applyNumberFormat="1" applyFont="1" applyBorder="1"/>
    <xf numFmtId="170" fontId="5" fillId="0" borderId="6" xfId="3" applyNumberFormat="1" applyBorder="1"/>
    <xf numFmtId="170" fontId="5" fillId="0" borderId="9" xfId="3" applyNumberFormat="1" applyBorder="1"/>
    <xf numFmtId="3" fontId="0" fillId="0" borderId="94" xfId="0" applyNumberFormat="1" applyBorder="1"/>
    <xf numFmtId="173" fontId="0" fillId="0" borderId="13" xfId="0" applyNumberFormat="1" applyFill="1" applyBorder="1"/>
    <xf numFmtId="169" fontId="5" fillId="0" borderId="38" xfId="0" applyNumberFormat="1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9" fontId="15" fillId="0" borderId="10" xfId="3" applyNumberFormat="1" applyFont="1" applyBorder="1"/>
    <xf numFmtId="0" fontId="4" fillId="0" borderId="3" xfId="3" applyFont="1" applyFill="1" applyBorder="1"/>
    <xf numFmtId="174" fontId="5" fillId="0" borderId="53" xfId="3" applyNumberFormat="1" applyFill="1" applyBorder="1"/>
    <xf numFmtId="174" fontId="5" fillId="0" borderId="7" xfId="3" applyNumberFormat="1" applyFill="1" applyBorder="1"/>
    <xf numFmtId="174" fontId="5" fillId="0" borderId="54" xfId="3" applyNumberFormat="1" applyFill="1" applyBorder="1"/>
    <xf numFmtId="164" fontId="5" fillId="0" borderId="4" xfId="3" applyNumberFormat="1" applyFont="1" applyBorder="1" applyAlignment="1">
      <alignment horizontal="right" vertical="center"/>
    </xf>
    <xf numFmtId="169" fontId="5" fillId="0" borderId="29" xfId="3" applyNumberForma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5" fillId="0" borderId="5" xfId="3" applyNumberFormat="1" applyBorder="1" applyAlignment="1">
      <alignment horizontal="right"/>
    </xf>
    <xf numFmtId="164" fontId="5" fillId="0" borderId="29" xfId="3" applyNumberFormat="1" applyBorder="1" applyAlignment="1">
      <alignment horizontal="right"/>
    </xf>
    <xf numFmtId="0" fontId="5" fillId="0" borderId="7" xfId="0" applyFont="1" applyBorder="1" applyAlignment="1">
      <alignment horizontal="left" vertical="center"/>
    </xf>
    <xf numFmtId="173" fontId="0" fillId="0" borderId="21" xfId="0" applyNumberFormat="1" applyFill="1" applyBorder="1"/>
    <xf numFmtId="0" fontId="5" fillId="0" borderId="3" xfId="0" applyFont="1" applyBorder="1" applyAlignment="1">
      <alignment horizontal="left"/>
    </xf>
    <xf numFmtId="164" fontId="5" fillId="0" borderId="29" xfId="0" applyNumberFormat="1" applyFont="1" applyBorder="1" applyAlignment="1">
      <alignment horizontal="right"/>
    </xf>
    <xf numFmtId="164" fontId="5" fillId="0" borderId="30" xfId="0" applyNumberFormat="1" applyFont="1" applyBorder="1" applyAlignment="1">
      <alignment horizontal="right"/>
    </xf>
    <xf numFmtId="168" fontId="5" fillId="0" borderId="8" xfId="0" applyNumberFormat="1" applyFont="1" applyBorder="1"/>
    <xf numFmtId="3" fontId="5" fillId="0" borderId="10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9" fontId="5" fillId="0" borderId="35" xfId="0" applyNumberFormat="1" applyFont="1" applyBorder="1"/>
    <xf numFmtId="168" fontId="5" fillId="0" borderId="11" xfId="0" applyNumberFormat="1" applyFont="1" applyBorder="1"/>
    <xf numFmtId="0" fontId="0" fillId="0" borderId="48" xfId="0" applyBorder="1" applyAlignment="1">
      <alignment horizontal="left"/>
    </xf>
    <xf numFmtId="0" fontId="5" fillId="0" borderId="71" xfId="0" applyFont="1" applyBorder="1"/>
    <xf numFmtId="169" fontId="0" fillId="0" borderId="15" xfId="0" applyNumberFormat="1" applyFill="1" applyBorder="1"/>
    <xf numFmtId="169" fontId="0" fillId="0" borderId="17" xfId="0" applyNumberFormat="1" applyBorder="1"/>
    <xf numFmtId="0" fontId="3" fillId="0" borderId="23" xfId="0" applyFont="1" applyBorder="1" applyAlignment="1">
      <alignment horizontal="center" vertical="center"/>
    </xf>
    <xf numFmtId="164" fontId="3" fillId="0" borderId="17" xfId="0" applyNumberFormat="1" applyFont="1" applyBorder="1"/>
    <xf numFmtId="0" fontId="0" fillId="3" borderId="15" xfId="0" applyFill="1" applyBorder="1"/>
    <xf numFmtId="168" fontId="0" fillId="0" borderId="3" xfId="0" applyNumberFormat="1" applyBorder="1"/>
    <xf numFmtId="2" fontId="5" fillId="0" borderId="0" xfId="0" applyNumberFormat="1" applyFont="1" applyFill="1" applyBorder="1"/>
    <xf numFmtId="0" fontId="0" fillId="0" borderId="3" xfId="0" applyBorder="1" applyAlignment="1">
      <alignment horizontal="left"/>
    </xf>
    <xf numFmtId="1" fontId="0" fillId="0" borderId="10" xfId="0" applyNumberFormat="1" applyBorder="1"/>
    <xf numFmtId="0" fontId="3" fillId="0" borderId="9" xfId="0" applyFont="1" applyBorder="1" applyAlignment="1">
      <alignment horizontal="right"/>
    </xf>
    <xf numFmtId="169" fontId="0" fillId="0" borderId="4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3" borderId="9" xfId="0" applyFill="1" applyBorder="1"/>
    <xf numFmtId="0" fontId="5" fillId="3" borderId="12" xfId="0" applyFont="1" applyFill="1" applyBorder="1"/>
    <xf numFmtId="169" fontId="0" fillId="0" borderId="72" xfId="0" applyNumberFormat="1" applyBorder="1" applyAlignment="1">
      <alignment horizontal="right"/>
    </xf>
    <xf numFmtId="0" fontId="5" fillId="3" borderId="13" xfId="0" applyFont="1" applyFill="1" applyBorder="1"/>
    <xf numFmtId="174" fontId="0" fillId="0" borderId="13" xfId="0" applyNumberFormat="1" applyFill="1" applyBorder="1"/>
    <xf numFmtId="169" fontId="0" fillId="0" borderId="13" xfId="0" applyNumberFormat="1" applyBorder="1" applyAlignment="1">
      <alignment horizontal="right"/>
    </xf>
    <xf numFmtId="170" fontId="5" fillId="0" borderId="13" xfId="0" applyNumberFormat="1" applyFont="1" applyBorder="1" applyAlignment="1">
      <alignment horizontal="right"/>
    </xf>
    <xf numFmtId="176" fontId="0" fillId="0" borderId="32" xfId="0" applyNumberFormat="1" applyBorder="1"/>
    <xf numFmtId="3" fontId="0" fillId="0" borderId="89" xfId="0" applyNumberFormat="1" applyBorder="1" applyAlignment="1">
      <alignment horizontal="left"/>
    </xf>
    <xf numFmtId="171" fontId="3" fillId="0" borderId="91" xfId="0" applyNumberFormat="1" applyFont="1" applyBorder="1"/>
    <xf numFmtId="169" fontId="0" fillId="0" borderId="81" xfId="0" applyNumberFormat="1" applyBorder="1" applyAlignment="1">
      <alignment horizontal="left"/>
    </xf>
    <xf numFmtId="0" fontId="5" fillId="0" borderId="111" xfId="0" applyFont="1" applyBorder="1"/>
    <xf numFmtId="0" fontId="5" fillId="0" borderId="95" xfId="0" applyFont="1" applyBorder="1"/>
    <xf numFmtId="1" fontId="0" fillId="0" borderId="53" xfId="0" applyNumberFormat="1" applyFill="1" applyBorder="1"/>
    <xf numFmtId="1" fontId="0" fillId="0" borderId="21" xfId="0" applyNumberFormat="1" applyBorder="1"/>
    <xf numFmtId="1" fontId="0" fillId="0" borderId="54" xfId="0" applyNumberFormat="1" applyFill="1" applyBorder="1"/>
    <xf numFmtId="1" fontId="0" fillId="0" borderId="22" xfId="0" applyNumberFormat="1" applyBorder="1"/>
    <xf numFmtId="0" fontId="5" fillId="0" borderId="10" xfId="0" applyFont="1" applyBorder="1" applyAlignment="1">
      <alignment horizontal="left" vertical="center"/>
    </xf>
    <xf numFmtId="0" fontId="5" fillId="0" borderId="8" xfId="0" applyFont="1" applyBorder="1"/>
    <xf numFmtId="164" fontId="5" fillId="0" borderId="7" xfId="0" applyNumberFormat="1" applyFont="1" applyBorder="1"/>
    <xf numFmtId="169" fontId="5" fillId="0" borderId="7" xfId="0" applyNumberFormat="1" applyFont="1" applyFill="1" applyBorder="1"/>
    <xf numFmtId="169" fontId="5" fillId="0" borderId="26" xfId="0" applyNumberFormat="1" applyFont="1" applyBorder="1"/>
    <xf numFmtId="0" fontId="15" fillId="0" borderId="5" xfId="0" applyFont="1" applyBorder="1"/>
    <xf numFmtId="0" fontId="15" fillId="0" borderId="78" xfId="0" applyFont="1" applyBorder="1" applyAlignment="1">
      <alignment horizontal="right"/>
    </xf>
    <xf numFmtId="169" fontId="15" fillId="0" borderId="25" xfId="0" applyNumberFormat="1" applyFont="1" applyBorder="1" applyAlignment="1">
      <alignment horizontal="right"/>
    </xf>
    <xf numFmtId="0" fontId="5" fillId="0" borderId="23" xfId="0" applyFont="1" applyBorder="1" applyAlignment="1">
      <alignment horizontal="left" vertical="center"/>
    </xf>
    <xf numFmtId="174" fontId="0" fillId="0" borderId="22" xfId="0" applyNumberFormat="1" applyFill="1" applyBorder="1"/>
    <xf numFmtId="2" fontId="5" fillId="0" borderId="0" xfId="0" applyNumberFormat="1" applyFont="1" applyAlignment="1"/>
    <xf numFmtId="0" fontId="18" fillId="0" borderId="46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30" xfId="0" applyFont="1" applyBorder="1"/>
    <xf numFmtId="0" fontId="18" fillId="0" borderId="7" xfId="0" applyFont="1" applyBorder="1" applyAlignment="1">
      <alignment horizontal="left"/>
    </xf>
    <xf numFmtId="3" fontId="18" fillId="0" borderId="7" xfId="0" applyNumberFormat="1" applyFont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18" fillId="0" borderId="21" xfId="0" applyFont="1" applyBorder="1" applyAlignment="1">
      <alignment horizontal="right"/>
    </xf>
    <xf numFmtId="164" fontId="18" fillId="0" borderId="8" xfId="0" applyNumberFormat="1" applyFont="1" applyBorder="1" applyAlignment="1">
      <alignment horizontal="right"/>
    </xf>
    <xf numFmtId="174" fontId="18" fillId="0" borderId="6" xfId="0" applyNumberFormat="1" applyFont="1" applyFill="1" applyBorder="1"/>
    <xf numFmtId="174" fontId="18" fillId="0" borderId="7" xfId="0" applyNumberFormat="1" applyFont="1" applyBorder="1"/>
    <xf numFmtId="169" fontId="18" fillId="0" borderId="7" xfId="0" applyNumberFormat="1" applyFont="1" applyBorder="1"/>
    <xf numFmtId="169" fontId="18" fillId="0" borderId="46" xfId="0" applyNumberFormat="1" applyFont="1" applyBorder="1"/>
    <xf numFmtId="169" fontId="18" fillId="0" borderId="16" xfId="0" applyNumberFormat="1" applyFont="1" applyBorder="1"/>
    <xf numFmtId="169" fontId="18" fillId="0" borderId="30" xfId="0" applyNumberFormat="1" applyFont="1" applyBorder="1" applyAlignment="1">
      <alignment horizontal="right"/>
    </xf>
    <xf numFmtId="170" fontId="18" fillId="0" borderId="21" xfId="0" applyNumberFormat="1" applyFont="1" applyBorder="1" applyAlignment="1">
      <alignment horizontal="right"/>
    </xf>
    <xf numFmtId="168" fontId="18" fillId="0" borderId="30" xfId="0" applyNumberFormat="1" applyFont="1" applyBorder="1"/>
    <xf numFmtId="168" fontId="18" fillId="0" borderId="71" xfId="0" applyNumberFormat="1" applyFont="1" applyBorder="1"/>
    <xf numFmtId="168" fontId="18" fillId="0" borderId="21" xfId="0" applyNumberFormat="1" applyFont="1" applyBorder="1"/>
    <xf numFmtId="172" fontId="18" fillId="0" borderId="30" xfId="0" applyNumberFormat="1" applyFont="1" applyBorder="1"/>
    <xf numFmtId="166" fontId="18" fillId="0" borderId="82" xfId="0" applyNumberFormat="1" applyFont="1" applyBorder="1"/>
    <xf numFmtId="2" fontId="18" fillId="0" borderId="0" xfId="0" applyNumberFormat="1" applyFont="1"/>
    <xf numFmtId="0" fontId="18" fillId="0" borderId="0" xfId="0" applyFont="1"/>
    <xf numFmtId="0" fontId="0" fillId="0" borderId="112" xfId="0" applyBorder="1"/>
    <xf numFmtId="0" fontId="0" fillId="0" borderId="85" xfId="0" applyBorder="1"/>
    <xf numFmtId="0" fontId="5" fillId="0" borderId="105" xfId="0" applyFont="1" applyBorder="1"/>
    <xf numFmtId="0" fontId="5" fillId="0" borderId="85" xfId="0" applyFont="1" applyBorder="1"/>
    <xf numFmtId="0" fontId="5" fillId="0" borderId="57" xfId="0" applyFont="1" applyBorder="1" applyAlignment="1">
      <alignment horizontal="left" vertical="center"/>
    </xf>
    <xf numFmtId="3" fontId="0" fillId="0" borderId="105" xfId="0" applyNumberFormat="1" applyBorder="1"/>
    <xf numFmtId="3" fontId="0" fillId="0" borderId="62" xfId="0" applyNumberFormat="1" applyBorder="1"/>
    <xf numFmtId="169" fontId="0" fillId="0" borderId="105" xfId="0" applyNumberFormat="1" applyBorder="1"/>
    <xf numFmtId="169" fontId="0" fillId="0" borderId="105" xfId="0" applyNumberFormat="1" applyFill="1" applyBorder="1"/>
    <xf numFmtId="170" fontId="0" fillId="0" borderId="57" xfId="0" applyNumberFormat="1" applyBorder="1"/>
    <xf numFmtId="172" fontId="0" fillId="0" borderId="113" xfId="0" applyNumberFormat="1" applyBorder="1"/>
    <xf numFmtId="174" fontId="0" fillId="0" borderId="4" xfId="0" applyNumberFormat="1" applyBorder="1"/>
    <xf numFmtId="169" fontId="0" fillId="0" borderId="4" xfId="0" applyNumberFormat="1" applyFill="1" applyBorder="1"/>
    <xf numFmtId="3" fontId="5" fillId="0" borderId="4" xfId="0" applyNumberFormat="1" applyFont="1" applyBorder="1"/>
    <xf numFmtId="165" fontId="0" fillId="0" borderId="16" xfId="0" applyNumberFormat="1" applyBorder="1"/>
    <xf numFmtId="177" fontId="0" fillId="0" borderId="30" xfId="0" applyNumberFormat="1" applyBorder="1"/>
    <xf numFmtId="0" fontId="5" fillId="0" borderId="23" xfId="0" applyFont="1" applyBorder="1" applyAlignment="1">
      <alignment horizontal="right" vertical="center"/>
    </xf>
    <xf numFmtId="174" fontId="5" fillId="0" borderId="20" xfId="0" applyNumberFormat="1" applyFont="1" applyFill="1" applyBorder="1" applyAlignment="1">
      <alignment horizontal="center" vertical="center"/>
    </xf>
    <xf numFmtId="3" fontId="0" fillId="0" borderId="12" xfId="0" applyNumberFormat="1" applyBorder="1"/>
    <xf numFmtId="3" fontId="0" fillId="0" borderId="9" xfId="0" applyNumberFormat="1" applyBorder="1"/>
    <xf numFmtId="0" fontId="1" fillId="0" borderId="0" xfId="2" applyFill="1" applyBorder="1" applyAlignment="1" applyProtection="1"/>
    <xf numFmtId="164" fontId="0" fillId="0" borderId="31" xfId="0" applyNumberFormat="1" applyBorder="1"/>
    <xf numFmtId="169" fontId="5" fillId="0" borderId="7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29" xfId="0" applyNumberFormat="1" applyBorder="1"/>
    <xf numFmtId="172" fontId="0" fillId="0" borderId="78" xfId="0" applyNumberFormat="1" applyBorder="1"/>
    <xf numFmtId="0" fontId="5" fillId="0" borderId="0" xfId="0" applyFont="1" applyFill="1" applyBorder="1"/>
    <xf numFmtId="171" fontId="3" fillId="0" borderId="3" xfId="3" applyNumberFormat="1" applyFont="1" applyBorder="1"/>
    <xf numFmtId="171" fontId="3" fillId="0" borderId="72" xfId="3" applyNumberFormat="1" applyFont="1" applyBorder="1"/>
    <xf numFmtId="4" fontId="0" fillId="0" borderId="4" xfId="0" applyNumberFormat="1" applyBorder="1"/>
    <xf numFmtId="0" fontId="3" fillId="0" borderId="30" xfId="0" applyFont="1" applyBorder="1"/>
    <xf numFmtId="1" fontId="0" fillId="0" borderId="20" xfId="0" applyNumberFormat="1" applyBorder="1"/>
    <xf numFmtId="1" fontId="5" fillId="0" borderId="52" xfId="0" applyNumberFormat="1" applyFont="1" applyFill="1" applyBorder="1"/>
    <xf numFmtId="3" fontId="5" fillId="0" borderId="16" xfId="0" applyNumberFormat="1" applyFont="1" applyBorder="1" applyAlignment="1">
      <alignment horizontal="left"/>
    </xf>
    <xf numFmtId="0" fontId="4" fillId="4" borderId="3" xfId="0" applyFont="1" applyFill="1" applyBorder="1"/>
    <xf numFmtId="0" fontId="3" fillId="0" borderId="30" xfId="3" applyFont="1" applyBorder="1"/>
    <xf numFmtId="172" fontId="5" fillId="0" borderId="33" xfId="0" applyNumberFormat="1" applyFont="1" applyBorder="1"/>
    <xf numFmtId="0" fontId="15" fillId="0" borderId="41" xfId="0" applyFont="1" applyBorder="1"/>
    <xf numFmtId="0" fontId="15" fillId="0" borderId="23" xfId="0" applyFont="1" applyBorder="1" applyAlignment="1">
      <alignment horizontal="left" vertical="center"/>
    </xf>
    <xf numFmtId="165" fontId="15" fillId="0" borderId="105" xfId="0" applyNumberFormat="1" applyFont="1" applyBorder="1"/>
    <xf numFmtId="3" fontId="15" fillId="0" borderId="105" xfId="0" applyNumberFormat="1" applyFont="1" applyBorder="1"/>
    <xf numFmtId="172" fontId="15" fillId="0" borderId="22" xfId="0" applyNumberFormat="1" applyFont="1" applyFill="1" applyBorder="1"/>
    <xf numFmtId="168" fontId="15" fillId="0" borderId="10" xfId="0" applyNumberFormat="1" applyFont="1" applyBorder="1"/>
    <xf numFmtId="172" fontId="15" fillId="0" borderId="0" xfId="0" applyNumberFormat="1" applyFont="1" applyBorder="1"/>
    <xf numFmtId="171" fontId="15" fillId="0" borderId="16" xfId="0" applyNumberFormat="1" applyFont="1" applyBorder="1"/>
    <xf numFmtId="177" fontId="15" fillId="0" borderId="30" xfId="0" applyNumberFormat="1" applyFont="1" applyBorder="1"/>
    <xf numFmtId="166" fontId="15" fillId="0" borderId="0" xfId="0" applyNumberFormat="1" applyFont="1" applyBorder="1"/>
    <xf numFmtId="172" fontId="15" fillId="0" borderId="21" xfId="0" applyNumberFormat="1" applyFont="1" applyFill="1" applyBorder="1"/>
    <xf numFmtId="0" fontId="15" fillId="0" borderId="97" xfId="0" applyFont="1" applyBorder="1"/>
    <xf numFmtId="0" fontId="15" fillId="0" borderId="38" xfId="0" applyFont="1" applyBorder="1"/>
    <xf numFmtId="0" fontId="15" fillId="0" borderId="79" xfId="0" applyFont="1" applyBorder="1"/>
    <xf numFmtId="0" fontId="15" fillId="0" borderId="34" xfId="0" applyFont="1" applyBorder="1" applyAlignment="1">
      <alignment horizontal="left" vertical="center"/>
    </xf>
    <xf numFmtId="0" fontId="5" fillId="0" borderId="20" xfId="0" applyFont="1" applyBorder="1" applyAlignment="1">
      <alignment horizontal="right" vertical="center"/>
    </xf>
    <xf numFmtId="0" fontId="5" fillId="0" borderId="41" xfId="0" applyFont="1" applyBorder="1"/>
    <xf numFmtId="3" fontId="5" fillId="0" borderId="16" xfId="0" applyNumberFormat="1" applyFont="1" applyBorder="1"/>
    <xf numFmtId="164" fontId="5" fillId="0" borderId="18" xfId="0" applyNumberFormat="1" applyFont="1" applyBorder="1"/>
    <xf numFmtId="172" fontId="5" fillId="0" borderId="21" xfId="0" applyNumberFormat="1" applyFont="1" applyFill="1" applyBorder="1"/>
    <xf numFmtId="172" fontId="5" fillId="0" borderId="0" xfId="0" applyNumberFormat="1" applyFont="1" applyBorder="1"/>
    <xf numFmtId="171" fontId="5" fillId="0" borderId="16" xfId="0" applyNumberFormat="1" applyFont="1" applyBorder="1"/>
    <xf numFmtId="166" fontId="5" fillId="0" borderId="0" xfId="0" applyNumberFormat="1" applyFont="1" applyBorder="1"/>
    <xf numFmtId="175" fontId="0" fillId="0" borderId="16" xfId="0" applyNumberFormat="1" applyBorder="1"/>
    <xf numFmtId="170" fontId="15" fillId="0" borderId="57" xfId="0" applyNumberFormat="1" applyFont="1" applyBorder="1"/>
    <xf numFmtId="168" fontId="15" fillId="0" borderId="62" xfId="0" applyNumberFormat="1" applyFont="1" applyBorder="1"/>
    <xf numFmtId="172" fontId="15" fillId="0" borderId="113" xfId="0" applyNumberFormat="1" applyFont="1" applyBorder="1"/>
    <xf numFmtId="171" fontId="15" fillId="0" borderId="105" xfId="0" applyNumberFormat="1" applyFont="1" applyBorder="1"/>
    <xf numFmtId="177" fontId="15" fillId="0" borderId="31" xfId="0" applyNumberFormat="1" applyFont="1" applyBorder="1"/>
    <xf numFmtId="172" fontId="0" fillId="0" borderId="114" xfId="0" applyNumberFormat="1" applyBorder="1"/>
    <xf numFmtId="175" fontId="0" fillId="0" borderId="13" xfId="0" applyNumberFormat="1" applyBorder="1"/>
    <xf numFmtId="0" fontId="5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174" fontId="0" fillId="0" borderId="0" xfId="0" applyNumberFormat="1" applyFill="1" applyBorder="1"/>
    <xf numFmtId="174" fontId="0" fillId="0" borderId="0" xfId="0" applyNumberFormat="1" applyBorder="1"/>
    <xf numFmtId="169" fontId="5" fillId="0" borderId="0" xfId="0" applyNumberFormat="1" applyFont="1" applyBorder="1"/>
    <xf numFmtId="168" fontId="0" fillId="0" borderId="0" xfId="0" applyNumberFormat="1" applyBorder="1" applyAlignment="1">
      <alignment horizontal="right"/>
    </xf>
    <xf numFmtId="170" fontId="5" fillId="0" borderId="0" xfId="0" applyNumberFormat="1" applyFont="1" applyBorder="1" applyAlignment="1">
      <alignment horizontal="right"/>
    </xf>
    <xf numFmtId="174" fontId="0" fillId="0" borderId="12" xfId="0" applyNumberFormat="1" applyFill="1" applyBorder="1"/>
    <xf numFmtId="170" fontId="5" fillId="0" borderId="48" xfId="0" applyNumberFormat="1" applyFont="1" applyBorder="1" applyAlignment="1">
      <alignment horizontal="right"/>
    </xf>
    <xf numFmtId="0" fontId="5" fillId="4" borderId="12" xfId="0" applyFont="1" applyFill="1" applyBorder="1"/>
    <xf numFmtId="0" fontId="5" fillId="4" borderId="0" xfId="0" applyFont="1" applyFill="1" applyBorder="1"/>
    <xf numFmtId="169" fontId="0" fillId="0" borderId="98" xfId="0" applyNumberFormat="1" applyBorder="1"/>
    <xf numFmtId="168" fontId="0" fillId="0" borderId="115" xfId="0" applyNumberFormat="1" applyBorder="1"/>
    <xf numFmtId="172" fontId="0" fillId="0" borderId="99" xfId="0" applyNumberFormat="1" applyBorder="1"/>
    <xf numFmtId="0" fontId="5" fillId="0" borderId="71" xfId="0" applyFont="1" applyFill="1" applyBorder="1"/>
    <xf numFmtId="169" fontId="5" fillId="0" borderId="98" xfId="0" applyNumberFormat="1" applyFont="1" applyBorder="1"/>
    <xf numFmtId="168" fontId="0" fillId="0" borderId="46" xfId="0" applyNumberFormat="1" applyBorder="1"/>
    <xf numFmtId="0" fontId="5" fillId="0" borderId="16" xfId="0" applyFont="1" applyBorder="1" applyAlignment="1">
      <alignment horizontal="center"/>
    </xf>
    <xf numFmtId="170" fontId="3" fillId="0" borderId="4" xfId="0" applyNumberFormat="1" applyFont="1" applyBorder="1"/>
    <xf numFmtId="170" fontId="15" fillId="0" borderId="7" xfId="0" applyNumberFormat="1" applyFont="1" applyBorder="1"/>
    <xf numFmtId="170" fontId="15" fillId="0" borderId="13" xfId="0" applyNumberFormat="1" applyFont="1" applyBorder="1"/>
    <xf numFmtId="170" fontId="5" fillId="0" borderId="13" xfId="0" applyNumberFormat="1" applyFont="1" applyBorder="1"/>
    <xf numFmtId="170" fontId="5" fillId="0" borderId="7" xfId="0" applyNumberFormat="1" applyFont="1" applyBorder="1"/>
    <xf numFmtId="170" fontId="18" fillId="0" borderId="7" xfId="0" applyNumberFormat="1" applyFont="1" applyBorder="1"/>
    <xf numFmtId="170" fontId="5" fillId="0" borderId="10" xfId="0" applyNumberFormat="1" applyFont="1" applyBorder="1"/>
    <xf numFmtId="170" fontId="3" fillId="0" borderId="16" xfId="0" applyNumberFormat="1" applyFont="1" applyBorder="1"/>
    <xf numFmtId="170" fontId="16" fillId="0" borderId="4" xfId="0" applyNumberFormat="1" applyFont="1" applyBorder="1"/>
    <xf numFmtId="170" fontId="3" fillId="0" borderId="20" xfId="0" applyNumberFormat="1" applyFont="1" applyBorder="1"/>
    <xf numFmtId="170" fontId="15" fillId="0" borderId="10" xfId="0" applyNumberFormat="1" applyFont="1" applyBorder="1"/>
    <xf numFmtId="170" fontId="16" fillId="0" borderId="20" xfId="0" applyNumberFormat="1" applyFont="1" applyBorder="1"/>
    <xf numFmtId="170" fontId="0" fillId="0" borderId="4" xfId="0" applyNumberFormat="1" applyBorder="1"/>
    <xf numFmtId="174" fontId="15" fillId="0" borderId="21" xfId="0" applyNumberFormat="1" applyFont="1" applyFill="1" applyBorder="1"/>
    <xf numFmtId="174" fontId="15" fillId="0" borderId="13" xfId="0" applyNumberFormat="1" applyFont="1" applyBorder="1"/>
    <xf numFmtId="169" fontId="15" fillId="0" borderId="16" xfId="0" applyNumberFormat="1" applyFont="1" applyFill="1" applyBorder="1"/>
    <xf numFmtId="2" fontId="15" fillId="0" borderId="0" xfId="0" applyNumberFormat="1" applyFont="1" applyAlignment="1"/>
    <xf numFmtId="0" fontId="0" fillId="0" borderId="97" xfId="0" applyBorder="1"/>
    <xf numFmtId="0" fontId="5" fillId="0" borderId="38" xfId="0" applyFont="1" applyBorder="1"/>
    <xf numFmtId="0" fontId="5" fillId="0" borderId="97" xfId="0" applyFont="1" applyBorder="1"/>
    <xf numFmtId="0" fontId="5" fillId="0" borderId="34" xfId="0" applyFont="1" applyBorder="1" applyAlignment="1">
      <alignment horizontal="left" vertical="center"/>
    </xf>
    <xf numFmtId="3" fontId="0" fillId="0" borderId="38" xfId="0" applyNumberFormat="1" applyBorder="1"/>
    <xf numFmtId="3" fontId="0" fillId="0" borderId="79" xfId="0" applyNumberFormat="1" applyBorder="1"/>
    <xf numFmtId="174" fontId="0" fillId="0" borderId="34" xfId="0" applyNumberFormat="1" applyFill="1" applyBorder="1"/>
    <xf numFmtId="174" fontId="0" fillId="0" borderId="34" xfId="0" applyNumberFormat="1" applyBorder="1"/>
    <xf numFmtId="169" fontId="0" fillId="0" borderId="34" xfId="0" applyNumberFormat="1" applyBorder="1"/>
    <xf numFmtId="169" fontId="0" fillId="0" borderId="38" xfId="0" applyNumberFormat="1" applyBorder="1"/>
    <xf numFmtId="168" fontId="0" fillId="0" borderId="38" xfId="0" applyNumberFormat="1" applyBorder="1"/>
    <xf numFmtId="169" fontId="0" fillId="0" borderId="38" xfId="0" applyNumberFormat="1" applyFill="1" applyBorder="1"/>
    <xf numFmtId="169" fontId="0" fillId="0" borderId="79" xfId="0" applyNumberFormat="1" applyBorder="1"/>
    <xf numFmtId="170" fontId="0" fillId="0" borderId="34" xfId="0" applyNumberFormat="1" applyBorder="1"/>
    <xf numFmtId="168" fontId="0" fillId="0" borderId="79" xfId="0" applyNumberFormat="1" applyBorder="1"/>
    <xf numFmtId="168" fontId="0" fillId="0" borderId="116" xfId="0" applyNumberFormat="1" applyBorder="1"/>
    <xf numFmtId="172" fontId="0" fillId="0" borderId="79" xfId="0" applyNumberFormat="1" applyBorder="1"/>
    <xf numFmtId="0" fontId="5" fillId="0" borderId="34" xfId="0" applyFont="1" applyBorder="1" applyAlignment="1">
      <alignment horizontal="right" vertical="center"/>
    </xf>
    <xf numFmtId="0" fontId="5" fillId="0" borderId="98" xfId="0" applyFont="1" applyBorder="1"/>
    <xf numFmtId="0" fontId="0" fillId="0" borderId="99" xfId="0" applyBorder="1"/>
    <xf numFmtId="0" fontId="5" fillId="0" borderId="60" xfId="0" applyFont="1" applyBorder="1"/>
    <xf numFmtId="0" fontId="5" fillId="0" borderId="61" xfId="0" applyFont="1" applyBorder="1" applyAlignment="1">
      <alignment horizontal="right" vertical="center"/>
    </xf>
    <xf numFmtId="3" fontId="0" fillId="0" borderId="98" xfId="0" applyNumberFormat="1" applyBorder="1"/>
    <xf numFmtId="3" fontId="0" fillId="0" borderId="99" xfId="0" applyNumberFormat="1" applyBorder="1"/>
    <xf numFmtId="174" fontId="0" fillId="0" borderId="61" xfId="0" applyNumberFormat="1" applyFill="1" applyBorder="1"/>
    <xf numFmtId="174" fontId="0" fillId="0" borderId="61" xfId="0" applyNumberFormat="1" applyBorder="1"/>
    <xf numFmtId="169" fontId="0" fillId="0" borderId="61" xfId="0" applyNumberFormat="1" applyBorder="1"/>
    <xf numFmtId="168" fontId="0" fillId="0" borderId="98" xfId="0" applyNumberFormat="1" applyBorder="1"/>
    <xf numFmtId="169" fontId="0" fillId="0" borderId="98" xfId="0" applyNumberFormat="1" applyFill="1" applyBorder="1"/>
    <xf numFmtId="169" fontId="0" fillId="0" borderId="99" xfId="0" applyNumberFormat="1" applyBorder="1"/>
    <xf numFmtId="170" fontId="0" fillId="0" borderId="61" xfId="0" applyNumberFormat="1" applyBorder="1"/>
    <xf numFmtId="168" fontId="0" fillId="0" borderId="99" xfId="0" applyNumberFormat="1" applyBorder="1"/>
    <xf numFmtId="174" fontId="0" fillId="0" borderId="57" xfId="0" applyNumberFormat="1" applyFill="1" applyBorder="1"/>
    <xf numFmtId="174" fontId="0" fillId="0" borderId="57" xfId="0" applyNumberFormat="1" applyBorder="1"/>
    <xf numFmtId="168" fontId="0" fillId="0" borderId="105" xfId="0" applyNumberFormat="1" applyBorder="1"/>
    <xf numFmtId="169" fontId="5" fillId="0" borderId="105" xfId="0" applyNumberFormat="1" applyFont="1" applyBorder="1"/>
    <xf numFmtId="169" fontId="0" fillId="0" borderId="62" xfId="0" applyNumberFormat="1" applyBorder="1"/>
    <xf numFmtId="0" fontId="0" fillId="0" borderId="117" xfId="0" applyBorder="1"/>
    <xf numFmtId="166" fontId="0" fillId="0" borderId="115" xfId="0" applyNumberFormat="1" applyBorder="1"/>
    <xf numFmtId="166" fontId="0" fillId="0" borderId="116" xfId="0" applyNumberFormat="1" applyBorder="1"/>
    <xf numFmtId="0" fontId="0" fillId="0" borderId="118" xfId="0" applyBorder="1"/>
    <xf numFmtId="166" fontId="0" fillId="0" borderId="107" xfId="0" applyNumberFormat="1" applyBorder="1"/>
    <xf numFmtId="169" fontId="15" fillId="0" borderId="105" xfId="0" applyNumberFormat="1" applyFont="1" applyBorder="1"/>
    <xf numFmtId="168" fontId="5" fillId="0" borderId="14" xfId="0" applyNumberFormat="1" applyFont="1" applyBorder="1"/>
    <xf numFmtId="168" fontId="5" fillId="0" borderId="86" xfId="0" applyNumberFormat="1" applyFont="1" applyBorder="1"/>
    <xf numFmtId="174" fontId="0" fillId="0" borderId="8" xfId="0" applyNumberFormat="1" applyBorder="1"/>
    <xf numFmtId="174" fontId="0" fillId="0" borderId="11" xfId="0" applyNumberFormat="1" applyBorder="1"/>
    <xf numFmtId="164" fontId="0" fillId="0" borderId="30" xfId="0" applyNumberFormat="1" applyBorder="1"/>
    <xf numFmtId="0" fontId="5" fillId="0" borderId="21" xfId="0" applyFont="1" applyBorder="1" applyAlignment="1">
      <alignment horizontal="left" vertical="center"/>
    </xf>
    <xf numFmtId="165" fontId="0" fillId="0" borderId="7" xfId="0" applyNumberFormat="1" applyBorder="1"/>
    <xf numFmtId="172" fontId="0" fillId="0" borderId="48" xfId="0" applyNumberFormat="1" applyBorder="1"/>
    <xf numFmtId="177" fontId="0" fillId="0" borderId="32" xfId="0" applyNumberFormat="1" applyBorder="1"/>
    <xf numFmtId="175" fontId="5" fillId="0" borderId="16" xfId="0" applyNumberFormat="1" applyFont="1" applyBorder="1"/>
    <xf numFmtId="3" fontId="5" fillId="0" borderId="33" xfId="0" applyNumberFormat="1" applyFont="1" applyBorder="1"/>
    <xf numFmtId="177" fontId="5" fillId="0" borderId="30" xfId="0" applyNumberFormat="1" applyFont="1" applyBorder="1"/>
    <xf numFmtId="173" fontId="0" fillId="0" borderId="21" xfId="0" applyNumberFormat="1" applyBorder="1"/>
    <xf numFmtId="0" fontId="3" fillId="0" borderId="3" xfId="0" applyFont="1" applyBorder="1" applyAlignment="1">
      <alignment horizontal="center"/>
    </xf>
    <xf numFmtId="170" fontId="5" fillId="0" borderId="78" xfId="0" applyNumberFormat="1" applyFont="1" applyBorder="1" applyAlignment="1">
      <alignment horizontal="right"/>
    </xf>
    <xf numFmtId="168" fontId="0" fillId="0" borderId="78" xfId="0" applyNumberFormat="1" applyBorder="1"/>
    <xf numFmtId="0" fontId="3" fillId="0" borderId="7" xfId="0" applyFont="1" applyBorder="1"/>
    <xf numFmtId="170" fontId="5" fillId="0" borderId="46" xfId="0" applyNumberFormat="1" applyFont="1" applyBorder="1" applyAlignment="1">
      <alignment horizontal="right"/>
    </xf>
    <xf numFmtId="166" fontId="0" fillId="0" borderId="79" xfId="0" applyNumberFormat="1" applyBorder="1"/>
    <xf numFmtId="0" fontId="3" fillId="0" borderId="16" xfId="0" applyFont="1" applyBorder="1"/>
    <xf numFmtId="0" fontId="3" fillId="0" borderId="33" xfId="0" applyFont="1" applyBorder="1"/>
    <xf numFmtId="0" fontId="3" fillId="0" borderId="15" xfId="0" applyFont="1" applyBorder="1" applyAlignment="1">
      <alignment horizontal="center"/>
    </xf>
    <xf numFmtId="170" fontId="5" fillId="0" borderId="47" xfId="0" applyNumberFormat="1" applyFont="1" applyBorder="1" applyAlignment="1">
      <alignment horizontal="right"/>
    </xf>
    <xf numFmtId="168" fontId="0" fillId="0" borderId="47" xfId="0" applyNumberFormat="1" applyBorder="1"/>
    <xf numFmtId="166" fontId="0" fillId="0" borderId="81" xfId="0" applyNumberFormat="1" applyBorder="1"/>
    <xf numFmtId="174" fontId="0" fillId="0" borderId="4" xfId="0" applyNumberFormat="1" applyFill="1" applyBorder="1"/>
    <xf numFmtId="4" fontId="0" fillId="0" borderId="7" xfId="0" applyNumberFormat="1" applyBorder="1"/>
    <xf numFmtId="4" fontId="5" fillId="0" borderId="7" xfId="3" applyNumberFormat="1" applyBorder="1"/>
    <xf numFmtId="4" fontId="5" fillId="0" borderId="13" xfId="3" applyNumberFormat="1" applyBorder="1"/>
    <xf numFmtId="4" fontId="5" fillId="0" borderId="10" xfId="3" applyNumberFormat="1" applyBorder="1"/>
    <xf numFmtId="4" fontId="5" fillId="0" borderId="105" xfId="3" applyNumberFormat="1" applyBorder="1"/>
    <xf numFmtId="4" fontId="5" fillId="0" borderId="7" xfId="0" applyNumberFormat="1" applyFont="1" applyBorder="1"/>
    <xf numFmtId="4" fontId="5" fillId="0" borderId="10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6" xfId="0" applyNumberFormat="1" applyBorder="1" applyAlignment="1">
      <alignment horizontal="right"/>
    </xf>
    <xf numFmtId="165" fontId="5" fillId="0" borderId="7" xfId="3" applyNumberFormat="1" applyBorder="1"/>
    <xf numFmtId="165" fontId="5" fillId="0" borderId="105" xfId="3" applyNumberFormat="1" applyBorder="1"/>
    <xf numFmtId="169" fontId="5" fillId="0" borderId="4" xfId="3" applyNumberFormat="1" applyBorder="1" applyAlignment="1">
      <alignment horizontal="left"/>
    </xf>
    <xf numFmtId="174" fontId="5" fillId="0" borderId="3" xfId="0" applyNumberFormat="1" applyFont="1" applyFill="1" applyBorder="1"/>
    <xf numFmtId="0" fontId="5" fillId="0" borderId="6" xfId="0" applyFont="1" applyBorder="1" applyAlignment="1">
      <alignment horizontal="center" vertical="center"/>
    </xf>
    <xf numFmtId="164" fontId="5" fillId="0" borderId="30" xfId="0" applyNumberFormat="1" applyFont="1" applyBorder="1"/>
    <xf numFmtId="1" fontId="0" fillId="0" borderId="7" xfId="0" applyNumberFormat="1" applyBorder="1" applyAlignment="1">
      <alignment horizontal="right"/>
    </xf>
    <xf numFmtId="164" fontId="5" fillId="0" borderId="32" xfId="0" applyNumberFormat="1" applyFont="1" applyBorder="1" applyAlignment="1">
      <alignment horizontal="right"/>
    </xf>
    <xf numFmtId="2" fontId="0" fillId="0" borderId="0" xfId="0" quotePrefix="1" applyNumberFormat="1"/>
    <xf numFmtId="1" fontId="0" fillId="0" borderId="95" xfId="0" applyNumberFormat="1" applyBorder="1" applyAlignment="1">
      <alignment horizontal="right"/>
    </xf>
    <xf numFmtId="0" fontId="3" fillId="0" borderId="95" xfId="0" applyFont="1" applyBorder="1" applyAlignment="1">
      <alignment horizontal="center"/>
    </xf>
    <xf numFmtId="164" fontId="3" fillId="0" borderId="95" xfId="0" applyNumberFormat="1" applyFont="1" applyBorder="1" applyAlignment="1">
      <alignment horizontal="right"/>
    </xf>
    <xf numFmtId="169" fontId="5" fillId="0" borderId="95" xfId="0" applyNumberFormat="1" applyFont="1" applyBorder="1"/>
    <xf numFmtId="170" fontId="0" fillId="0" borderId="95" xfId="0" applyNumberFormat="1" applyBorder="1"/>
    <xf numFmtId="172" fontId="0" fillId="0" borderId="96" xfId="0" applyNumberFormat="1" applyBorder="1"/>
    <xf numFmtId="166" fontId="0" fillId="0" borderId="48" xfId="0" applyNumberFormat="1" applyBorder="1"/>
    <xf numFmtId="2" fontId="5" fillId="0" borderId="7" xfId="0" applyNumberFormat="1" applyFont="1" applyBorder="1"/>
    <xf numFmtId="2" fontId="5" fillId="0" borderId="6" xfId="0" applyNumberFormat="1" applyFont="1" applyBorder="1"/>
    <xf numFmtId="0" fontId="3" fillId="0" borderId="84" xfId="0" applyFont="1" applyBorder="1"/>
    <xf numFmtId="175" fontId="5" fillId="0" borderId="4" xfId="0" applyNumberFormat="1" applyFont="1" applyBorder="1" applyAlignment="1">
      <alignment horizontal="center"/>
    </xf>
    <xf numFmtId="170" fontId="5" fillId="0" borderId="52" xfId="0" applyNumberFormat="1" applyFont="1" applyBorder="1" applyAlignment="1">
      <alignment horizontal="left"/>
    </xf>
    <xf numFmtId="170" fontId="0" fillId="0" borderId="53" xfId="0" applyNumberFormat="1" applyBorder="1"/>
    <xf numFmtId="170" fontId="0" fillId="0" borderId="54" xfId="0" applyNumberFormat="1" applyBorder="1"/>
    <xf numFmtId="0" fontId="15" fillId="0" borderId="70" xfId="0" applyFont="1" applyBorder="1" applyAlignment="1">
      <alignment horizontal="left"/>
    </xf>
    <xf numFmtId="164" fontId="15" fillId="0" borderId="70" xfId="0" applyNumberFormat="1" applyFont="1" applyBorder="1" applyAlignment="1">
      <alignment horizontal="right"/>
    </xf>
    <xf numFmtId="0" fontId="15" fillId="0" borderId="76" xfId="0" applyFont="1" applyBorder="1" applyAlignment="1">
      <alignment horizontal="right"/>
    </xf>
    <xf numFmtId="164" fontId="15" fillId="0" borderId="76" xfId="0" applyNumberFormat="1" applyFont="1" applyBorder="1"/>
    <xf numFmtId="0" fontId="15" fillId="0" borderId="86" xfId="0" applyFont="1" applyBorder="1" applyAlignment="1">
      <alignment horizontal="right"/>
    </xf>
    <xf numFmtId="164" fontId="15" fillId="0" borderId="86" xfId="0" applyNumberFormat="1" applyFont="1" applyBorder="1"/>
    <xf numFmtId="173" fontId="15" fillId="0" borderId="12" xfId="0" applyNumberFormat="1" applyFont="1" applyFill="1" applyBorder="1"/>
    <xf numFmtId="0" fontId="0" fillId="0" borderId="70" xfId="0" applyBorder="1" applyAlignment="1">
      <alignment horizontal="right"/>
    </xf>
    <xf numFmtId="164" fontId="0" fillId="0" borderId="70" xfId="0" applyNumberFormat="1" applyBorder="1"/>
    <xf numFmtId="0" fontId="0" fillId="0" borderId="76" xfId="0" applyBorder="1" applyAlignment="1">
      <alignment horizontal="right"/>
    </xf>
    <xf numFmtId="164" fontId="0" fillId="0" borderId="76" xfId="0" applyNumberFormat="1" applyBorder="1"/>
    <xf numFmtId="0" fontId="0" fillId="0" borderId="70" xfId="0" applyBorder="1" applyAlignment="1">
      <alignment horizontal="left"/>
    </xf>
    <xf numFmtId="164" fontId="0" fillId="0" borderId="70" xfId="0" applyNumberFormat="1" applyBorder="1" applyAlignment="1">
      <alignment horizontal="right"/>
    </xf>
    <xf numFmtId="0" fontId="0" fillId="0" borderId="86" xfId="0" applyBorder="1" applyAlignment="1">
      <alignment horizontal="right"/>
    </xf>
    <xf numFmtId="164" fontId="0" fillId="0" borderId="86" xfId="0" applyNumberFormat="1" applyBorder="1"/>
    <xf numFmtId="3" fontId="5" fillId="0" borderId="30" xfId="0" applyNumberFormat="1" applyFont="1" applyBorder="1"/>
    <xf numFmtId="0" fontId="5" fillId="0" borderId="76" xfId="0" applyFont="1" applyBorder="1" applyAlignment="1">
      <alignment horizontal="right"/>
    </xf>
    <xf numFmtId="164" fontId="5" fillId="0" borderId="76" xfId="0" applyNumberFormat="1" applyFont="1" applyBorder="1"/>
    <xf numFmtId="173" fontId="5" fillId="0" borderId="6" xfId="0" applyNumberFormat="1" applyFont="1" applyFill="1" applyBorder="1"/>
    <xf numFmtId="0" fontId="15" fillId="0" borderId="70" xfId="0" applyFont="1" applyBorder="1" applyAlignment="1">
      <alignment horizontal="right"/>
    </xf>
    <xf numFmtId="172" fontId="0" fillId="0" borderId="6" xfId="0" applyNumberFormat="1" applyFill="1" applyBorder="1"/>
    <xf numFmtId="0" fontId="0" fillId="0" borderId="77" xfId="0" applyBorder="1" applyAlignment="1">
      <alignment horizontal="right"/>
    </xf>
    <xf numFmtId="164" fontId="0" fillId="0" borderId="77" xfId="0" applyNumberFormat="1" applyBorder="1"/>
    <xf numFmtId="172" fontId="0" fillId="0" borderId="9" xfId="0" applyNumberFormat="1" applyFill="1" applyBorder="1"/>
    <xf numFmtId="0" fontId="0" fillId="0" borderId="93" xfId="0" applyBorder="1" applyAlignment="1">
      <alignment horizontal="right"/>
    </xf>
    <xf numFmtId="164" fontId="0" fillId="0" borderId="93" xfId="0" applyNumberFormat="1" applyBorder="1"/>
    <xf numFmtId="0" fontId="0" fillId="0" borderId="119" xfId="0" applyBorder="1" applyAlignment="1">
      <alignment horizontal="right"/>
    </xf>
    <xf numFmtId="164" fontId="0" fillId="0" borderId="119" xfId="0" applyNumberFormat="1" applyBorder="1" applyAlignment="1">
      <alignment horizontal="right"/>
    </xf>
    <xf numFmtId="164" fontId="0" fillId="0" borderId="119" xfId="0" applyNumberFormat="1" applyBorder="1"/>
    <xf numFmtId="0" fontId="15" fillId="3" borderId="7" xfId="0" applyFont="1" applyFill="1" applyBorder="1"/>
    <xf numFmtId="174" fontId="15" fillId="0" borderId="7" xfId="0" applyNumberFormat="1" applyFont="1" applyFill="1" applyBorder="1"/>
    <xf numFmtId="170" fontId="15" fillId="0" borderId="7" xfId="0" applyNumberFormat="1" applyFont="1" applyBorder="1" applyAlignment="1">
      <alignment horizontal="right"/>
    </xf>
    <xf numFmtId="176" fontId="15" fillId="0" borderId="30" xfId="0" applyNumberFormat="1" applyFont="1" applyBorder="1"/>
    <xf numFmtId="172" fontId="15" fillId="0" borderId="71" xfId="0" applyNumberFormat="1" applyFont="1" applyBorder="1"/>
    <xf numFmtId="2" fontId="15" fillId="0" borderId="7" xfId="0" applyNumberFormat="1" applyFont="1" applyBorder="1"/>
    <xf numFmtId="0" fontId="15" fillId="2" borderId="7" xfId="0" applyFont="1" applyFill="1" applyBorder="1"/>
    <xf numFmtId="169" fontId="16" fillId="0" borderId="7" xfId="0" applyNumberFormat="1" applyFont="1" applyFill="1" applyBorder="1"/>
    <xf numFmtId="169" fontId="16" fillId="0" borderId="7" xfId="0" applyNumberFormat="1" applyFont="1" applyBorder="1"/>
    <xf numFmtId="49" fontId="16" fillId="0" borderId="7" xfId="0" applyNumberFormat="1" applyFont="1" applyBorder="1" applyAlignment="1">
      <alignment horizontal="center"/>
    </xf>
    <xf numFmtId="0" fontId="15" fillId="0" borderId="21" xfId="0" applyFont="1" applyBorder="1"/>
    <xf numFmtId="0" fontId="15" fillId="0" borderId="30" xfId="0" applyFont="1" applyFill="1" applyBorder="1" applyAlignment="1">
      <alignment horizontal="center"/>
    </xf>
    <xf numFmtId="2" fontId="1" fillId="0" borderId="0" xfId="2" applyNumberFormat="1" applyBorder="1" applyAlignment="1" applyProtection="1"/>
    <xf numFmtId="3" fontId="0" fillId="0" borderId="26" xfId="0" applyNumberFormat="1" applyBorder="1" applyAlignment="1">
      <alignment horizontal="right"/>
    </xf>
    <xf numFmtId="3" fontId="0" fillId="0" borderId="17" xfId="0" applyNumberFormat="1" applyBorder="1"/>
    <xf numFmtId="170" fontId="5" fillId="0" borderId="24" xfId="0" applyNumberFormat="1" applyFont="1" applyBorder="1" applyAlignment="1">
      <alignment horizontal="left"/>
    </xf>
    <xf numFmtId="168" fontId="3" fillId="0" borderId="24" xfId="0" applyNumberFormat="1" applyFont="1" applyBorder="1"/>
    <xf numFmtId="0" fontId="4" fillId="0" borderId="6" xfId="0" applyFont="1" applyBorder="1"/>
    <xf numFmtId="3" fontId="0" fillId="0" borderId="14" xfId="0" applyNumberFormat="1" applyBorder="1"/>
    <xf numFmtId="0" fontId="3" fillId="0" borderId="23" xfId="0" applyFont="1" applyBorder="1" applyAlignment="1">
      <alignment horizontal="center"/>
    </xf>
    <xf numFmtId="164" fontId="3" fillId="0" borderId="14" xfId="0" applyNumberFormat="1" applyFont="1" applyBorder="1"/>
    <xf numFmtId="168" fontId="5" fillId="0" borderId="6" xfId="0" applyNumberFormat="1" applyFont="1" applyBorder="1"/>
    <xf numFmtId="0" fontId="9" fillId="3" borderId="6" xfId="0" applyFont="1" applyFill="1" applyBorder="1"/>
    <xf numFmtId="168" fontId="3" fillId="0" borderId="6" xfId="0" applyNumberFormat="1" applyFont="1" applyBorder="1"/>
    <xf numFmtId="0" fontId="5" fillId="0" borderId="6" xfId="0" applyFont="1" applyBorder="1" applyAlignment="1">
      <alignment horizontal="left"/>
    </xf>
    <xf numFmtId="0" fontId="14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9" fontId="5" fillId="0" borderId="10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2" fontId="0" fillId="0" borderId="10" xfId="0" quotePrefix="1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" fontId="0" fillId="0" borderId="5" xfId="0" applyNumberFormat="1" applyBorder="1"/>
    <xf numFmtId="169" fontId="0" fillId="0" borderId="10" xfId="0" applyNumberFormat="1" applyBorder="1" applyAlignment="1">
      <alignment vertical="center"/>
    </xf>
    <xf numFmtId="0" fontId="14" fillId="0" borderId="9" xfId="0" applyFont="1" applyBorder="1" applyAlignment="1">
      <alignment horizontal="center"/>
    </xf>
    <xf numFmtId="164" fontId="0" fillId="0" borderId="31" xfId="0" applyNumberFormat="1" applyFont="1" applyBorder="1"/>
    <xf numFmtId="0" fontId="0" fillId="0" borderId="10" xfId="0" applyBorder="1" applyAlignment="1">
      <alignment horizontal="center" vertical="center"/>
    </xf>
    <xf numFmtId="0" fontId="19" fillId="0" borderId="0" xfId="0" applyFont="1" applyFill="1" applyBorder="1"/>
    <xf numFmtId="0" fontId="0" fillId="0" borderId="0" xfId="0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0" fillId="0" borderId="31" xfId="0" applyNumberFormat="1" applyBorder="1" applyAlignment="1">
      <alignment horizontal="right"/>
    </xf>
    <xf numFmtId="168" fontId="5" fillId="0" borderId="31" xfId="0" applyNumberFormat="1" applyFont="1" applyBorder="1"/>
    <xf numFmtId="0" fontId="5" fillId="0" borderId="10" xfId="0" applyFont="1" applyBorder="1" applyAlignment="1"/>
    <xf numFmtId="0" fontId="3" fillId="0" borderId="9" xfId="0" applyFont="1" applyBorder="1" applyAlignment="1">
      <alignment horizontal="left"/>
    </xf>
    <xf numFmtId="174" fontId="5" fillId="0" borderId="9" xfId="0" applyNumberFormat="1" applyFont="1" applyFill="1" applyBorder="1"/>
    <xf numFmtId="174" fontId="5" fillId="0" borderId="10" xfId="0" applyNumberFormat="1" applyFont="1" applyBorder="1"/>
    <xf numFmtId="1" fontId="5" fillId="0" borderId="10" xfId="0" applyNumberFormat="1" applyFont="1" applyBorder="1"/>
    <xf numFmtId="169" fontId="5" fillId="0" borderId="22" xfId="0" applyNumberFormat="1" applyFont="1" applyBorder="1"/>
    <xf numFmtId="169" fontId="5" fillId="0" borderId="31" xfId="0" applyNumberFormat="1" applyFont="1" applyBorder="1" applyAlignment="1">
      <alignment horizontal="right"/>
    </xf>
    <xf numFmtId="168" fontId="5" fillId="0" borderId="77" xfId="0" applyNumberFormat="1" applyFont="1" applyBorder="1"/>
    <xf numFmtId="172" fontId="5" fillId="0" borderId="11" xfId="0" applyNumberFormat="1" applyFont="1" applyBorder="1"/>
    <xf numFmtId="0" fontId="0" fillId="0" borderId="18" xfId="0" applyFill="1" applyBorder="1"/>
    <xf numFmtId="2" fontId="0" fillId="0" borderId="4" xfId="0" quotePrefix="1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73" fontId="0" fillId="0" borderId="22" xfId="0" applyNumberFormat="1" applyFill="1" applyBorder="1"/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3" applyFont="1" applyBorder="1" applyAlignment="1">
      <alignment horizontal="left"/>
    </xf>
    <xf numFmtId="169" fontId="5" fillId="0" borderId="22" xfId="3" applyNumberFormat="1" applyFill="1" applyBorder="1"/>
    <xf numFmtId="0" fontId="3" fillId="0" borderId="0" xfId="0" applyFont="1" applyAlignment="1">
      <alignment vertical="center"/>
    </xf>
    <xf numFmtId="2" fontId="5" fillId="0" borderId="10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3" fillId="0" borderId="0" xfId="0" applyFont="1"/>
    <xf numFmtId="168" fontId="3" fillId="0" borderId="81" xfId="0" applyNumberFormat="1" applyFont="1" applyBorder="1"/>
    <xf numFmtId="0" fontId="5" fillId="0" borderId="0" xfId="0" applyFont="1" applyFill="1" applyBorder="1" applyAlignment="1">
      <alignment horizontal="left" vertical="center"/>
    </xf>
    <xf numFmtId="164" fontId="5" fillId="0" borderId="31" xfId="0" applyNumberFormat="1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164" fontId="3" fillId="0" borderId="11" xfId="0" applyNumberFormat="1" applyFont="1" applyBorder="1"/>
    <xf numFmtId="0" fontId="5" fillId="0" borderId="9" xfId="0" applyFont="1" applyBorder="1" applyAlignment="1">
      <alignment horizontal="left"/>
    </xf>
    <xf numFmtId="0" fontId="0" fillId="0" borderId="78" xfId="0" applyBorder="1" applyAlignment="1">
      <alignment vertical="center"/>
    </xf>
    <xf numFmtId="0" fontId="0" fillId="0" borderId="46" xfId="0" applyBorder="1" applyAlignment="1">
      <alignment horizontal="left"/>
    </xf>
    <xf numFmtId="0" fontId="5" fillId="0" borderId="22" xfId="0" applyFont="1" applyBorder="1" applyAlignment="1">
      <alignment horizontal="center"/>
    </xf>
    <xf numFmtId="169" fontId="5" fillId="0" borderId="20" xfId="0" applyNumberFormat="1" applyFont="1" applyBorder="1" applyAlignment="1">
      <alignment horizontal="center"/>
    </xf>
    <xf numFmtId="169" fontId="5" fillId="0" borderId="4" xfId="3" applyNumberFormat="1" applyBorder="1" applyAlignment="1">
      <alignment horizontal="center"/>
    </xf>
    <xf numFmtId="0" fontId="3" fillId="0" borderId="31" xfId="3" applyFont="1" applyBorder="1"/>
    <xf numFmtId="0" fontId="15" fillId="0" borderId="16" xfId="0" applyFont="1" applyBorder="1" applyAlignment="1">
      <alignment horizontal="left"/>
    </xf>
    <xf numFmtId="3" fontId="15" fillId="0" borderId="17" xfId="0" applyNumberFormat="1" applyFont="1" applyBorder="1" applyAlignment="1">
      <alignment horizontal="right"/>
    </xf>
    <xf numFmtId="164" fontId="15" fillId="0" borderId="18" xfId="0" applyNumberFormat="1" applyFont="1" applyBorder="1" applyAlignment="1">
      <alignment horizontal="right"/>
    </xf>
    <xf numFmtId="174" fontId="15" fillId="0" borderId="15" xfId="0" applyNumberFormat="1" applyFont="1" applyFill="1" applyBorder="1"/>
    <xf numFmtId="174" fontId="15" fillId="0" borderId="16" xfId="0" applyNumberFormat="1" applyFont="1" applyBorder="1"/>
    <xf numFmtId="169" fontId="15" fillId="0" borderId="47" xfId="0" applyNumberFormat="1" applyFont="1" applyBorder="1"/>
    <xf numFmtId="170" fontId="15" fillId="0" borderId="23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 vertical="center"/>
    </xf>
    <xf numFmtId="1" fontId="0" fillId="0" borderId="16" xfId="0" applyNumberFormat="1" applyBorder="1"/>
    <xf numFmtId="166" fontId="0" fillId="0" borderId="84" xfId="0" applyNumberFormat="1" applyBorder="1"/>
    <xf numFmtId="166" fontId="5" fillId="0" borderId="33" xfId="0" applyNumberFormat="1" applyFont="1" applyBorder="1"/>
    <xf numFmtId="166" fontId="0" fillId="0" borderId="30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85" xfId="0" applyFont="1" applyBorder="1" applyAlignment="1">
      <alignment horizontal="center" vertical="center"/>
    </xf>
    <xf numFmtId="164" fontId="3" fillId="0" borderId="62" xfId="0" applyNumberFormat="1" applyFont="1" applyBorder="1"/>
    <xf numFmtId="0" fontId="8" fillId="0" borderId="6" xfId="0" applyFont="1" applyBorder="1" applyAlignment="1">
      <alignment horizontal="center"/>
    </xf>
    <xf numFmtId="174" fontId="0" fillId="0" borderId="21" xfId="0" applyNumberFormat="1" applyBorder="1"/>
    <xf numFmtId="172" fontId="0" fillId="0" borderId="46" xfId="0" applyNumberFormat="1" applyBorder="1"/>
    <xf numFmtId="0" fontId="5" fillId="0" borderId="22" xfId="0" applyFont="1" applyBorder="1" applyAlignment="1">
      <alignment horizontal="left" vertical="center"/>
    </xf>
    <xf numFmtId="174" fontId="0" fillId="0" borderId="22" xfId="0" applyNumberFormat="1" applyBorder="1"/>
    <xf numFmtId="172" fontId="0" fillId="0" borderId="35" xfId="0" applyNumberFormat="1" applyBorder="1"/>
    <xf numFmtId="164" fontId="11" fillId="0" borderId="31" xfId="0" applyNumberFormat="1" applyFont="1" applyBorder="1" applyAlignment="1">
      <alignment horizontal="right"/>
    </xf>
    <xf numFmtId="164" fontId="11" fillId="0" borderId="30" xfId="0" applyNumberFormat="1" applyFont="1" applyBorder="1" applyAlignment="1">
      <alignment horizontal="right"/>
    </xf>
    <xf numFmtId="164" fontId="11" fillId="0" borderId="31" xfId="0" applyNumberFormat="1" applyFont="1" applyBorder="1"/>
    <xf numFmtId="0" fontId="5" fillId="0" borderId="7" xfId="0" applyFont="1" applyBorder="1" applyAlignment="1"/>
    <xf numFmtId="166" fontId="0" fillId="0" borderId="84" xfId="0" applyNumberFormat="1" applyBorder="1" applyAlignment="1">
      <alignment horizontal="center" vertical="center"/>
    </xf>
    <xf numFmtId="166" fontId="5" fillId="0" borderId="82" xfId="0" applyNumberFormat="1" applyFont="1" applyBorder="1" applyAlignment="1">
      <alignment horizontal="right"/>
    </xf>
    <xf numFmtId="166" fontId="0" fillId="0" borderId="4" xfId="0" applyNumberFormat="1" applyBorder="1"/>
    <xf numFmtId="0" fontId="3" fillId="0" borderId="4" xfId="0" applyFont="1" applyBorder="1" applyAlignment="1">
      <alignment horizontal="center"/>
    </xf>
    <xf numFmtId="166" fontId="0" fillId="0" borderId="10" xfId="0" applyNumberFormat="1" applyBorder="1"/>
    <xf numFmtId="0" fontId="5" fillId="0" borderId="32" xfId="0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 applyAlignment="1">
      <alignment horizontal="left"/>
    </xf>
    <xf numFmtId="169" fontId="5" fillId="0" borderId="16" xfId="0" applyNumberFormat="1" applyFont="1" applyBorder="1" applyAlignment="1">
      <alignment horizontal="left"/>
    </xf>
    <xf numFmtId="169" fontId="5" fillId="0" borderId="16" xfId="0" applyNumberFormat="1" applyFont="1" applyBorder="1" applyAlignment="1">
      <alignment horizontal="center"/>
    </xf>
    <xf numFmtId="170" fontId="5" fillId="0" borderId="16" xfId="0" applyNumberFormat="1" applyFont="1" applyBorder="1" applyAlignment="1">
      <alignment horizontal="left"/>
    </xf>
    <xf numFmtId="0" fontId="0" fillId="0" borderId="33" xfId="0" applyBorder="1" applyAlignment="1">
      <alignment horizontal="center"/>
    </xf>
    <xf numFmtId="169" fontId="0" fillId="0" borderId="89" xfId="0" applyNumberFormat="1" applyBorder="1" applyAlignment="1">
      <alignment horizontal="left"/>
    </xf>
    <xf numFmtId="171" fontId="3" fillId="0" borderId="89" xfId="0" applyNumberFormat="1" applyFont="1" applyBorder="1"/>
    <xf numFmtId="0" fontId="0" fillId="0" borderId="111" xfId="0" applyBorder="1"/>
    <xf numFmtId="164" fontId="0" fillId="0" borderId="95" xfId="0" applyNumberFormat="1" applyBorder="1" applyAlignment="1">
      <alignment horizontal="right"/>
    </xf>
    <xf numFmtId="0" fontId="8" fillId="0" borderId="95" xfId="0" applyFont="1" applyBorder="1" applyAlignment="1">
      <alignment horizontal="center"/>
    </xf>
    <xf numFmtId="1" fontId="0" fillId="0" borderId="95" xfId="0" applyNumberFormat="1" applyBorder="1"/>
    <xf numFmtId="170" fontId="5" fillId="0" borderId="95" xfId="0" applyNumberFormat="1" applyFont="1" applyBorder="1" applyAlignment="1">
      <alignment horizontal="right"/>
    </xf>
    <xf numFmtId="171" fontId="0" fillId="0" borderId="95" xfId="0" applyNumberFormat="1" applyBorder="1"/>
    <xf numFmtId="172" fontId="0" fillId="0" borderId="95" xfId="0" applyNumberFormat="1" applyBorder="1"/>
    <xf numFmtId="169" fontId="0" fillId="0" borderId="120" xfId="0" applyNumberFormat="1" applyBorder="1" applyAlignment="1">
      <alignment horizontal="left"/>
    </xf>
    <xf numFmtId="166" fontId="0" fillId="0" borderId="121" xfId="0" applyNumberFormat="1" applyBorder="1" applyAlignment="1">
      <alignment horizontal="center" vertical="center"/>
    </xf>
    <xf numFmtId="166" fontId="0" fillId="0" borderId="90" xfId="0" applyNumberFormat="1" applyBorder="1"/>
    <xf numFmtId="166" fontId="5" fillId="0" borderId="6" xfId="0" applyNumberFormat="1" applyFont="1" applyBorder="1" applyAlignment="1">
      <alignment horizontal="left" vertical="center"/>
    </xf>
    <xf numFmtId="168" fontId="3" fillId="0" borderId="2" xfId="0" applyNumberFormat="1" applyFont="1" applyBorder="1" applyAlignment="1">
      <alignment horizontal="center" textRotation="90" wrapText="1"/>
    </xf>
    <xf numFmtId="168" fontId="3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textRotation="90" wrapText="1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1" fontId="0" fillId="0" borderId="4" xfId="0" applyNumberFormat="1" applyBorder="1"/>
    <xf numFmtId="1" fontId="0" fillId="0" borderId="10" xfId="0" quotePrefix="1" applyNumberForma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 vertical="center"/>
    </xf>
    <xf numFmtId="1" fontId="0" fillId="0" borderId="7" xfId="0" quotePrefix="1" applyNumberFormat="1" applyBorder="1" applyAlignment="1">
      <alignment horizontal="center" vertical="center"/>
    </xf>
    <xf numFmtId="1" fontId="5" fillId="0" borderId="10" xfId="0" quotePrefix="1" applyNumberFormat="1" applyFont="1" applyBorder="1" applyAlignment="1">
      <alignment horizontal="center" vertical="center"/>
    </xf>
    <xf numFmtId="170" fontId="0" fillId="0" borderId="11" xfId="0" applyNumberFormat="1" applyBorder="1"/>
    <xf numFmtId="172" fontId="0" fillId="0" borderId="77" xfId="0" applyNumberFormat="1" applyBorder="1"/>
    <xf numFmtId="2" fontId="5" fillId="0" borderId="10" xfId="0" quotePrefix="1" applyNumberFormat="1" applyFont="1" applyBorder="1" applyAlignment="1">
      <alignment horizontal="left" vertical="center"/>
    </xf>
    <xf numFmtId="169" fontId="12" fillId="0" borderId="46" xfId="0" applyNumberFormat="1" applyFont="1" applyBorder="1"/>
    <xf numFmtId="1" fontId="5" fillId="0" borderId="10" xfId="0" quotePrefix="1" applyNumberFormat="1" applyFont="1" applyBorder="1" applyAlignment="1">
      <alignment horizontal="left" vertical="center"/>
    </xf>
    <xf numFmtId="2" fontId="5" fillId="0" borderId="13" xfId="0" applyNumberFormat="1" applyFont="1" applyBorder="1" applyAlignment="1">
      <alignment horizontal="left" vertical="center"/>
    </xf>
    <xf numFmtId="0" fontId="1" fillId="0" borderId="0" xfId="2" applyAlignment="1" applyProtection="1">
      <alignment vertical="center"/>
    </xf>
    <xf numFmtId="0" fontId="13" fillId="0" borderId="0" xfId="2" applyFont="1" applyAlignment="1" applyProtection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166" fontId="0" fillId="0" borderId="2" xfId="0" applyNumberForma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textRotation="90" wrapText="1"/>
    </xf>
    <xf numFmtId="2" fontId="0" fillId="0" borderId="4" xfId="0" applyNumberFormat="1" applyBorder="1"/>
    <xf numFmtId="0" fontId="5" fillId="0" borderId="4" xfId="0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7" xfId="0" quotePrefix="1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10" xfId="0" applyNumberFormat="1" applyBorder="1"/>
    <xf numFmtId="166" fontId="0" fillId="0" borderId="0" xfId="0" applyNumberFormat="1"/>
    <xf numFmtId="166" fontId="5" fillId="0" borderId="2" xfId="0" applyNumberFormat="1" applyFont="1" applyBorder="1" applyAlignment="1">
      <alignment horizontal="center" vertical="center" textRotation="90" wrapText="1"/>
    </xf>
    <xf numFmtId="166" fontId="0" fillId="0" borderId="7" xfId="0" applyNumberFormat="1" applyBorder="1"/>
    <xf numFmtId="169" fontId="0" fillId="0" borderId="3" xfId="0" applyNumberFormat="1" applyBorder="1" applyAlignment="1">
      <alignment horizontal="right"/>
    </xf>
    <xf numFmtId="174" fontId="0" fillId="0" borderId="9" xfId="0" applyNumberFormat="1" applyBorder="1"/>
    <xf numFmtId="172" fontId="5" fillId="0" borderId="7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2" fontId="5" fillId="0" borderId="4" xfId="0" applyNumberFormat="1" applyFont="1" applyBorder="1"/>
    <xf numFmtId="166" fontId="15" fillId="0" borderId="7" xfId="0" applyNumberFormat="1" applyFont="1" applyBorder="1"/>
    <xf numFmtId="166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" fontId="15" fillId="0" borderId="7" xfId="0" quotePrefix="1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2" fontId="15" fillId="0" borderId="7" xfId="0" quotePrefix="1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4" fontId="16" fillId="0" borderId="30" xfId="0" applyNumberFormat="1" applyFont="1" applyBorder="1"/>
    <xf numFmtId="173" fontId="15" fillId="0" borderId="7" xfId="0" applyNumberFormat="1" applyFont="1" applyFill="1" applyBorder="1"/>
    <xf numFmtId="166" fontId="15" fillId="0" borderId="6" xfId="0" applyNumberFormat="1" applyFont="1" applyBorder="1" applyAlignment="1">
      <alignment horizontal="center" vertical="center"/>
    </xf>
    <xf numFmtId="0" fontId="15" fillId="0" borderId="85" xfId="0" applyFont="1" applyBorder="1" applyAlignment="1">
      <alignment horizontal="center"/>
    </xf>
    <xf numFmtId="0" fontId="15" fillId="0" borderId="105" xfId="0" applyFont="1" applyBorder="1" applyAlignment="1">
      <alignment horizontal="center"/>
    </xf>
    <xf numFmtId="0" fontId="15" fillId="0" borderId="62" xfId="0" applyFont="1" applyBorder="1"/>
    <xf numFmtId="0" fontId="15" fillId="2" borderId="85" xfId="0" applyFont="1" applyFill="1" applyBorder="1"/>
    <xf numFmtId="0" fontId="15" fillId="0" borderId="105" xfId="0" applyFont="1" applyBorder="1" applyAlignment="1">
      <alignment horizontal="right"/>
    </xf>
    <xf numFmtId="164" fontId="15" fillId="0" borderId="105" xfId="0" applyNumberFormat="1" applyFont="1" applyBorder="1"/>
    <xf numFmtId="3" fontId="15" fillId="0" borderId="58" xfId="0" applyNumberFormat="1" applyFont="1" applyBorder="1"/>
    <xf numFmtId="0" fontId="16" fillId="0" borderId="85" xfId="0" applyFont="1" applyBorder="1" applyAlignment="1">
      <alignment horizontal="center"/>
    </xf>
    <xf numFmtId="164" fontId="16" fillId="0" borderId="62" xfId="0" applyNumberFormat="1" applyFont="1" applyBorder="1"/>
    <xf numFmtId="173" fontId="15" fillId="0" borderId="85" xfId="0" applyNumberFormat="1" applyFont="1" applyFill="1" applyBorder="1"/>
    <xf numFmtId="173" fontId="15" fillId="0" borderId="105" xfId="0" applyNumberFormat="1" applyFont="1" applyFill="1" applyBorder="1"/>
    <xf numFmtId="169" fontId="15" fillId="0" borderId="62" xfId="0" applyNumberFormat="1" applyFont="1" applyBorder="1"/>
    <xf numFmtId="168" fontId="15" fillId="0" borderId="122" xfId="0" applyNumberFormat="1" applyFont="1" applyBorder="1"/>
    <xf numFmtId="168" fontId="15" fillId="0" borderId="85" xfId="0" applyNumberFormat="1" applyFont="1" applyBorder="1"/>
    <xf numFmtId="172" fontId="15" fillId="0" borderId="62" xfId="0" applyNumberFormat="1" applyFont="1" applyBorder="1"/>
    <xf numFmtId="166" fontId="15" fillId="0" borderId="85" xfId="0" applyNumberFormat="1" applyFont="1" applyBorder="1" applyAlignment="1">
      <alignment horizontal="center" vertical="center"/>
    </xf>
    <xf numFmtId="166" fontId="15" fillId="0" borderId="105" xfId="0" applyNumberFormat="1" applyFont="1" applyBorder="1" applyAlignment="1">
      <alignment horizontal="center" vertical="center"/>
    </xf>
    <xf numFmtId="2" fontId="15" fillId="0" borderId="105" xfId="0" applyNumberFormat="1" applyFont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/>
    </xf>
    <xf numFmtId="1" fontId="15" fillId="0" borderId="105" xfId="0" quotePrefix="1" applyNumberFormat="1" applyFont="1" applyBorder="1" applyAlignment="1">
      <alignment horizontal="center" vertical="center"/>
    </xf>
    <xf numFmtId="1" fontId="15" fillId="0" borderId="105" xfId="0" applyNumberFormat="1" applyFont="1" applyBorder="1" applyAlignment="1">
      <alignment horizontal="center" vertical="center"/>
    </xf>
    <xf numFmtId="2" fontId="15" fillId="0" borderId="105" xfId="0" quotePrefix="1" applyNumberFormat="1" applyFont="1" applyBorder="1" applyAlignment="1">
      <alignment horizontal="center" vertical="center"/>
    </xf>
    <xf numFmtId="0" fontId="15" fillId="0" borderId="105" xfId="0" applyFont="1" applyBorder="1" applyAlignment="1">
      <alignment horizontal="left" vertical="center"/>
    </xf>
    <xf numFmtId="0" fontId="15" fillId="0" borderId="62" xfId="0" applyFont="1" applyBorder="1" applyAlignment="1">
      <alignment horizontal="center" vertical="center"/>
    </xf>
    <xf numFmtId="0" fontId="0" fillId="0" borderId="91" xfId="0" applyBorder="1" applyAlignment="1">
      <alignment horizontal="center"/>
    </xf>
    <xf numFmtId="0" fontId="15" fillId="0" borderId="30" xfId="0" applyFont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2" fontId="0" fillId="0" borderId="53" xfId="0" applyNumberFormat="1" applyFill="1" applyBorder="1"/>
    <xf numFmtId="2" fontId="0" fillId="0" borderId="21" xfId="0" applyNumberFormat="1" applyBorder="1"/>
    <xf numFmtId="1" fontId="0" fillId="0" borderId="0" xfId="0" applyNumberFormat="1" applyBorder="1"/>
    <xf numFmtId="166" fontId="0" fillId="0" borderId="0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165" fontId="0" fillId="0" borderId="10" xfId="0" applyNumberFormat="1" applyBorder="1"/>
    <xf numFmtId="173" fontId="0" fillId="0" borderId="2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5" fillId="0" borderId="0" xfId="3" applyBorder="1" applyAlignment="1">
      <alignment horizontal="right"/>
    </xf>
    <xf numFmtId="0" fontId="4" fillId="0" borderId="15" xfId="3" applyFont="1" applyBorder="1"/>
    <xf numFmtId="3" fontId="5" fillId="0" borderId="16" xfId="3" applyNumberFormat="1" applyBorder="1" applyAlignment="1">
      <alignment horizontal="left"/>
    </xf>
    <xf numFmtId="169" fontId="5" fillId="0" borderId="23" xfId="3" applyNumberFormat="1" applyBorder="1"/>
    <xf numFmtId="168" fontId="5" fillId="0" borderId="33" xfId="3" applyNumberFormat="1" applyBorder="1"/>
    <xf numFmtId="171" fontId="3" fillId="0" borderId="23" xfId="3" applyNumberFormat="1" applyFont="1" applyBorder="1"/>
    <xf numFmtId="0" fontId="5" fillId="3" borderId="9" xfId="3" applyFill="1" applyBorder="1"/>
    <xf numFmtId="164" fontId="5" fillId="0" borderId="17" xfId="3" applyNumberFormat="1" applyBorder="1"/>
    <xf numFmtId="169" fontId="5" fillId="0" borderId="33" xfId="3" applyNumberFormat="1" applyBorder="1"/>
  </cellXfs>
  <cellStyles count="4">
    <cellStyle name="Currency 2" xfId="1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owdsupply.com/quicklogic/qomu" TargetMode="External"/><Relationship Id="rId3" Type="http://schemas.openxmlformats.org/officeDocument/2006/relationships/hyperlink" Target="http://tristesse.org/FPGA/CheapFPGADevelopmentBoards" TargetMode="External"/><Relationship Id="rId7" Type="http://schemas.openxmlformats.org/officeDocument/2006/relationships/hyperlink" Target="https://www.mouser.com/new/crowd-supply/quicklogic-quickfeather-dev-kit/" TargetMode="External"/><Relationship Id="rId2" Type="http://schemas.openxmlformats.org/officeDocument/2006/relationships/hyperlink" Target="http://www.xilinx.com/products/boards_kits/spartan6.htm" TargetMode="External"/><Relationship Id="rId1" Type="http://schemas.openxmlformats.org/officeDocument/2006/relationships/hyperlink" Target="http://nb3000.altium.com/intro.html" TargetMode="External"/><Relationship Id="rId6" Type="http://schemas.openxmlformats.org/officeDocument/2006/relationships/hyperlink" Target="http://www.opalkelly.com/product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knjn.com/FPGA-RS232.html" TargetMode="External"/><Relationship Id="rId10" Type="http://schemas.openxmlformats.org/officeDocument/2006/relationships/hyperlink" Target="https://maximator-fpga.org/" TargetMode="External"/><Relationship Id="rId4" Type="http://schemas.openxmlformats.org/officeDocument/2006/relationships/hyperlink" Target="http://www.easyfpga.com/index.htm" TargetMode="External"/><Relationship Id="rId9" Type="http://schemas.openxmlformats.org/officeDocument/2006/relationships/hyperlink" Target="https://www.sparkfun.com/products/1727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alinxalinx" TargetMode="External"/><Relationship Id="rId1" Type="http://schemas.openxmlformats.org/officeDocument/2006/relationships/hyperlink" Target="https://www.amazon.com/XILINX-Development-Spartan-XC6SLX9-AX309C/dp/B07DBNVSH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43318504573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pcbway.com/project/gifts_detail/iCE40_Feather.html" TargetMode="External"/><Relationship Id="rId1" Type="http://schemas.openxmlformats.org/officeDocument/2006/relationships/hyperlink" Target="https://www.sparkfun.com/products/17273" TargetMode="External"/><Relationship Id="rId6" Type="http://schemas.openxmlformats.org/officeDocument/2006/relationships/hyperlink" Target="https://www.joelw.id.au/FPGA/CheapFPGADevelopmentBoards" TargetMode="External"/><Relationship Id="rId5" Type="http://schemas.openxmlformats.org/officeDocument/2006/relationships/hyperlink" Target="https://www.micro-nova.com/mercury-baseboard" TargetMode="External"/><Relationship Id="rId4" Type="http://schemas.openxmlformats.org/officeDocument/2006/relationships/hyperlink" Target="https://www.pcbway.com/project/gifts_detail/iCE40_Feathe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04"/>
  <sheetViews>
    <sheetView topLeftCell="A2" zoomScaleNormal="100" workbookViewId="0">
      <pane ySplit="1" topLeftCell="A337" activePane="bottomLeft" state="frozenSplit"/>
      <selection activeCell="A2" sqref="A2"/>
      <selection pane="bottomLeft" activeCell="AI711" sqref="AI711"/>
    </sheetView>
  </sheetViews>
  <sheetFormatPr defaultRowHeight="12.75" x14ac:dyDescent="0.2"/>
  <cols>
    <col min="1" max="1" width="6.140625" customWidth="1"/>
    <col min="2" max="4" width="2.85546875" customWidth="1"/>
    <col min="5" max="5" width="13.5703125" customWidth="1"/>
    <col min="6" max="6" width="11.7109375" style="1" customWidth="1"/>
    <col min="7" max="7" width="6.5703125" style="4" customWidth="1"/>
    <col min="8" max="8" width="5.28515625" style="5" customWidth="1"/>
    <col min="9" max="9" width="5.5703125" style="5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6" style="58" customWidth="1"/>
    <col min="15" max="15" width="4.85546875" style="58" hidden="1" customWidth="1"/>
    <col min="16" max="16" width="3" style="58" customWidth="1"/>
    <col min="17" max="17" width="6" style="58" customWidth="1"/>
    <col min="18" max="18" width="3.140625" style="58" customWidth="1"/>
    <col min="19" max="19" width="4.140625" style="58" customWidth="1"/>
    <col min="20" max="20" width="5.7109375" style="58" customWidth="1"/>
    <col min="21" max="21" width="6.5703125" style="58" customWidth="1"/>
    <col min="22" max="22" width="6.85546875" style="58" customWidth="1"/>
    <col min="23" max="23" width="5.7109375" style="58" customWidth="1"/>
    <col min="24" max="24" width="7.5703125" style="58" customWidth="1"/>
    <col min="25" max="25" width="7.28515625" style="78" customWidth="1"/>
    <col min="26" max="27" width="5.85546875" style="52" customWidth="1"/>
    <col min="28" max="28" width="5.140625" style="52" hidden="1" customWidth="1"/>
    <col min="29" max="29" width="5.140625" style="96" customWidth="1"/>
    <col min="30" max="30" width="7.85546875" style="58" customWidth="1"/>
    <col min="31" max="31" width="5.42578125" customWidth="1"/>
    <col min="32" max="32" width="5.7109375" customWidth="1"/>
    <col min="33" max="33" width="31.5703125" style="6" customWidth="1"/>
    <col min="35" max="35" width="9.5703125" bestFit="1" customWidth="1"/>
  </cols>
  <sheetData>
    <row r="1" spans="1:33" ht="34.9" customHeight="1" thickBot="1" x14ac:dyDescent="0.35">
      <c r="G1" s="2" t="s">
        <v>1464</v>
      </c>
      <c r="H1" s="121"/>
      <c r="I1" s="121"/>
      <c r="J1" s="3"/>
    </row>
    <row r="2" spans="1:33" s="1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7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243" t="s">
        <v>990</v>
      </c>
      <c r="M2" s="59" t="s">
        <v>991</v>
      </c>
      <c r="N2" s="59" t="s">
        <v>824</v>
      </c>
      <c r="O2" s="59" t="s">
        <v>7</v>
      </c>
      <c r="P2" s="59" t="s">
        <v>8</v>
      </c>
      <c r="Q2" s="59" t="s">
        <v>9</v>
      </c>
      <c r="R2" s="59" t="s">
        <v>435</v>
      </c>
      <c r="S2" s="59" t="s">
        <v>10</v>
      </c>
      <c r="T2" s="59" t="s">
        <v>11</v>
      </c>
      <c r="U2" s="59" t="s">
        <v>12</v>
      </c>
      <c r="V2" s="59" t="s">
        <v>13</v>
      </c>
      <c r="W2" s="59" t="s">
        <v>14</v>
      </c>
      <c r="X2" s="59" t="s">
        <v>15</v>
      </c>
      <c r="Y2" s="79" t="s">
        <v>16</v>
      </c>
      <c r="Z2" s="90" t="s">
        <v>17</v>
      </c>
      <c r="AA2" s="369" t="s">
        <v>822</v>
      </c>
      <c r="AB2" s="91" t="s">
        <v>18</v>
      </c>
      <c r="AC2" s="97" t="s">
        <v>19</v>
      </c>
      <c r="AD2" s="108" t="s">
        <v>315</v>
      </c>
      <c r="AE2" s="7" t="s">
        <v>652</v>
      </c>
      <c r="AF2" s="8" t="s">
        <v>651</v>
      </c>
      <c r="AG2" s="11"/>
    </row>
    <row r="3" spans="1:33" ht="4.5" customHeight="1" thickBot="1" x14ac:dyDescent="0.25"/>
    <row r="4" spans="1:33" ht="12.75" hidden="1" customHeight="1" x14ac:dyDescent="0.2">
      <c r="B4" s="48" t="s">
        <v>726</v>
      </c>
      <c r="C4" s="272"/>
      <c r="D4" s="273"/>
      <c r="E4" s="12" t="s">
        <v>727</v>
      </c>
      <c r="F4" s="15" t="s">
        <v>1012</v>
      </c>
      <c r="G4" s="49"/>
      <c r="H4" s="132" t="s">
        <v>531</v>
      </c>
      <c r="I4" s="165"/>
      <c r="L4" s="244" t="s">
        <v>23</v>
      </c>
      <c r="M4" s="61"/>
      <c r="N4" s="61"/>
      <c r="O4" s="61"/>
      <c r="P4" s="61"/>
      <c r="Q4" s="61" t="s">
        <v>733</v>
      </c>
      <c r="R4" s="61"/>
      <c r="S4" s="61" t="s">
        <v>103</v>
      </c>
      <c r="T4" s="61"/>
      <c r="U4" s="61" t="s">
        <v>730</v>
      </c>
      <c r="V4" s="61" t="s">
        <v>206</v>
      </c>
      <c r="W4" s="61" t="s">
        <v>634</v>
      </c>
      <c r="X4" s="113"/>
      <c r="Y4" s="259"/>
      <c r="Z4" s="164"/>
      <c r="AA4" s="370">
        <f>AVERAGE(AA5:AA6)</f>
        <v>1680</v>
      </c>
      <c r="AB4" s="210">
        <f>AVERAGE(AB5:AB6)</f>
        <v>0.38400000000000001</v>
      </c>
      <c r="AC4" s="98">
        <f>AVERAGE(AC5:AC6)</f>
        <v>0.56632653061224492</v>
      </c>
      <c r="AD4" s="109" t="s">
        <v>650</v>
      </c>
      <c r="AG4" t="s">
        <v>734</v>
      </c>
    </row>
    <row r="5" spans="1:33" ht="12.75" hidden="1" customHeight="1" x14ac:dyDescent="0.2">
      <c r="B5" s="17"/>
      <c r="C5" s="227"/>
      <c r="D5" s="213"/>
      <c r="E5" s="17" t="s">
        <v>728</v>
      </c>
      <c r="F5" s="18" t="s">
        <v>738</v>
      </c>
      <c r="G5" s="19"/>
      <c r="H5" s="124">
        <v>45</v>
      </c>
      <c r="I5" s="162">
        <v>1200</v>
      </c>
      <c r="L5" s="451">
        <v>752.64</v>
      </c>
      <c r="M5" s="452">
        <v>752.64</v>
      </c>
      <c r="N5" s="65" t="str">
        <f>IF(AND(G5&lt;&gt;"",M5&lt;&gt;""),M5/G5,"")</f>
        <v/>
      </c>
      <c r="O5" s="65"/>
      <c r="P5" s="65"/>
      <c r="Q5" s="65">
        <v>448</v>
      </c>
      <c r="R5" s="65">
        <v>40</v>
      </c>
      <c r="S5" s="65">
        <v>8</v>
      </c>
      <c r="T5" s="65">
        <v>1200</v>
      </c>
      <c r="U5" s="65">
        <v>5880</v>
      </c>
      <c r="V5" s="65">
        <v>1960</v>
      </c>
      <c r="W5" s="65" t="s">
        <v>731</v>
      </c>
      <c r="X5" s="110"/>
      <c r="Y5" s="216"/>
      <c r="Z5" s="141"/>
      <c r="AA5" s="371">
        <f>1000*L5/Q5</f>
        <v>1680</v>
      </c>
      <c r="AB5" s="211">
        <f>L5/V5</f>
        <v>0.38400000000000001</v>
      </c>
      <c r="AC5" s="99">
        <f>T5/V5</f>
        <v>0.61224489795918369</v>
      </c>
      <c r="AD5" s="191">
        <f>(U5*64*9+V5*36*512)/1000000</f>
        <v>39.513599999999997</v>
      </c>
      <c r="AG5" s="6" t="s">
        <v>736</v>
      </c>
    </row>
    <row r="6" spans="1:33" ht="12.75" hidden="1" customHeight="1" thickBot="1" x14ac:dyDescent="0.25">
      <c r="B6" s="21"/>
      <c r="C6" s="228"/>
      <c r="D6" s="214"/>
      <c r="E6" s="21" t="s">
        <v>729</v>
      </c>
      <c r="F6" s="18" t="s">
        <v>738</v>
      </c>
      <c r="G6" s="23"/>
      <c r="H6" s="125">
        <v>45</v>
      </c>
      <c r="I6" s="163">
        <v>1020</v>
      </c>
      <c r="L6" s="453">
        <v>752.64</v>
      </c>
      <c r="M6" s="454">
        <v>752.64</v>
      </c>
      <c r="N6" s="65" t="str">
        <f>IF(AND(G6&lt;&gt;"",M6&lt;&gt;""),M6/G6,"")</f>
        <v/>
      </c>
      <c r="O6" s="68"/>
      <c r="P6" s="68"/>
      <c r="Q6" s="68">
        <v>448</v>
      </c>
      <c r="R6" s="68">
        <v>40</v>
      </c>
      <c r="S6" s="68">
        <v>32</v>
      </c>
      <c r="T6" s="68">
        <v>1020</v>
      </c>
      <c r="U6" s="68">
        <v>5880</v>
      </c>
      <c r="V6" s="68">
        <v>1960</v>
      </c>
      <c r="W6" s="68" t="s">
        <v>732</v>
      </c>
      <c r="X6" s="111"/>
      <c r="Y6" s="217"/>
      <c r="Z6" s="142"/>
      <c r="AA6" s="371">
        <f>1000*L6/Q6</f>
        <v>1680</v>
      </c>
      <c r="AB6" s="202">
        <f>L6/V6</f>
        <v>0.38400000000000001</v>
      </c>
      <c r="AC6" s="100">
        <f>T6/V6</f>
        <v>0.52040816326530615</v>
      </c>
      <c r="AD6" s="192">
        <f>(U6*64*9+V6*36*512)/1000000</f>
        <v>39.513599999999997</v>
      </c>
      <c r="AG6" s="6" t="s">
        <v>735</v>
      </c>
    </row>
    <row r="7" spans="1:33" s="751" customFormat="1" x14ac:dyDescent="0.2">
      <c r="A7" s="769"/>
      <c r="B7" s="770" t="s">
        <v>629</v>
      </c>
      <c r="C7" s="771"/>
      <c r="D7" s="772"/>
      <c r="E7" s="773" t="s">
        <v>1100</v>
      </c>
      <c r="F7" s="774" t="s">
        <v>1099</v>
      </c>
      <c r="G7" s="775" t="s">
        <v>22</v>
      </c>
      <c r="H7" s="776" t="s">
        <v>531</v>
      </c>
      <c r="I7" s="876"/>
      <c r="J7" s="1571"/>
      <c r="K7" s="1572" t="s">
        <v>22</v>
      </c>
      <c r="L7" s="813" t="s">
        <v>23</v>
      </c>
      <c r="M7" s="779" t="s">
        <v>623</v>
      </c>
      <c r="N7" s="779"/>
      <c r="O7" s="780" t="s">
        <v>630</v>
      </c>
      <c r="P7" s="780"/>
      <c r="Q7" s="780"/>
      <c r="R7" s="780"/>
      <c r="S7" s="780" t="s">
        <v>628</v>
      </c>
      <c r="T7" s="780"/>
      <c r="U7" s="780" t="s">
        <v>631</v>
      </c>
      <c r="V7" s="781" t="s">
        <v>206</v>
      </c>
      <c r="W7" s="780"/>
      <c r="X7" s="782" t="s">
        <v>207</v>
      </c>
      <c r="Y7" s="783" t="s">
        <v>65</v>
      </c>
      <c r="Z7" s="784"/>
      <c r="AA7" s="785">
        <f>AVERAGE(AA8:AA11)</f>
        <v>479.50837037037036</v>
      </c>
      <c r="AB7" s="786">
        <f>AVERAGE(AB8:AB11)</f>
        <v>0.23489033130599496</v>
      </c>
      <c r="AC7" s="1463">
        <f>AVERAGE(AC8:AC11)</f>
        <v>4.2240870613253545</v>
      </c>
      <c r="AD7" s="782" t="s">
        <v>650</v>
      </c>
      <c r="AG7" s="788" t="s">
        <v>706</v>
      </c>
    </row>
    <row r="8" spans="1:33" s="751" customFormat="1" x14ac:dyDescent="0.2">
      <c r="A8" s="769"/>
      <c r="B8" s="573"/>
      <c r="C8" s="574"/>
      <c r="D8" s="554"/>
      <c r="E8" s="789" t="s">
        <v>619</v>
      </c>
      <c r="F8" s="790"/>
      <c r="G8" s="791"/>
      <c r="H8" s="792"/>
      <c r="I8" s="877"/>
      <c r="J8" s="1573" t="s">
        <v>67</v>
      </c>
      <c r="K8" s="1574">
        <v>11.9</v>
      </c>
      <c r="L8" s="817">
        <v>2.4575999999999998</v>
      </c>
      <c r="M8" s="794" t="s">
        <v>624</v>
      </c>
      <c r="N8" s="564" t="str">
        <f>IF(AND(G8&lt;&gt;"",M8&lt;&gt;""),M8/G8,"")</f>
        <v/>
      </c>
      <c r="O8" s="564" t="str">
        <f>IF(AND(G8&lt;&gt;"",L8&lt;&gt;""),L8/G8,"")</f>
        <v/>
      </c>
      <c r="P8" s="564"/>
      <c r="Q8" s="564">
        <v>50</v>
      </c>
      <c r="R8" s="564">
        <v>8</v>
      </c>
      <c r="S8" s="564">
        <v>8</v>
      </c>
      <c r="T8" s="564">
        <v>488</v>
      </c>
      <c r="U8" s="564"/>
      <c r="V8" s="564">
        <v>66</v>
      </c>
      <c r="W8" s="564"/>
      <c r="X8" s="566">
        <f>L8/8</f>
        <v>0.30719999999999997</v>
      </c>
      <c r="Y8" s="795">
        <v>200</v>
      </c>
      <c r="Z8" s="568">
        <f>IF(AND(L8&lt;&gt;"",Y8&lt;&gt;""),L8/Y8,"")</f>
        <v>1.2287999999999999E-2</v>
      </c>
      <c r="AA8" s="601">
        <f>1000*L8/Q8</f>
        <v>49.152000000000001</v>
      </c>
      <c r="AB8" s="602">
        <f>L8/V8</f>
        <v>3.723636363636363E-2</v>
      </c>
      <c r="AC8" s="1453">
        <f>T8/V8</f>
        <v>7.3939393939393936</v>
      </c>
      <c r="AD8" s="572">
        <f>V8*512*36/100000</f>
        <v>12.16512</v>
      </c>
      <c r="AG8" s="796" t="s">
        <v>707</v>
      </c>
    </row>
    <row r="9" spans="1:33" s="751" customFormat="1" x14ac:dyDescent="0.2">
      <c r="A9" s="769"/>
      <c r="B9" s="573"/>
      <c r="C9" s="574"/>
      <c r="D9" s="554"/>
      <c r="E9" s="789" t="s">
        <v>620</v>
      </c>
      <c r="F9" s="790" t="s">
        <v>632</v>
      </c>
      <c r="G9" s="791"/>
      <c r="H9" s="792"/>
      <c r="I9" s="877"/>
      <c r="J9" s="1573" t="s">
        <v>69</v>
      </c>
      <c r="K9" s="1574">
        <v>43.3</v>
      </c>
      <c r="L9" s="817">
        <v>47.04</v>
      </c>
      <c r="M9" s="794" t="s">
        <v>625</v>
      </c>
      <c r="N9" s="564" t="str">
        <f>IF(AND(G9&lt;&gt;"",M9&lt;&gt;""),M9/G9,"")</f>
        <v/>
      </c>
      <c r="O9" s="564" t="str">
        <f>IF(AND(G9&lt;&gt;"",L9&lt;&gt;""),L9/G9,"")</f>
        <v/>
      </c>
      <c r="P9" s="564"/>
      <c r="Q9" s="564">
        <v>98</v>
      </c>
      <c r="R9" s="564">
        <v>16</v>
      </c>
      <c r="S9" s="564">
        <v>20</v>
      </c>
      <c r="T9" s="564">
        <v>768</v>
      </c>
      <c r="U9" s="564"/>
      <c r="V9" s="564">
        <v>144</v>
      </c>
      <c r="W9" s="564"/>
      <c r="X9" s="566">
        <f>L9/8</f>
        <v>5.88</v>
      </c>
      <c r="Y9" s="795"/>
      <c r="Z9" s="568" t="str">
        <f>IF(AND(L9&lt;&gt;"",Y9&lt;&gt;""),L9/Y9,"")</f>
        <v/>
      </c>
      <c r="AA9" s="601">
        <f>1000*L9/Q9</f>
        <v>480</v>
      </c>
      <c r="AB9" s="602">
        <f>L9/V9</f>
        <v>0.32666666666666666</v>
      </c>
      <c r="AC9" s="1453">
        <f>T9/V9</f>
        <v>5.333333333333333</v>
      </c>
      <c r="AD9" s="572">
        <f>V9*512*36/100000</f>
        <v>26.542079999999999</v>
      </c>
      <c r="AG9" s="796" t="s">
        <v>1101</v>
      </c>
    </row>
    <row r="10" spans="1:33" s="751" customFormat="1" x14ac:dyDescent="0.2">
      <c r="A10" s="769"/>
      <c r="B10" s="573"/>
      <c r="C10" s="574"/>
      <c r="D10" s="554"/>
      <c r="E10" s="789" t="s">
        <v>621</v>
      </c>
      <c r="F10" s="790"/>
      <c r="G10" s="791"/>
      <c r="H10" s="792"/>
      <c r="I10" s="877"/>
      <c r="J10" s="1573" t="s">
        <v>69</v>
      </c>
      <c r="K10" s="1574">
        <v>60</v>
      </c>
      <c r="L10" s="817">
        <v>93.847999999999999</v>
      </c>
      <c r="M10" s="794" t="s">
        <v>626</v>
      </c>
      <c r="N10" s="564" t="str">
        <f>IF(AND(G10&lt;&gt;"",M10&lt;&gt;""),M10/G10,"")</f>
        <v/>
      </c>
      <c r="O10" s="564" t="str">
        <f>IF(AND(G10&lt;&gt;"",L10&lt;&gt;""),L10/G10,"")</f>
        <v/>
      </c>
      <c r="P10" s="564"/>
      <c r="Q10" s="564">
        <v>120</v>
      </c>
      <c r="R10" s="564">
        <v>16</v>
      </c>
      <c r="S10" s="564">
        <v>36</v>
      </c>
      <c r="T10" s="564">
        <v>832</v>
      </c>
      <c r="U10" s="564"/>
      <c r="V10" s="564">
        <v>334</v>
      </c>
      <c r="W10" s="564"/>
      <c r="X10" s="566">
        <f>L10/8</f>
        <v>11.731</v>
      </c>
      <c r="Y10" s="795"/>
      <c r="Z10" s="797" t="str">
        <f>IF(AND(L10&lt;&gt;"",Y10&lt;&gt;""),L10/Y10,"")</f>
        <v/>
      </c>
      <c r="AA10" s="591">
        <f>1000*L10/Q10</f>
        <v>782.06666666666672</v>
      </c>
      <c r="AB10" s="602">
        <f>L10/V10</f>
        <v>0.28098203592814369</v>
      </c>
      <c r="AC10" s="1453">
        <f>T10/V10</f>
        <v>2.4910179640718564</v>
      </c>
      <c r="AD10" s="572">
        <f>V10*512*36/100000</f>
        <v>61.56288</v>
      </c>
      <c r="AG10" s="796" t="s">
        <v>1102</v>
      </c>
    </row>
    <row r="11" spans="1:33" s="751" customFormat="1" ht="13.5" thickBot="1" x14ac:dyDescent="0.25">
      <c r="A11" s="769"/>
      <c r="B11" s="798"/>
      <c r="C11" s="799"/>
      <c r="D11" s="800"/>
      <c r="E11" s="801" t="s">
        <v>622</v>
      </c>
      <c r="F11" s="802"/>
      <c r="G11" s="803"/>
      <c r="H11" s="804"/>
      <c r="I11" s="1090"/>
      <c r="J11" s="1575" t="s">
        <v>74</v>
      </c>
      <c r="K11" s="1576">
        <v>92.8</v>
      </c>
      <c r="L11" s="1577">
        <v>163.84</v>
      </c>
      <c r="M11" s="807" t="s">
        <v>627</v>
      </c>
      <c r="N11" s="808" t="str">
        <f>IF(AND(G11&lt;&gt;"",M11&lt;&gt;""),M11/G11,"")</f>
        <v/>
      </c>
      <c r="O11" s="808" t="str">
        <f>IF(AND(G11&lt;&gt;"",L11&lt;&gt;""),L11/G11,"")</f>
        <v/>
      </c>
      <c r="P11" s="808"/>
      <c r="Q11" s="808">
        <v>270</v>
      </c>
      <c r="R11" s="808">
        <v>16</v>
      </c>
      <c r="S11" s="808">
        <v>40</v>
      </c>
      <c r="T11" s="808">
        <v>933</v>
      </c>
      <c r="U11" s="808"/>
      <c r="V11" s="808">
        <v>556</v>
      </c>
      <c r="W11" s="808"/>
      <c r="X11" s="809">
        <f>L11/8</f>
        <v>20.48</v>
      </c>
      <c r="Y11" s="810">
        <v>2500</v>
      </c>
      <c r="Z11" s="811">
        <f>IF(AND(L11&lt;&gt;"",Y11&lt;&gt;""),L11/Y11,"")</f>
        <v>6.5535999999999997E-2</v>
      </c>
      <c r="AA11" s="752">
        <f>1000*L11/Q11</f>
        <v>606.81481481481478</v>
      </c>
      <c r="AB11" s="753">
        <f>L11/V11</f>
        <v>0.29467625899280575</v>
      </c>
      <c r="AC11" s="1454">
        <f>T11/V11</f>
        <v>1.6780575539568345</v>
      </c>
      <c r="AD11" s="812">
        <f>V11*512*36/100000</f>
        <v>102.48192</v>
      </c>
      <c r="AG11" s="796"/>
    </row>
    <row r="12" spans="1:33" x14ac:dyDescent="0.2">
      <c r="A12" s="182"/>
      <c r="B12" s="241" t="s">
        <v>629</v>
      </c>
      <c r="C12" s="226"/>
      <c r="D12" s="212"/>
      <c r="E12" s="12" t="s">
        <v>1224</v>
      </c>
      <c r="F12" s="466" t="s">
        <v>1099</v>
      </c>
      <c r="G12" s="49"/>
      <c r="H12" s="131"/>
      <c r="I12" s="165"/>
      <c r="J12" s="1578"/>
      <c r="K12" s="1579"/>
      <c r="L12" s="248" t="s">
        <v>23</v>
      </c>
      <c r="M12" s="399" t="s">
        <v>990</v>
      </c>
      <c r="N12" s="61" t="str">
        <f>IF(AND(G12&lt;&gt;"",M12&lt;&gt;""),M12/G12,"")</f>
        <v/>
      </c>
      <c r="O12" s="61"/>
      <c r="P12" s="61"/>
      <c r="Q12" s="399" t="s">
        <v>1231</v>
      </c>
      <c r="R12" s="61"/>
      <c r="S12" s="399" t="s">
        <v>1232</v>
      </c>
      <c r="T12" s="61"/>
      <c r="U12" s="399" t="s">
        <v>1238</v>
      </c>
      <c r="V12" s="399" t="s">
        <v>1233</v>
      </c>
      <c r="W12" s="61"/>
      <c r="X12" s="551" t="s">
        <v>25</v>
      </c>
      <c r="Y12" s="171"/>
      <c r="Z12" s="206"/>
      <c r="AA12" s="370">
        <f>AVERAGE(AA13:AA16)</f>
        <v>1686.132154882155</v>
      </c>
      <c r="AB12" s="53"/>
      <c r="AC12" s="1461">
        <f>AVERAGE(AC13:AC16)</f>
        <v>1.1367872807017543</v>
      </c>
      <c r="AD12" s="109" t="s">
        <v>650</v>
      </c>
      <c r="AG12" s="516" t="s">
        <v>1236</v>
      </c>
    </row>
    <row r="13" spans="1:33" x14ac:dyDescent="0.2">
      <c r="A13" s="182"/>
      <c r="B13" s="17"/>
      <c r="C13" s="227"/>
      <c r="D13" s="544"/>
      <c r="E13" s="789" t="s">
        <v>1225</v>
      </c>
      <c r="F13" s="790"/>
      <c r="G13" s="791"/>
      <c r="H13" s="792">
        <v>52.5</v>
      </c>
      <c r="I13" s="877">
        <v>372</v>
      </c>
      <c r="J13" s="1573"/>
      <c r="K13" s="1574"/>
      <c r="L13" s="817">
        <v>100</v>
      </c>
      <c r="M13" s="1014">
        <v>100</v>
      </c>
      <c r="N13" s="564"/>
      <c r="O13" s="564"/>
      <c r="P13" s="564"/>
      <c r="Q13" s="564">
        <v>110</v>
      </c>
      <c r="R13" s="564">
        <v>16</v>
      </c>
      <c r="S13" s="564">
        <v>24</v>
      </c>
      <c r="T13" s="564">
        <v>372</v>
      </c>
      <c r="U13" s="564">
        <v>400</v>
      </c>
      <c r="V13" s="564">
        <v>200</v>
      </c>
      <c r="W13" s="564"/>
      <c r="X13" s="1182">
        <f>L13/10</f>
        <v>10</v>
      </c>
      <c r="Y13" s="795"/>
      <c r="Z13" s="797"/>
      <c r="AA13" s="591">
        <f>1000*L13/Q13</f>
        <v>909.09090909090912</v>
      </c>
      <c r="AB13" s="602"/>
      <c r="AC13" s="1453">
        <f>T13/V13</f>
        <v>1.86</v>
      </c>
      <c r="AD13" s="572">
        <f>(U13*640+V13*2048*40)/1000000</f>
        <v>16.64</v>
      </c>
      <c r="AG13" s="516" t="s">
        <v>1237</v>
      </c>
    </row>
    <row r="14" spans="1:33" x14ac:dyDescent="0.2">
      <c r="A14" s="182"/>
      <c r="B14" s="17"/>
      <c r="C14" s="227"/>
      <c r="D14" s="544"/>
      <c r="E14" s="546" t="s">
        <v>1226</v>
      </c>
      <c r="F14" s="18"/>
      <c r="G14" s="19"/>
      <c r="H14" s="124">
        <v>45</v>
      </c>
      <c r="I14" s="162">
        <v>684</v>
      </c>
      <c r="J14" s="1580"/>
      <c r="K14" s="1581"/>
      <c r="L14" s="451">
        <v>400</v>
      </c>
      <c r="M14" s="151">
        <v>400</v>
      </c>
      <c r="N14" s="65"/>
      <c r="O14" s="65"/>
      <c r="P14" s="65"/>
      <c r="Q14" s="65">
        <v>110</v>
      </c>
      <c r="R14" s="65">
        <v>16</v>
      </c>
      <c r="S14" s="65">
        <v>32</v>
      </c>
      <c r="T14" s="65">
        <v>684</v>
      </c>
      <c r="U14" s="65">
        <v>1600</v>
      </c>
      <c r="V14" s="65">
        <v>600</v>
      </c>
      <c r="W14" s="65"/>
      <c r="X14" s="66">
        <f>L14/10</f>
        <v>40</v>
      </c>
      <c r="Y14" s="81"/>
      <c r="Z14" s="390"/>
      <c r="AA14" s="378">
        <f>1000*L14/Q14</f>
        <v>3636.3636363636365</v>
      </c>
      <c r="AB14" s="54"/>
      <c r="AC14" s="281">
        <f>T14/V14</f>
        <v>1.1399999999999999</v>
      </c>
      <c r="AD14" s="191">
        <f>(U14*640+V14*2048*40)/1000000</f>
        <v>50.176000000000002</v>
      </c>
      <c r="AG14" s="516" t="s">
        <v>1234</v>
      </c>
    </row>
    <row r="15" spans="1:33" x14ac:dyDescent="0.2">
      <c r="A15" s="182"/>
      <c r="B15" s="17"/>
      <c r="C15" s="227"/>
      <c r="D15" s="544"/>
      <c r="E15" s="546" t="s">
        <v>1227</v>
      </c>
      <c r="F15" s="18"/>
      <c r="G15" s="19"/>
      <c r="H15" s="124">
        <v>45</v>
      </c>
      <c r="I15" s="162">
        <v>684</v>
      </c>
      <c r="J15" s="1580"/>
      <c r="K15" s="1581"/>
      <c r="L15" s="451">
        <v>700</v>
      </c>
      <c r="M15" s="151">
        <v>700</v>
      </c>
      <c r="N15" s="65"/>
      <c r="O15" s="65"/>
      <c r="P15" s="65"/>
      <c r="Q15" s="65">
        <v>756</v>
      </c>
      <c r="R15" s="65">
        <v>16</v>
      </c>
      <c r="S15" s="65">
        <v>64</v>
      </c>
      <c r="T15" s="65">
        <v>996</v>
      </c>
      <c r="U15" s="65">
        <v>6156</v>
      </c>
      <c r="V15" s="65">
        <v>1026</v>
      </c>
      <c r="W15" s="65"/>
      <c r="X15" s="66">
        <f>L15/10</f>
        <v>70</v>
      </c>
      <c r="Y15" s="81"/>
      <c r="Z15" s="390"/>
      <c r="AA15" s="378">
        <f>1000*L15/Q15</f>
        <v>925.92592592592598</v>
      </c>
      <c r="AB15" s="54"/>
      <c r="AC15" s="281">
        <f>T15/V15</f>
        <v>0.9707602339181286</v>
      </c>
      <c r="AD15" s="191">
        <f>(U15*640+V15*2048*40)/1000000</f>
        <v>87.989760000000004</v>
      </c>
      <c r="AG15" s="516" t="s">
        <v>1239</v>
      </c>
    </row>
    <row r="16" spans="1:33" ht="13.5" thickBot="1" x14ac:dyDescent="0.25">
      <c r="A16" s="182"/>
      <c r="B16" s="17"/>
      <c r="C16" s="227"/>
      <c r="D16" s="544"/>
      <c r="E16" s="546" t="s">
        <v>1228</v>
      </c>
      <c r="F16" s="18"/>
      <c r="G16" s="19"/>
      <c r="H16" s="124">
        <v>45</v>
      </c>
      <c r="I16" s="162">
        <v>684</v>
      </c>
      <c r="J16" s="1580"/>
      <c r="K16" s="1581"/>
      <c r="L16" s="451">
        <v>1100</v>
      </c>
      <c r="M16" s="151">
        <v>1100</v>
      </c>
      <c r="N16" s="73"/>
      <c r="O16" s="73"/>
      <c r="P16" s="73"/>
      <c r="Q16" s="73">
        <v>864</v>
      </c>
      <c r="R16" s="73">
        <v>16</v>
      </c>
      <c r="S16" s="73">
        <v>64</v>
      </c>
      <c r="T16" s="73">
        <v>996</v>
      </c>
      <c r="U16" s="73">
        <v>10368</v>
      </c>
      <c r="V16" s="73">
        <v>1728</v>
      </c>
      <c r="W16" s="73"/>
      <c r="X16" s="549">
        <f>L16/10</f>
        <v>110</v>
      </c>
      <c r="Y16" s="84"/>
      <c r="Z16" s="550"/>
      <c r="AA16" s="378">
        <f>1000*L16/Q16</f>
        <v>1273.148148148148</v>
      </c>
      <c r="AB16" s="57"/>
      <c r="AC16" s="281">
        <f>T16/V16</f>
        <v>0.57638888888888884</v>
      </c>
      <c r="AD16" s="191">
        <f>(U16*640+V16*2048*40)/1000000</f>
        <v>148.19327999999999</v>
      </c>
      <c r="AG16" s="516" t="s">
        <v>1235</v>
      </c>
    </row>
    <row r="17" spans="1:33" x14ac:dyDescent="0.2">
      <c r="A17" s="182"/>
      <c r="B17" s="241" t="s">
        <v>629</v>
      </c>
      <c r="C17" s="226"/>
      <c r="D17" s="212"/>
      <c r="E17" s="12" t="s">
        <v>1230</v>
      </c>
      <c r="F17" s="466" t="s">
        <v>1099</v>
      </c>
      <c r="G17" s="14" t="s">
        <v>22</v>
      </c>
      <c r="H17" s="132" t="s">
        <v>531</v>
      </c>
      <c r="I17" s="161"/>
      <c r="J17" s="1582"/>
      <c r="K17" s="1583" t="s">
        <v>22</v>
      </c>
      <c r="L17" s="248" t="s">
        <v>23</v>
      </c>
      <c r="M17" s="399" t="s">
        <v>1240</v>
      </c>
      <c r="N17" s="61"/>
      <c r="O17" s="61"/>
      <c r="P17" s="61"/>
      <c r="Q17" s="399" t="s">
        <v>1231</v>
      </c>
      <c r="R17" s="61"/>
      <c r="S17" s="61"/>
      <c r="T17" s="61"/>
      <c r="U17" s="61"/>
      <c r="V17" s="61"/>
      <c r="W17" s="61"/>
      <c r="X17" s="551" t="s">
        <v>25</v>
      </c>
      <c r="Y17" s="171"/>
      <c r="Z17" s="206"/>
      <c r="AA17" s="370">
        <f>AVERAGE(AA18:AA23)</f>
        <v>930.15817853057433</v>
      </c>
      <c r="AB17" s="53"/>
      <c r="AC17" s="1464"/>
      <c r="AD17" s="514"/>
      <c r="AG17" s="236"/>
    </row>
    <row r="18" spans="1:33" ht="13.5" thickBot="1" x14ac:dyDescent="0.25">
      <c r="A18" s="182"/>
      <c r="B18" s="25"/>
      <c r="C18" s="239"/>
      <c r="D18" s="547"/>
      <c r="E18" s="548" t="s">
        <v>1229</v>
      </c>
      <c r="F18" s="26"/>
      <c r="G18" s="27"/>
      <c r="H18" s="127"/>
      <c r="I18" s="177"/>
      <c r="J18" s="1584"/>
      <c r="K18" s="1585"/>
      <c r="L18" s="1083">
        <v>140</v>
      </c>
      <c r="M18" s="531">
        <v>140</v>
      </c>
      <c r="N18" s="73"/>
      <c r="O18" s="73"/>
      <c r="P18" s="73"/>
      <c r="Q18" s="73">
        <v>702</v>
      </c>
      <c r="R18" s="73">
        <v>16</v>
      </c>
      <c r="S18" s="73">
        <v>24</v>
      </c>
      <c r="T18" s="73"/>
      <c r="U18" s="73"/>
      <c r="V18" s="73">
        <v>378</v>
      </c>
      <c r="W18" s="73"/>
      <c r="X18" s="66">
        <f>L18/10</f>
        <v>14</v>
      </c>
      <c r="Y18" s="84"/>
      <c r="Z18" s="550"/>
      <c r="AA18" s="378">
        <f>1000*L18/Q18</f>
        <v>199.43019943019942</v>
      </c>
      <c r="AB18" s="57"/>
      <c r="AC18" s="281">
        <f>T18/V18</f>
        <v>0</v>
      </c>
      <c r="AD18" s="191">
        <f>(U18*640+V18*2048*40)/1000000</f>
        <v>30.96576</v>
      </c>
    </row>
    <row r="19" spans="1:33" x14ac:dyDescent="0.2">
      <c r="A19" s="182"/>
      <c r="B19" s="241" t="s">
        <v>629</v>
      </c>
      <c r="C19" s="226"/>
      <c r="D19" s="212"/>
      <c r="E19" s="12" t="s">
        <v>2169</v>
      </c>
      <c r="F19" s="466" t="s">
        <v>2063</v>
      </c>
      <c r="G19" s="49"/>
      <c r="H19" s="1392">
        <v>0.85</v>
      </c>
      <c r="I19" s="165"/>
      <c r="J19" s="1578"/>
      <c r="K19" s="1579"/>
      <c r="L19" s="248" t="s">
        <v>2170</v>
      </c>
      <c r="M19" s="399" t="s">
        <v>990</v>
      </c>
      <c r="N19" s="61" t="str">
        <f>IF(AND(G19&lt;&gt;"",M19&lt;&gt;""),M19/G19,"")</f>
        <v/>
      </c>
      <c r="O19" s="61"/>
      <c r="P19" s="61"/>
      <c r="Q19" s="399" t="s">
        <v>2175</v>
      </c>
      <c r="R19" s="61"/>
      <c r="S19" s="399" t="s">
        <v>2176</v>
      </c>
      <c r="T19" s="61"/>
      <c r="U19" s="399" t="s">
        <v>2182</v>
      </c>
      <c r="V19" s="399" t="s">
        <v>2178</v>
      </c>
      <c r="W19" s="399" t="s">
        <v>2177</v>
      </c>
      <c r="X19" s="551" t="s">
        <v>2276</v>
      </c>
      <c r="Y19" s="171"/>
      <c r="Z19" s="206"/>
      <c r="AA19" s="370">
        <f>AVERAGE(AA20:AA23)</f>
        <v>1076.3037743506493</v>
      </c>
      <c r="AB19" s="53"/>
      <c r="AC19" s="1461">
        <f>AVERAGE(AC20:AC23)</f>
        <v>0.12206029647435895</v>
      </c>
      <c r="AD19" s="109" t="s">
        <v>650</v>
      </c>
      <c r="AG19" s="516" t="s">
        <v>2179</v>
      </c>
    </row>
    <row r="20" spans="1:33" s="493" customFormat="1" x14ac:dyDescent="0.2">
      <c r="A20" s="523"/>
      <c r="B20" s="41"/>
      <c r="C20" s="230"/>
      <c r="D20" s="1330"/>
      <c r="E20" s="546" t="s">
        <v>2172</v>
      </c>
      <c r="F20" s="45"/>
      <c r="G20" s="1331"/>
      <c r="H20" s="1114">
        <v>45</v>
      </c>
      <c r="I20" s="1586">
        <v>372</v>
      </c>
      <c r="J20" s="1587"/>
      <c r="K20" s="1588"/>
      <c r="L20" s="1589">
        <v>363</v>
      </c>
      <c r="M20" s="1332">
        <v>100</v>
      </c>
      <c r="N20" s="469"/>
      <c r="O20" s="469"/>
      <c r="P20" s="469"/>
      <c r="Q20" s="469">
        <v>336</v>
      </c>
      <c r="R20" s="469">
        <v>16</v>
      </c>
      <c r="S20" s="469">
        <v>40</v>
      </c>
      <c r="T20" s="469">
        <v>182</v>
      </c>
      <c r="U20" s="469">
        <v>336</v>
      </c>
      <c r="V20" s="469">
        <v>1344</v>
      </c>
      <c r="W20" s="469">
        <v>8</v>
      </c>
      <c r="X20" s="1333">
        <f>L20*1000/12</f>
        <v>30250</v>
      </c>
      <c r="Y20" s="1068"/>
      <c r="Z20" s="1292"/>
      <c r="AA20" s="1155">
        <f>1000*L20/Q20</f>
        <v>1080.3571428571429</v>
      </c>
      <c r="AB20" s="93"/>
      <c r="AC20" s="1456">
        <f>T20/V20</f>
        <v>0.13541666666666666</v>
      </c>
      <c r="AD20" s="1047">
        <f>(U20*64*36+V20*2048*36)/1000000</f>
        <v>99.864576</v>
      </c>
      <c r="AG20" s="516" t="s">
        <v>2180</v>
      </c>
    </row>
    <row r="21" spans="1:33" x14ac:dyDescent="0.2">
      <c r="A21" s="182"/>
      <c r="B21" s="17"/>
      <c r="C21" s="227"/>
      <c r="D21" s="544"/>
      <c r="E21" s="546" t="s">
        <v>2171</v>
      </c>
      <c r="F21" s="18"/>
      <c r="G21" s="19"/>
      <c r="H21" s="1114">
        <v>45</v>
      </c>
      <c r="I21" s="162">
        <v>684</v>
      </c>
      <c r="J21" s="1580"/>
      <c r="K21" s="1581"/>
      <c r="L21" s="451">
        <v>692</v>
      </c>
      <c r="M21" s="151">
        <v>400</v>
      </c>
      <c r="N21" s="65"/>
      <c r="O21" s="65"/>
      <c r="P21" s="65"/>
      <c r="Q21" s="65">
        <v>2560</v>
      </c>
      <c r="R21" s="65">
        <v>16</v>
      </c>
      <c r="S21" s="65">
        <v>32</v>
      </c>
      <c r="T21" s="65">
        <v>214</v>
      </c>
      <c r="U21" s="65">
        <v>2560</v>
      </c>
      <c r="V21" s="65">
        <v>2560</v>
      </c>
      <c r="W21" s="65">
        <v>16</v>
      </c>
      <c r="X21" s="1333">
        <f>L21*1000/12</f>
        <v>57666.666666666664</v>
      </c>
      <c r="Y21" s="81"/>
      <c r="Z21" s="390"/>
      <c r="AA21" s="378">
        <f>1000*L21/Q21</f>
        <v>270.3125</v>
      </c>
      <c r="AB21" s="54"/>
      <c r="AC21" s="281">
        <f>T21/V21</f>
        <v>8.3593749999999994E-2</v>
      </c>
      <c r="AD21" s="1047">
        <f>(U21*64*36+V21*2048*36)/1000000</f>
        <v>194.64192</v>
      </c>
      <c r="AG21" s="516" t="s">
        <v>2181</v>
      </c>
    </row>
    <row r="22" spans="1:33" x14ac:dyDescent="0.2">
      <c r="A22" s="182"/>
      <c r="B22" s="17"/>
      <c r="C22" s="227"/>
      <c r="D22" s="544"/>
      <c r="E22" s="546" t="s">
        <v>2173</v>
      </c>
      <c r="F22" s="18"/>
      <c r="G22" s="19"/>
      <c r="H22" s="1114">
        <v>52.5</v>
      </c>
      <c r="I22" s="162">
        <v>684</v>
      </c>
      <c r="J22" s="1580"/>
      <c r="K22" s="1581"/>
      <c r="L22" s="451">
        <v>1300</v>
      </c>
      <c r="M22" s="151">
        <v>700</v>
      </c>
      <c r="N22" s="65"/>
      <c r="O22" s="65"/>
      <c r="P22" s="65"/>
      <c r="Q22" s="65">
        <v>880</v>
      </c>
      <c r="R22" s="65">
        <v>16</v>
      </c>
      <c r="S22" s="65">
        <v>72</v>
      </c>
      <c r="T22" s="65">
        <v>350</v>
      </c>
      <c r="U22" s="65">
        <v>880</v>
      </c>
      <c r="V22" s="65">
        <v>2600</v>
      </c>
      <c r="W22" s="65">
        <v>16</v>
      </c>
      <c r="X22" s="1333">
        <f>L22*1000/12</f>
        <v>108333.33333333333</v>
      </c>
      <c r="Y22" s="81"/>
      <c r="Z22" s="390"/>
      <c r="AA22" s="378">
        <f>1000*L22/Q22</f>
        <v>1477.2727272727273</v>
      </c>
      <c r="AB22" s="54"/>
      <c r="AC22" s="281">
        <f>T22/V22</f>
        <v>0.13461538461538461</v>
      </c>
      <c r="AD22" s="1047">
        <f>(U22*64*36+V22*2048*36)/1000000</f>
        <v>193.72031999999999</v>
      </c>
      <c r="AG22" s="516" t="s">
        <v>2277</v>
      </c>
    </row>
    <row r="23" spans="1:33" ht="13.5" thickBot="1" x14ac:dyDescent="0.25">
      <c r="A23" s="182"/>
      <c r="B23" s="25"/>
      <c r="C23" s="239"/>
      <c r="D23" s="547"/>
      <c r="E23" s="548" t="s">
        <v>2174</v>
      </c>
      <c r="F23" s="26"/>
      <c r="G23" s="27"/>
      <c r="H23" s="1114">
        <v>52.5</v>
      </c>
      <c r="I23" s="177">
        <v>684</v>
      </c>
      <c r="J23" s="1584"/>
      <c r="K23" s="1585"/>
      <c r="L23" s="1083">
        <v>2600</v>
      </c>
      <c r="M23" s="531">
        <v>1100</v>
      </c>
      <c r="N23" s="73"/>
      <c r="O23" s="73"/>
      <c r="P23" s="73"/>
      <c r="Q23" s="73">
        <v>1760</v>
      </c>
      <c r="R23" s="73">
        <v>16</v>
      </c>
      <c r="S23" s="73">
        <v>72</v>
      </c>
      <c r="T23" s="73">
        <v>700</v>
      </c>
      <c r="U23" s="73">
        <v>1760</v>
      </c>
      <c r="V23" s="73">
        <v>5200</v>
      </c>
      <c r="W23" s="73">
        <v>32</v>
      </c>
      <c r="X23" s="1333">
        <f>L23*1000/12</f>
        <v>216666.66666666666</v>
      </c>
      <c r="Y23" s="84"/>
      <c r="Z23" s="550"/>
      <c r="AA23" s="477">
        <f>1000*L23/Q23</f>
        <v>1477.2727272727273</v>
      </c>
      <c r="AB23" s="57"/>
      <c r="AC23" s="908">
        <f>T23/V23</f>
        <v>0.13461538461538461</v>
      </c>
      <c r="AD23" s="1047">
        <f>(U23*64*36+V23*2048*36)/1000000</f>
        <v>387.44063999999997</v>
      </c>
      <c r="AG23" s="516"/>
    </row>
    <row r="24" spans="1:33" s="751" customFormat="1" x14ac:dyDescent="0.2">
      <c r="A24" s="769"/>
      <c r="B24" s="770" t="s">
        <v>644</v>
      </c>
      <c r="C24" s="771"/>
      <c r="D24" s="1334"/>
      <c r="E24" s="773" t="s">
        <v>645</v>
      </c>
      <c r="F24" s="1335" t="s">
        <v>1014</v>
      </c>
      <c r="G24" s="775"/>
      <c r="H24" s="875"/>
      <c r="I24" s="876"/>
      <c r="J24" s="1590"/>
      <c r="K24" s="1572"/>
      <c r="L24" s="813" t="s">
        <v>365</v>
      </c>
      <c r="M24" s="779"/>
      <c r="N24" s="779"/>
      <c r="O24" s="780"/>
      <c r="P24" s="780"/>
      <c r="Q24" s="780"/>
      <c r="R24" s="780"/>
      <c r="S24" s="780"/>
      <c r="T24" s="780"/>
      <c r="U24" s="780"/>
      <c r="V24" s="781" t="s">
        <v>306</v>
      </c>
      <c r="W24" s="780"/>
      <c r="X24" s="1336"/>
      <c r="Y24" s="870"/>
      <c r="Z24" s="871"/>
      <c r="AA24" s="872"/>
      <c r="AB24" s="786">
        <f>AVERAGE(AB25:AB52)</f>
        <v>173.22577777777778</v>
      </c>
      <c r="AC24" s="787">
        <f>AVERAGE(AC25:AC25)</f>
        <v>13.166666666666666</v>
      </c>
      <c r="AD24" s="782"/>
      <c r="AG24" s="796" t="s">
        <v>1366</v>
      </c>
    </row>
    <row r="25" spans="1:33" ht="13.5" thickBot="1" x14ac:dyDescent="0.25">
      <c r="A25" s="222"/>
      <c r="B25" s="21"/>
      <c r="C25" s="239"/>
      <c r="D25" s="532" t="s">
        <v>703</v>
      </c>
      <c r="E25" s="25" t="s">
        <v>823</v>
      </c>
      <c r="F25" s="26"/>
      <c r="G25" s="27"/>
      <c r="H25" s="127"/>
      <c r="I25" s="177">
        <v>99</v>
      </c>
      <c r="J25" s="1584"/>
      <c r="K25" s="1585"/>
      <c r="L25" s="1083">
        <v>1.536</v>
      </c>
      <c r="M25" s="72"/>
      <c r="N25" s="72"/>
      <c r="O25" s="73"/>
      <c r="P25" s="73"/>
      <c r="Q25" s="73"/>
      <c r="R25" s="73">
        <v>4</v>
      </c>
      <c r="S25" s="73"/>
      <c r="T25" s="73">
        <v>316</v>
      </c>
      <c r="U25" s="73"/>
      <c r="V25" s="73">
        <v>24</v>
      </c>
      <c r="W25" s="73"/>
      <c r="X25" s="549"/>
      <c r="Y25" s="84"/>
      <c r="Z25" s="550"/>
      <c r="AA25" s="477"/>
      <c r="AB25" s="57">
        <f>L25/V25</f>
        <v>6.4000000000000001E-2</v>
      </c>
      <c r="AC25" s="101">
        <f>T25/V25</f>
        <v>13.166666666666666</v>
      </c>
      <c r="AD25" s="112">
        <f>256*9*V25</f>
        <v>55296</v>
      </c>
      <c r="AG25" s="236"/>
    </row>
    <row r="26" spans="1:33" ht="13.5" customHeight="1" x14ac:dyDescent="0.2">
      <c r="A26" s="183"/>
      <c r="B26" s="1566" t="s">
        <v>2390</v>
      </c>
      <c r="C26" s="193"/>
      <c r="D26" s="212"/>
      <c r="E26" s="12"/>
      <c r="F26" s="466"/>
      <c r="G26" s="14"/>
      <c r="H26" s="1567">
        <v>1.2</v>
      </c>
      <c r="I26" s="161"/>
      <c r="J26" s="1582"/>
      <c r="K26" s="1583"/>
      <c r="L26" s="517" t="s">
        <v>1848</v>
      </c>
      <c r="M26" s="60"/>
      <c r="N26" s="385"/>
      <c r="O26" s="61"/>
      <c r="P26" s="399" t="s">
        <v>2134</v>
      </c>
      <c r="Q26" s="399" t="s">
        <v>92</v>
      </c>
      <c r="R26" s="61"/>
      <c r="S26" s="61"/>
      <c r="T26" s="61"/>
      <c r="U26" s="61"/>
      <c r="V26" s="468" t="s">
        <v>157</v>
      </c>
      <c r="W26" s="61"/>
      <c r="X26" s="551" t="s">
        <v>2392</v>
      </c>
      <c r="Y26" s="1568" t="s">
        <v>2401</v>
      </c>
      <c r="Z26" s="164"/>
      <c r="AA26" s="373"/>
      <c r="AB26" s="92"/>
      <c r="AC26" s="1452"/>
      <c r="AD26" s="522" t="s">
        <v>650</v>
      </c>
      <c r="AG26" s="471" t="s">
        <v>2398</v>
      </c>
    </row>
    <row r="27" spans="1:33" x14ac:dyDescent="0.2">
      <c r="A27" s="523" t="s">
        <v>2402</v>
      </c>
      <c r="B27" s="41"/>
      <c r="C27" s="227"/>
      <c r="D27" s="213"/>
      <c r="E27" s="1036" t="s">
        <v>2393</v>
      </c>
      <c r="F27" s="45"/>
      <c r="G27" s="19"/>
      <c r="H27" s="124">
        <v>2</v>
      </c>
      <c r="I27" s="162"/>
      <c r="J27" s="1580"/>
      <c r="K27" s="1581"/>
      <c r="L27" s="1591">
        <v>1.28</v>
      </c>
      <c r="M27" s="1326"/>
      <c r="N27" s="65"/>
      <c r="O27" s="65"/>
      <c r="P27" s="65"/>
      <c r="Q27" s="65"/>
      <c r="R27" s="469">
        <v>1</v>
      </c>
      <c r="S27" s="65"/>
      <c r="T27" s="65">
        <v>40</v>
      </c>
      <c r="U27" s="65"/>
      <c r="V27" s="65"/>
      <c r="W27" s="65"/>
      <c r="X27" s="66">
        <f>1000*L27/16</f>
        <v>80</v>
      </c>
      <c r="Y27" s="1569">
        <v>2.0036</v>
      </c>
      <c r="Z27" s="141">
        <f>IF(AND(L27&lt;&gt;"",Y27&lt;&gt;""),1000*L27/Y27,"")</f>
        <v>638.85006987422639</v>
      </c>
      <c r="AA27" s="371"/>
      <c r="AB27" s="54"/>
      <c r="AC27" s="281"/>
      <c r="AD27" s="191"/>
      <c r="AF27" s="6"/>
      <c r="AG27" s="516" t="s">
        <v>2399</v>
      </c>
    </row>
    <row r="28" spans="1:33" x14ac:dyDescent="0.2">
      <c r="A28" s="182"/>
      <c r="B28" s="41"/>
      <c r="C28" s="227"/>
      <c r="D28" s="213"/>
      <c r="E28" s="1036" t="s">
        <v>2394</v>
      </c>
      <c r="F28" s="45"/>
      <c r="G28" s="19"/>
      <c r="H28" s="124">
        <v>6</v>
      </c>
      <c r="I28" s="162"/>
      <c r="J28" s="1580"/>
      <c r="K28" s="1581"/>
      <c r="L28" s="1591">
        <v>2.2360000000000002</v>
      </c>
      <c r="M28" s="1326"/>
      <c r="N28" s="65"/>
      <c r="O28" s="65"/>
      <c r="P28" s="65"/>
      <c r="Q28" s="65"/>
      <c r="R28" s="469">
        <v>1</v>
      </c>
      <c r="S28" s="65"/>
      <c r="T28" s="65">
        <v>40</v>
      </c>
      <c r="U28" s="65"/>
      <c r="V28" s="65"/>
      <c r="W28" s="65"/>
      <c r="X28" s="66">
        <f>1000*L28/16</f>
        <v>139.75</v>
      </c>
      <c r="Y28" s="1569"/>
      <c r="Z28" s="141" t="str">
        <f>IF(AND(L28&lt;&gt;"",Y28&lt;&gt;""),1000*L28/Y28,"")</f>
        <v/>
      </c>
      <c r="AA28" s="371"/>
      <c r="AB28" s="54"/>
      <c r="AC28" s="281"/>
      <c r="AD28" s="191"/>
      <c r="AF28" s="6"/>
      <c r="AG28" s="516" t="s">
        <v>2400</v>
      </c>
    </row>
    <row r="29" spans="1:33" x14ac:dyDescent="0.2">
      <c r="A29" s="182"/>
      <c r="B29" s="41"/>
      <c r="C29" s="227"/>
      <c r="D29" s="213"/>
      <c r="E29" s="1036" t="s">
        <v>2395</v>
      </c>
      <c r="F29" s="45"/>
      <c r="G29" s="19"/>
      <c r="H29" s="124">
        <v>17</v>
      </c>
      <c r="I29" s="162"/>
      <c r="J29" s="1580"/>
      <c r="K29" s="1581"/>
      <c r="L29" s="1591">
        <v>6.2720000000000002</v>
      </c>
      <c r="M29" s="1326"/>
      <c r="N29" s="65"/>
      <c r="O29" s="65"/>
      <c r="P29" s="65">
        <v>1</v>
      </c>
      <c r="Q29" s="65">
        <v>23</v>
      </c>
      <c r="R29" s="469">
        <v>2</v>
      </c>
      <c r="S29" s="65"/>
      <c r="T29" s="65">
        <v>179</v>
      </c>
      <c r="U29" s="65"/>
      <c r="V29" s="65">
        <v>44</v>
      </c>
      <c r="W29" s="65"/>
      <c r="X29" s="66">
        <f>1000*L29/16</f>
        <v>392</v>
      </c>
      <c r="Y29" s="1569"/>
      <c r="Z29" s="141" t="str">
        <f>IF(AND(L29&lt;&gt;"",Y29&lt;&gt;""),1000*L29/Y29,"")</f>
        <v/>
      </c>
      <c r="AA29" s="378">
        <f>1000*L29/Q29</f>
        <v>272.69565217391306</v>
      </c>
      <c r="AB29" s="54"/>
      <c r="AC29" s="281">
        <f>T29/V29</f>
        <v>4.0681818181818183</v>
      </c>
      <c r="AD29" s="191">
        <f>(U29*640+V29*9216+W29*147456)/1000000</f>
        <v>0.40550399999999998</v>
      </c>
      <c r="AF29" s="6"/>
      <c r="AG29" s="516" t="s">
        <v>2397</v>
      </c>
    </row>
    <row r="30" spans="1:33" x14ac:dyDescent="0.2">
      <c r="A30" s="182"/>
      <c r="B30" s="41"/>
      <c r="C30" s="227"/>
      <c r="D30" s="213"/>
      <c r="E30" s="1036" t="s">
        <v>2396</v>
      </c>
      <c r="F30" s="45"/>
      <c r="G30" s="19"/>
      <c r="H30" s="124">
        <v>17</v>
      </c>
      <c r="I30" s="162"/>
      <c r="J30" s="1580"/>
      <c r="K30" s="1581"/>
      <c r="L30" s="1591">
        <v>10.96</v>
      </c>
      <c r="M30" s="1326"/>
      <c r="N30" s="65"/>
      <c r="O30" s="65"/>
      <c r="P30" s="65">
        <v>1</v>
      </c>
      <c r="Q30" s="65">
        <v>23</v>
      </c>
      <c r="R30" s="469">
        <v>2</v>
      </c>
      <c r="S30" s="65"/>
      <c r="T30" s="65">
        <v>123</v>
      </c>
      <c r="U30" s="65"/>
      <c r="V30" s="65">
        <v>54</v>
      </c>
      <c r="W30" s="65"/>
      <c r="X30" s="66">
        <f>1000*L30/16</f>
        <v>685</v>
      </c>
      <c r="Y30" s="1569">
        <v>6.0487000000000002</v>
      </c>
      <c r="Z30" s="141">
        <f>IF(AND(L30&lt;&gt;"",Y30&lt;&gt;""),1000*L30/Y30,"")</f>
        <v>1811.9595946236382</v>
      </c>
      <c r="AA30" s="378">
        <f>1000*L30/Q30</f>
        <v>476.52173913043481</v>
      </c>
      <c r="AB30" s="54"/>
      <c r="AC30" s="281">
        <f>T30/V30</f>
        <v>2.2777777777777777</v>
      </c>
      <c r="AD30" s="191">
        <f>(U30*640+V30*9216+W30*147456)/1000000</f>
        <v>0.497664</v>
      </c>
      <c r="AF30" s="6"/>
      <c r="AG30" s="516" t="s">
        <v>2397</v>
      </c>
    </row>
    <row r="31" spans="1:33" ht="13.5" thickBot="1" x14ac:dyDescent="0.25">
      <c r="A31" s="182"/>
      <c r="B31" s="41"/>
      <c r="C31" s="227"/>
      <c r="D31" s="213"/>
      <c r="E31" s="1036" t="s">
        <v>2391</v>
      </c>
      <c r="F31" s="45"/>
      <c r="G31" s="19"/>
      <c r="H31" s="124">
        <v>17</v>
      </c>
      <c r="I31" s="163"/>
      <c r="J31" s="1592"/>
      <c r="K31" s="1593"/>
      <c r="L31" s="1594">
        <v>16</v>
      </c>
      <c r="M31" s="1326"/>
      <c r="N31" s="65"/>
      <c r="O31" s="65"/>
      <c r="P31" s="65">
        <v>1</v>
      </c>
      <c r="Q31" s="65">
        <v>56</v>
      </c>
      <c r="R31" s="469">
        <v>4</v>
      </c>
      <c r="S31" s="65"/>
      <c r="T31" s="65">
        <v>170</v>
      </c>
      <c r="U31" s="65"/>
      <c r="V31" s="65">
        <v>54</v>
      </c>
      <c r="W31" s="65"/>
      <c r="X31" s="69">
        <f>1000*L31/16</f>
        <v>1000</v>
      </c>
      <c r="Y31" s="1570"/>
      <c r="Z31" s="141" t="str">
        <f>IF(AND(L31&lt;&gt;"",Y31&lt;&gt;""),1000*L31/Y31,"")</f>
        <v/>
      </c>
      <c r="AA31" s="378">
        <f>1000*L31/Q31</f>
        <v>285.71428571428572</v>
      </c>
      <c r="AB31" s="54"/>
      <c r="AC31" s="281">
        <f>T31/V31</f>
        <v>3.1481481481481484</v>
      </c>
      <c r="AD31" s="191">
        <f>(U31*640+V31*9216+W31*147456)/1000000</f>
        <v>0.497664</v>
      </c>
      <c r="AF31" s="6"/>
      <c r="AG31" s="516" t="s">
        <v>2397</v>
      </c>
    </row>
    <row r="32" spans="1:33" x14ac:dyDescent="0.2">
      <c r="A32" s="221"/>
      <c r="B32" s="48" t="s">
        <v>717</v>
      </c>
      <c r="C32" s="226"/>
      <c r="D32" s="212"/>
      <c r="E32" s="12" t="s">
        <v>20</v>
      </c>
      <c r="F32" s="13"/>
      <c r="G32" s="14" t="s">
        <v>21</v>
      </c>
      <c r="H32" s="123"/>
      <c r="I32" s="161"/>
      <c r="J32" s="1578"/>
      <c r="K32" s="1583" t="s">
        <v>22</v>
      </c>
      <c r="L32" s="248" t="s">
        <v>23</v>
      </c>
      <c r="M32" s="60"/>
      <c r="N32" s="380">
        <f>AVERAGE(N33:N42)</f>
        <v>60.755877843199585</v>
      </c>
      <c r="O32" s="61"/>
      <c r="P32" s="61"/>
      <c r="Q32" s="61"/>
      <c r="R32" s="61"/>
      <c r="S32" s="61"/>
      <c r="T32" s="61"/>
      <c r="U32" s="61"/>
      <c r="V32" s="62" t="s">
        <v>24</v>
      </c>
      <c r="W32" s="61"/>
      <c r="X32" s="63" t="s">
        <v>25</v>
      </c>
      <c r="Y32" s="80"/>
      <c r="Z32" s="206"/>
      <c r="AA32" s="377"/>
      <c r="AB32" s="92">
        <f>AVERAGE(AB33:AB42)</f>
        <v>170</v>
      </c>
      <c r="AC32" s="98">
        <f>AVERAGE(AC33:AC42)</f>
        <v>7.1119721847353432</v>
      </c>
      <c r="AD32" s="109"/>
      <c r="AG32" s="236"/>
    </row>
    <row r="33" spans="1:33" ht="12.75" customHeight="1" x14ac:dyDescent="0.2">
      <c r="A33" s="182" t="s">
        <v>26</v>
      </c>
      <c r="B33" s="17"/>
      <c r="C33" s="227"/>
      <c r="D33" s="213"/>
      <c r="E33" s="118" t="s">
        <v>27</v>
      </c>
      <c r="F33" s="18" t="s">
        <v>28</v>
      </c>
      <c r="G33" s="19">
        <v>20</v>
      </c>
      <c r="H33" s="124"/>
      <c r="I33" s="162"/>
      <c r="J33" s="1580" t="s">
        <v>29</v>
      </c>
      <c r="K33" s="1581">
        <v>74</v>
      </c>
      <c r="L33" s="249">
        <v>1200</v>
      </c>
      <c r="M33" s="245">
        <v>1200</v>
      </c>
      <c r="N33" s="65">
        <f t="shared" ref="N33:N42" si="0">IF(AND(G33&lt;&gt;"",M33&lt;&gt;""),M33/G33,"")</f>
        <v>60</v>
      </c>
      <c r="O33" s="65">
        <f t="shared" ref="O33:O42" si="1">IF(AND(G33&lt;&gt;"",L33&lt;&gt;""),L33/G33,"")</f>
        <v>60</v>
      </c>
      <c r="P33" s="65"/>
      <c r="Q33" s="65"/>
      <c r="R33" s="65"/>
      <c r="S33" s="65"/>
      <c r="T33" s="65">
        <v>128</v>
      </c>
      <c r="U33" s="65"/>
      <c r="V33" s="65">
        <v>12</v>
      </c>
      <c r="W33" s="65"/>
      <c r="X33" s="66">
        <f t="shared" ref="X33:X42" si="2">L33/10</f>
        <v>120</v>
      </c>
      <c r="Y33" s="81"/>
      <c r="Z33" s="390"/>
      <c r="AA33" s="378"/>
      <c r="AB33" s="54">
        <f t="shared" ref="AB33:AB42" si="3">L33/V33</f>
        <v>100</v>
      </c>
      <c r="AC33" s="99">
        <f t="shared" ref="AC33:AC42" si="4">T33/V33</f>
        <v>10.666666666666666</v>
      </c>
      <c r="AD33" s="110">
        <f t="shared" ref="AD33:AD42" si="5">128*16*V33</f>
        <v>24576</v>
      </c>
      <c r="AG33" s="236"/>
    </row>
    <row r="34" spans="1:33" ht="12.75" customHeight="1" x14ac:dyDescent="0.2">
      <c r="A34" s="182" t="s">
        <v>26</v>
      </c>
      <c r="B34" s="17"/>
      <c r="C34" s="227"/>
      <c r="D34" s="213"/>
      <c r="E34" s="118" t="s">
        <v>30</v>
      </c>
      <c r="F34" s="18" t="s">
        <v>28</v>
      </c>
      <c r="G34" s="19">
        <v>37</v>
      </c>
      <c r="H34" s="124"/>
      <c r="I34" s="162"/>
      <c r="J34" s="1580" t="s">
        <v>31</v>
      </c>
      <c r="K34" s="1581">
        <v>138</v>
      </c>
      <c r="L34" s="249">
        <v>2560</v>
      </c>
      <c r="M34" s="245">
        <v>2560</v>
      </c>
      <c r="N34" s="65">
        <f t="shared" si="0"/>
        <v>69.189189189189193</v>
      </c>
      <c r="O34" s="65">
        <f t="shared" si="1"/>
        <v>69.189189189189193</v>
      </c>
      <c r="P34" s="65"/>
      <c r="Q34" s="65"/>
      <c r="R34" s="65"/>
      <c r="S34" s="65"/>
      <c r="T34" s="65">
        <v>204</v>
      </c>
      <c r="U34" s="65"/>
      <c r="V34" s="65">
        <v>16</v>
      </c>
      <c r="W34" s="65"/>
      <c r="X34" s="66">
        <f t="shared" si="2"/>
        <v>256</v>
      </c>
      <c r="Y34" s="81"/>
      <c r="Z34" s="390"/>
      <c r="AA34" s="378"/>
      <c r="AB34" s="54">
        <f t="shared" si="3"/>
        <v>160</v>
      </c>
      <c r="AC34" s="99">
        <f t="shared" si="4"/>
        <v>12.75</v>
      </c>
      <c r="AD34" s="110">
        <f t="shared" si="5"/>
        <v>32768</v>
      </c>
      <c r="AG34" s="236"/>
    </row>
    <row r="35" spans="1:33" ht="12.75" customHeight="1" x14ac:dyDescent="0.2">
      <c r="A35" s="182" t="s">
        <v>26</v>
      </c>
      <c r="B35" s="17"/>
      <c r="C35" s="227"/>
      <c r="D35" s="213"/>
      <c r="E35" s="118" t="s">
        <v>32</v>
      </c>
      <c r="F35" s="18" t="s">
        <v>33</v>
      </c>
      <c r="G35" s="19">
        <v>50</v>
      </c>
      <c r="H35" s="124"/>
      <c r="I35" s="162"/>
      <c r="J35" s="1580" t="s">
        <v>34</v>
      </c>
      <c r="K35" s="1581">
        <v>190</v>
      </c>
      <c r="L35" s="249">
        <v>4160</v>
      </c>
      <c r="M35" s="245">
        <v>4160</v>
      </c>
      <c r="N35" s="65">
        <f t="shared" si="0"/>
        <v>83.2</v>
      </c>
      <c r="O35" s="65">
        <f t="shared" si="1"/>
        <v>83.2</v>
      </c>
      <c r="P35" s="65"/>
      <c r="Q35" s="65"/>
      <c r="R35" s="65"/>
      <c r="S35" s="65"/>
      <c r="T35" s="65">
        <v>252</v>
      </c>
      <c r="U35" s="65"/>
      <c r="V35" s="65">
        <v>26</v>
      </c>
      <c r="W35" s="65"/>
      <c r="X35" s="66">
        <f t="shared" si="2"/>
        <v>416</v>
      </c>
      <c r="Y35" s="81"/>
      <c r="Z35" s="390"/>
      <c r="AA35" s="378"/>
      <c r="AB35" s="54">
        <f t="shared" si="3"/>
        <v>160</v>
      </c>
      <c r="AC35" s="99">
        <f t="shared" si="4"/>
        <v>9.6923076923076916</v>
      </c>
      <c r="AD35" s="110">
        <f t="shared" si="5"/>
        <v>53248</v>
      </c>
      <c r="AG35" s="236"/>
    </row>
    <row r="36" spans="1:33" ht="12.75" customHeight="1" x14ac:dyDescent="0.2">
      <c r="A36" s="182" t="s">
        <v>26</v>
      </c>
      <c r="B36" s="17"/>
      <c r="C36" s="227"/>
      <c r="D36" s="213"/>
      <c r="E36" s="118" t="s">
        <v>35</v>
      </c>
      <c r="F36" s="18" t="s">
        <v>28</v>
      </c>
      <c r="G36" s="19">
        <v>118</v>
      </c>
      <c r="H36" s="124"/>
      <c r="I36" s="162"/>
      <c r="J36" s="1580" t="s">
        <v>36</v>
      </c>
      <c r="K36" s="1581">
        <v>274</v>
      </c>
      <c r="L36" s="249">
        <v>6400</v>
      </c>
      <c r="M36" s="245">
        <v>6400</v>
      </c>
      <c r="N36" s="65">
        <f t="shared" si="0"/>
        <v>54.237288135593218</v>
      </c>
      <c r="O36" s="65">
        <f t="shared" si="1"/>
        <v>54.237288135593218</v>
      </c>
      <c r="P36" s="65"/>
      <c r="Q36" s="65"/>
      <c r="R36" s="65"/>
      <c r="S36" s="65"/>
      <c r="T36" s="65">
        <v>316</v>
      </c>
      <c r="U36" s="65"/>
      <c r="V36" s="65">
        <v>40</v>
      </c>
      <c r="W36" s="65"/>
      <c r="X36" s="66">
        <f t="shared" si="2"/>
        <v>640</v>
      </c>
      <c r="Y36" s="81"/>
      <c r="Z36" s="390"/>
      <c r="AA36" s="378"/>
      <c r="AB36" s="54">
        <f t="shared" si="3"/>
        <v>160</v>
      </c>
      <c r="AC36" s="99">
        <f t="shared" si="4"/>
        <v>7.9</v>
      </c>
      <c r="AD36" s="110">
        <f t="shared" si="5"/>
        <v>81920</v>
      </c>
      <c r="AG36" s="236"/>
    </row>
    <row r="37" spans="1:33" ht="12.75" customHeight="1" x14ac:dyDescent="0.2">
      <c r="A37" s="182" t="s">
        <v>26</v>
      </c>
      <c r="B37" s="17"/>
      <c r="C37" s="227"/>
      <c r="D37" s="213"/>
      <c r="E37" s="118" t="s">
        <v>37</v>
      </c>
      <c r="F37" s="18" t="s">
        <v>38</v>
      </c>
      <c r="G37" s="19">
        <v>120</v>
      </c>
      <c r="H37" s="124"/>
      <c r="I37" s="162"/>
      <c r="J37" s="1580" t="s">
        <v>39</v>
      </c>
      <c r="K37" s="1581">
        <v>560</v>
      </c>
      <c r="L37" s="249">
        <v>8320</v>
      </c>
      <c r="M37" s="245">
        <v>8320</v>
      </c>
      <c r="N37" s="65">
        <f t="shared" si="0"/>
        <v>69.333333333333329</v>
      </c>
      <c r="O37" s="65">
        <f t="shared" si="1"/>
        <v>69.333333333333329</v>
      </c>
      <c r="P37" s="65"/>
      <c r="Q37" s="65"/>
      <c r="R37" s="65"/>
      <c r="S37" s="65"/>
      <c r="T37" s="65">
        <v>382</v>
      </c>
      <c r="U37" s="65"/>
      <c r="V37" s="65">
        <v>52</v>
      </c>
      <c r="W37" s="65"/>
      <c r="X37" s="66">
        <f t="shared" si="2"/>
        <v>832</v>
      </c>
      <c r="Y37" s="81"/>
      <c r="Z37" s="390"/>
      <c r="AA37" s="378"/>
      <c r="AB37" s="54">
        <f t="shared" si="3"/>
        <v>160</v>
      </c>
      <c r="AC37" s="99">
        <f t="shared" si="4"/>
        <v>7.3461538461538458</v>
      </c>
      <c r="AD37" s="110">
        <f t="shared" si="5"/>
        <v>106496</v>
      </c>
      <c r="AG37" s="236"/>
    </row>
    <row r="38" spans="1:33" ht="12.75" customHeight="1" x14ac:dyDescent="0.2">
      <c r="A38" s="182" t="s">
        <v>26</v>
      </c>
      <c r="B38" s="17"/>
      <c r="C38" s="227"/>
      <c r="D38" s="213"/>
      <c r="E38" s="17" t="s">
        <v>40</v>
      </c>
      <c r="F38" s="18" t="s">
        <v>41</v>
      </c>
      <c r="G38" s="19">
        <v>210</v>
      </c>
      <c r="H38" s="124"/>
      <c r="I38" s="162"/>
      <c r="J38" s="1580" t="s">
        <v>42</v>
      </c>
      <c r="K38" s="1581">
        <v>612</v>
      </c>
      <c r="L38" s="249">
        <v>11520</v>
      </c>
      <c r="M38" s="245">
        <v>11520</v>
      </c>
      <c r="N38" s="65">
        <f t="shared" si="0"/>
        <v>54.857142857142854</v>
      </c>
      <c r="O38" s="65">
        <f t="shared" si="1"/>
        <v>54.857142857142854</v>
      </c>
      <c r="P38" s="65"/>
      <c r="Q38" s="65"/>
      <c r="R38" s="65"/>
      <c r="S38" s="65"/>
      <c r="T38" s="65">
        <v>408</v>
      </c>
      <c r="U38" s="65"/>
      <c r="V38" s="65">
        <v>72</v>
      </c>
      <c r="W38" s="65"/>
      <c r="X38" s="66">
        <f t="shared" si="2"/>
        <v>1152</v>
      </c>
      <c r="Y38" s="81"/>
      <c r="Z38" s="390"/>
      <c r="AA38" s="378"/>
      <c r="AB38" s="54">
        <f t="shared" si="3"/>
        <v>160</v>
      </c>
      <c r="AC38" s="99">
        <f t="shared" si="4"/>
        <v>5.666666666666667</v>
      </c>
      <c r="AD38" s="110">
        <f t="shared" si="5"/>
        <v>147456</v>
      </c>
      <c r="AG38" s="236"/>
    </row>
    <row r="39" spans="1:33" ht="12.75" customHeight="1" x14ac:dyDescent="0.2">
      <c r="A39" s="182" t="s">
        <v>26</v>
      </c>
      <c r="B39" s="17"/>
      <c r="C39" s="227"/>
      <c r="D39" s="213"/>
      <c r="E39" s="17" t="s">
        <v>43</v>
      </c>
      <c r="F39" s="18" t="s">
        <v>41</v>
      </c>
      <c r="G39" s="19">
        <v>290</v>
      </c>
      <c r="H39" s="124"/>
      <c r="I39" s="162"/>
      <c r="J39" s="1580" t="s">
        <v>44</v>
      </c>
      <c r="K39" s="1581">
        <v>1380</v>
      </c>
      <c r="L39" s="249">
        <v>16640</v>
      </c>
      <c r="M39" s="245">
        <v>16640</v>
      </c>
      <c r="N39" s="65">
        <f t="shared" si="0"/>
        <v>57.379310344827587</v>
      </c>
      <c r="O39" s="65">
        <f t="shared" si="1"/>
        <v>57.379310344827587</v>
      </c>
      <c r="P39" s="65"/>
      <c r="Q39" s="65"/>
      <c r="R39" s="65"/>
      <c r="S39" s="65"/>
      <c r="T39" s="65">
        <v>502</v>
      </c>
      <c r="U39" s="65"/>
      <c r="V39" s="65">
        <v>104</v>
      </c>
      <c r="W39" s="65"/>
      <c r="X39" s="66">
        <f t="shared" si="2"/>
        <v>1664</v>
      </c>
      <c r="Y39" s="81"/>
      <c r="Z39" s="390"/>
      <c r="AA39" s="378"/>
      <c r="AB39" s="54">
        <f t="shared" si="3"/>
        <v>160</v>
      </c>
      <c r="AC39" s="99">
        <f t="shared" si="4"/>
        <v>4.8269230769230766</v>
      </c>
      <c r="AD39" s="110">
        <f t="shared" si="5"/>
        <v>212992</v>
      </c>
      <c r="AG39" s="236"/>
    </row>
    <row r="40" spans="1:33" ht="12.75" customHeight="1" x14ac:dyDescent="0.2">
      <c r="A40" s="182" t="s">
        <v>26</v>
      </c>
      <c r="B40" s="17"/>
      <c r="C40" s="227"/>
      <c r="D40" s="213"/>
      <c r="E40" s="17" t="s">
        <v>45</v>
      </c>
      <c r="F40" s="18" t="s">
        <v>41</v>
      </c>
      <c r="G40" s="19">
        <v>460</v>
      </c>
      <c r="H40" s="124"/>
      <c r="I40" s="162"/>
      <c r="J40" s="1580" t="s">
        <v>46</v>
      </c>
      <c r="K40" s="1581">
        <v>1810</v>
      </c>
      <c r="L40" s="249">
        <v>24320</v>
      </c>
      <c r="M40" s="245">
        <v>24320</v>
      </c>
      <c r="N40" s="65">
        <f t="shared" si="0"/>
        <v>52.869565217391305</v>
      </c>
      <c r="O40" s="65">
        <f t="shared" si="1"/>
        <v>52.869565217391305</v>
      </c>
      <c r="P40" s="65"/>
      <c r="Q40" s="65"/>
      <c r="R40" s="65"/>
      <c r="S40" s="65"/>
      <c r="T40" s="65">
        <v>624</v>
      </c>
      <c r="U40" s="65"/>
      <c r="V40" s="65">
        <v>152</v>
      </c>
      <c r="W40" s="65"/>
      <c r="X40" s="66">
        <f t="shared" si="2"/>
        <v>2432</v>
      </c>
      <c r="Y40" s="81"/>
      <c r="Z40" s="390"/>
      <c r="AA40" s="378"/>
      <c r="AB40" s="54">
        <f t="shared" si="3"/>
        <v>160</v>
      </c>
      <c r="AC40" s="99">
        <f t="shared" si="4"/>
        <v>4.1052631578947372</v>
      </c>
      <c r="AD40" s="110">
        <f t="shared" si="5"/>
        <v>311296</v>
      </c>
      <c r="AG40" s="236"/>
    </row>
    <row r="41" spans="1:33" ht="12.75" customHeight="1" x14ac:dyDescent="0.2">
      <c r="A41" s="182" t="s">
        <v>26</v>
      </c>
      <c r="B41" s="17"/>
      <c r="C41" s="227"/>
      <c r="D41" s="213"/>
      <c r="E41" s="17" t="s">
        <v>47</v>
      </c>
      <c r="F41" s="18" t="s">
        <v>48</v>
      </c>
      <c r="G41" s="19">
        <v>570</v>
      </c>
      <c r="H41" s="124"/>
      <c r="I41" s="162"/>
      <c r="J41" s="1580" t="s">
        <v>49</v>
      </c>
      <c r="K41" s="1581">
        <v>4200</v>
      </c>
      <c r="L41" s="249">
        <v>38400</v>
      </c>
      <c r="M41" s="245">
        <v>38400</v>
      </c>
      <c r="N41" s="65">
        <f t="shared" si="0"/>
        <v>67.368421052631575</v>
      </c>
      <c r="O41" s="65">
        <f t="shared" si="1"/>
        <v>67.368421052631575</v>
      </c>
      <c r="P41" s="65"/>
      <c r="Q41" s="65"/>
      <c r="R41" s="65"/>
      <c r="S41" s="65"/>
      <c r="T41" s="65">
        <v>708</v>
      </c>
      <c r="U41" s="65"/>
      <c r="V41" s="65">
        <v>160</v>
      </c>
      <c r="W41" s="65"/>
      <c r="X41" s="66">
        <f t="shared" si="2"/>
        <v>3840</v>
      </c>
      <c r="Y41" s="81"/>
      <c r="Z41" s="390"/>
      <c r="AA41" s="378"/>
      <c r="AB41" s="54">
        <f t="shared" si="3"/>
        <v>240</v>
      </c>
      <c r="AC41" s="99">
        <f t="shared" si="4"/>
        <v>4.4249999999999998</v>
      </c>
      <c r="AD41" s="110">
        <f t="shared" si="5"/>
        <v>327680</v>
      </c>
      <c r="AG41" s="236"/>
    </row>
    <row r="42" spans="1:33" ht="12.75" customHeight="1" thickBot="1" x14ac:dyDescent="0.25">
      <c r="A42" s="182" t="s">
        <v>26</v>
      </c>
      <c r="B42" s="21"/>
      <c r="C42" s="228"/>
      <c r="D42" s="214"/>
      <c r="E42" s="21" t="s">
        <v>50</v>
      </c>
      <c r="F42" s="22" t="s">
        <v>41</v>
      </c>
      <c r="G42" s="23">
        <v>1325</v>
      </c>
      <c r="H42" s="125"/>
      <c r="I42" s="163"/>
      <c r="J42" s="1592" t="s">
        <v>42</v>
      </c>
      <c r="K42" s="1593">
        <v>4030</v>
      </c>
      <c r="L42" s="250">
        <v>51840</v>
      </c>
      <c r="M42" s="246">
        <v>51840</v>
      </c>
      <c r="N42" s="65">
        <f t="shared" si="0"/>
        <v>39.124528301886791</v>
      </c>
      <c r="O42" s="68">
        <f t="shared" si="1"/>
        <v>39.124528301886791</v>
      </c>
      <c r="P42" s="68"/>
      <c r="Q42" s="68"/>
      <c r="R42" s="68"/>
      <c r="S42" s="68"/>
      <c r="T42" s="68">
        <v>808</v>
      </c>
      <c r="U42" s="68"/>
      <c r="V42" s="68">
        <v>216</v>
      </c>
      <c r="W42" s="68"/>
      <c r="X42" s="69">
        <f t="shared" si="2"/>
        <v>5184</v>
      </c>
      <c r="Y42" s="82"/>
      <c r="Z42" s="396"/>
      <c r="AA42" s="379"/>
      <c r="AB42" s="55">
        <f t="shared" si="3"/>
        <v>240</v>
      </c>
      <c r="AC42" s="100">
        <f t="shared" si="4"/>
        <v>3.7407407407407409</v>
      </c>
      <c r="AD42" s="111">
        <f t="shared" si="5"/>
        <v>442368</v>
      </c>
      <c r="AG42" s="236"/>
    </row>
    <row r="43" spans="1:33" x14ac:dyDescent="0.2">
      <c r="A43" s="182"/>
      <c r="B43" s="48" t="s">
        <v>717</v>
      </c>
      <c r="C43" s="226"/>
      <c r="D43" s="212"/>
      <c r="E43" s="12" t="s">
        <v>51</v>
      </c>
      <c r="F43" s="13"/>
      <c r="G43" s="14" t="s">
        <v>21</v>
      </c>
      <c r="H43" s="123"/>
      <c r="I43" s="161"/>
      <c r="J43" s="1578"/>
      <c r="K43" s="1583" t="s">
        <v>22</v>
      </c>
      <c r="L43" s="248" t="s">
        <v>23</v>
      </c>
      <c r="M43" s="60"/>
      <c r="N43" s="380">
        <f>AVERAGE(N44:N48)</f>
        <v>32.526573426573428</v>
      </c>
      <c r="O43" s="61"/>
      <c r="P43" s="61"/>
      <c r="Q43" s="61"/>
      <c r="R43" s="61"/>
      <c r="S43" s="61"/>
      <c r="T43" s="61"/>
      <c r="U43" s="61"/>
      <c r="V43" s="62" t="s">
        <v>52</v>
      </c>
      <c r="W43" s="61"/>
      <c r="X43" s="63" t="s">
        <v>25</v>
      </c>
      <c r="Y43" s="80"/>
      <c r="Z43" s="206"/>
      <c r="AA43" s="545"/>
      <c r="AB43" s="92">
        <f>AVERAGE(AB44:AB48)</f>
        <v>208</v>
      </c>
      <c r="AC43" s="1452">
        <f>AVERAGE(AC44:AC48)</f>
        <v>4.0336341396294699</v>
      </c>
      <c r="AD43" s="109" t="s">
        <v>650</v>
      </c>
      <c r="AG43" s="236"/>
    </row>
    <row r="44" spans="1:33" ht="12.75" customHeight="1" x14ac:dyDescent="0.2">
      <c r="A44" s="182" t="s">
        <v>26</v>
      </c>
      <c r="B44" s="17"/>
      <c r="C44" s="227"/>
      <c r="D44" s="213"/>
      <c r="E44" s="17" t="s">
        <v>53</v>
      </c>
      <c r="F44" s="18" t="s">
        <v>54</v>
      </c>
      <c r="G44" s="19">
        <v>400</v>
      </c>
      <c r="H44" s="124"/>
      <c r="I44" s="162"/>
      <c r="J44" s="1580" t="s">
        <v>55</v>
      </c>
      <c r="K44" s="1581">
        <v>1210</v>
      </c>
      <c r="L44" s="249">
        <v>16640</v>
      </c>
      <c r="M44" s="245">
        <v>16640</v>
      </c>
      <c r="N44" s="65">
        <f>IF(AND(G44&lt;&gt;"",M44&lt;&gt;""),M44/G44,"")</f>
        <v>41.6</v>
      </c>
      <c r="O44" s="65">
        <f>IF(AND(G44&lt;&gt;"",L44&lt;&gt;""),L44/G44,"")</f>
        <v>41.6</v>
      </c>
      <c r="P44" s="65"/>
      <c r="Q44" s="65"/>
      <c r="R44" s="65"/>
      <c r="S44" s="65"/>
      <c r="T44" s="65">
        <v>492</v>
      </c>
      <c r="U44" s="65"/>
      <c r="V44" s="65">
        <v>104</v>
      </c>
      <c r="W44" s="65"/>
      <c r="X44" s="66">
        <f>L44/10</f>
        <v>1664</v>
      </c>
      <c r="Y44" s="81"/>
      <c r="Z44" s="390"/>
      <c r="AA44" s="378"/>
      <c r="AB44" s="54">
        <f>L44/V44</f>
        <v>160</v>
      </c>
      <c r="AC44" s="281">
        <f>T44/V44</f>
        <v>4.7307692307692308</v>
      </c>
      <c r="AD44" s="191">
        <f>256*16*V44/1000000</f>
        <v>0.42598399999999997</v>
      </c>
      <c r="AG44" s="236"/>
    </row>
    <row r="45" spans="1:33" ht="12.75" customHeight="1" x14ac:dyDescent="0.2">
      <c r="A45" s="182" t="s">
        <v>26</v>
      </c>
      <c r="B45" s="17"/>
      <c r="C45" s="227"/>
      <c r="D45" s="213"/>
      <c r="E45" s="17" t="s">
        <v>56</v>
      </c>
      <c r="F45" s="18" t="s">
        <v>57</v>
      </c>
      <c r="G45" s="19">
        <v>650</v>
      </c>
      <c r="H45" s="124"/>
      <c r="I45" s="162"/>
      <c r="J45" s="1580" t="s">
        <v>55</v>
      </c>
      <c r="K45" s="1581">
        <v>1630</v>
      </c>
      <c r="L45" s="249">
        <v>24320</v>
      </c>
      <c r="M45" s="245">
        <v>24320</v>
      </c>
      <c r="N45" s="65">
        <f>IF(AND(G45&lt;&gt;"",M45&lt;&gt;""),M45/G45,"")</f>
        <v>37.415384615384617</v>
      </c>
      <c r="O45" s="65">
        <f>IF(AND(G45&lt;&gt;"",L45&lt;&gt;""),L45/G45,"")</f>
        <v>37.415384615384617</v>
      </c>
      <c r="P45" s="65"/>
      <c r="Q45" s="65"/>
      <c r="R45" s="65"/>
      <c r="S45" s="65"/>
      <c r="T45" s="65">
        <v>607</v>
      </c>
      <c r="U45" s="65"/>
      <c r="V45" s="65">
        <v>152</v>
      </c>
      <c r="W45" s="65"/>
      <c r="X45" s="66">
        <f>L45/10</f>
        <v>2432</v>
      </c>
      <c r="Y45" s="81"/>
      <c r="Z45" s="390"/>
      <c r="AA45" s="378"/>
      <c r="AB45" s="54">
        <f>L45/V45</f>
        <v>160</v>
      </c>
      <c r="AC45" s="281">
        <f>T45/V45</f>
        <v>3.9934210526315788</v>
      </c>
      <c r="AD45" s="191">
        <f>256*16*V45/1000000</f>
        <v>0.62259200000000003</v>
      </c>
      <c r="AG45" s="236"/>
    </row>
    <row r="46" spans="1:33" ht="12.75" customHeight="1" x14ac:dyDescent="0.2">
      <c r="A46" s="182" t="s">
        <v>26</v>
      </c>
      <c r="B46" s="17"/>
      <c r="C46" s="227"/>
      <c r="D46" s="213"/>
      <c r="E46" s="17" t="s">
        <v>58</v>
      </c>
      <c r="F46" s="18" t="s">
        <v>57</v>
      </c>
      <c r="G46" s="19">
        <v>1200</v>
      </c>
      <c r="H46" s="124"/>
      <c r="I46" s="162"/>
      <c r="J46" s="1580" t="s">
        <v>59</v>
      </c>
      <c r="K46" s="1581">
        <v>3260</v>
      </c>
      <c r="L46" s="249">
        <v>38400</v>
      </c>
      <c r="M46" s="245">
        <v>38400</v>
      </c>
      <c r="N46" s="65">
        <f>IF(AND(G46&lt;&gt;"",M46&lt;&gt;""),M46/G46,"")</f>
        <v>32</v>
      </c>
      <c r="O46" s="65">
        <f>IF(AND(G46&lt;&gt;"",L46&lt;&gt;""),L46/G46,"")</f>
        <v>32</v>
      </c>
      <c r="P46" s="65"/>
      <c r="Q46" s="65"/>
      <c r="R46" s="65"/>
      <c r="S46" s="65"/>
      <c r="T46" s="65">
        <v>735</v>
      </c>
      <c r="U46" s="65"/>
      <c r="V46" s="65">
        <v>160</v>
      </c>
      <c r="W46" s="65"/>
      <c r="X46" s="66">
        <f>L46/10</f>
        <v>3840</v>
      </c>
      <c r="Y46" s="81"/>
      <c r="Z46" s="390"/>
      <c r="AA46" s="378"/>
      <c r="AB46" s="54">
        <f>L46/V46</f>
        <v>240</v>
      </c>
      <c r="AC46" s="281">
        <f>T46/V46</f>
        <v>4.59375</v>
      </c>
      <c r="AD46" s="191">
        <f>256*16*V46/1000000</f>
        <v>0.65536000000000005</v>
      </c>
      <c r="AG46" s="236"/>
    </row>
    <row r="47" spans="1:33" ht="12.75" customHeight="1" x14ac:dyDescent="0.2">
      <c r="A47" s="182" t="s">
        <v>26</v>
      </c>
      <c r="B47" s="17"/>
      <c r="C47" s="227"/>
      <c r="D47" s="213"/>
      <c r="E47" s="17" t="s">
        <v>60</v>
      </c>
      <c r="F47" s="18" t="s">
        <v>61</v>
      </c>
      <c r="G47" s="19">
        <v>3520</v>
      </c>
      <c r="H47" s="124"/>
      <c r="I47" s="162"/>
      <c r="J47" s="1580" t="s">
        <v>62</v>
      </c>
      <c r="K47" s="1581">
        <v>9410</v>
      </c>
      <c r="L47" s="249">
        <v>67200</v>
      </c>
      <c r="M47" s="245">
        <v>67200</v>
      </c>
      <c r="N47" s="65">
        <f>IF(AND(G47&lt;&gt;"",M47&lt;&gt;""),M47/G47,"")</f>
        <v>19.09090909090909</v>
      </c>
      <c r="O47" s="65">
        <f>IF(AND(G47&lt;&gt;"",L47&lt;&gt;""),L47/G47,"")</f>
        <v>19.09090909090909</v>
      </c>
      <c r="P47" s="65"/>
      <c r="Q47" s="65"/>
      <c r="R47" s="65"/>
      <c r="S47" s="65"/>
      <c r="T47" s="65">
        <v>1060</v>
      </c>
      <c r="U47" s="65"/>
      <c r="V47" s="65">
        <v>280</v>
      </c>
      <c r="W47" s="65"/>
      <c r="X47" s="66">
        <f>L47/10</f>
        <v>6720</v>
      </c>
      <c r="Y47" s="81"/>
      <c r="Z47" s="390"/>
      <c r="AA47" s="378"/>
      <c r="AB47" s="54">
        <f>L47/V47</f>
        <v>240</v>
      </c>
      <c r="AC47" s="281">
        <f>T47/V47</f>
        <v>3.7857142857142856</v>
      </c>
      <c r="AD47" s="191">
        <f>256*16*V47/1000000</f>
        <v>1.1468799999999999</v>
      </c>
      <c r="AG47" s="236"/>
    </row>
    <row r="48" spans="1:33" ht="12.75" customHeight="1" thickBot="1" x14ac:dyDescent="0.25">
      <c r="A48" s="182" t="s">
        <v>26</v>
      </c>
      <c r="B48" s="21"/>
      <c r="C48" s="228"/>
      <c r="D48" s="214"/>
      <c r="E48" s="17" t="s">
        <v>63</v>
      </c>
      <c r="F48" s="18"/>
      <c r="G48" s="19"/>
      <c r="H48" s="124"/>
      <c r="I48" s="162"/>
      <c r="J48" s="1580"/>
      <c r="K48" s="1581"/>
      <c r="L48" s="249">
        <v>89280</v>
      </c>
      <c r="M48" s="245">
        <v>89280</v>
      </c>
      <c r="N48" s="65" t="str">
        <f>IF(AND(G48&lt;&gt;"",M48&lt;&gt;""),M48/G48,"")</f>
        <v/>
      </c>
      <c r="O48" s="65" t="str">
        <f>IF(AND(G48&lt;&gt;"",L48&lt;&gt;""),L48/G48,"")</f>
        <v/>
      </c>
      <c r="P48" s="65"/>
      <c r="Q48" s="65"/>
      <c r="R48" s="65"/>
      <c r="S48" s="65"/>
      <c r="T48" s="65">
        <v>1140</v>
      </c>
      <c r="U48" s="65"/>
      <c r="V48" s="65">
        <v>372</v>
      </c>
      <c r="W48" s="65"/>
      <c r="X48" s="66">
        <f>L48/10</f>
        <v>8928</v>
      </c>
      <c r="Y48" s="81"/>
      <c r="Z48" s="390"/>
      <c r="AA48" s="379"/>
      <c r="AB48" s="54">
        <f>L48/V48</f>
        <v>240</v>
      </c>
      <c r="AC48" s="281">
        <f>T48/V48</f>
        <v>3.064516129032258</v>
      </c>
      <c r="AD48" s="191">
        <f>256*16*V48/1000000</f>
        <v>1.523712</v>
      </c>
      <c r="AG48" s="236"/>
    </row>
    <row r="49" spans="1:33" x14ac:dyDescent="0.2">
      <c r="A49" s="182"/>
      <c r="B49" s="48" t="s">
        <v>717</v>
      </c>
      <c r="C49" s="226"/>
      <c r="D49" s="212"/>
      <c r="E49" s="12" t="s">
        <v>64</v>
      </c>
      <c r="F49" s="466" t="s">
        <v>1013</v>
      </c>
      <c r="G49" s="14" t="s">
        <v>22</v>
      </c>
      <c r="H49" s="132" t="s">
        <v>525</v>
      </c>
      <c r="I49" s="161"/>
      <c r="J49" s="1582"/>
      <c r="K49" s="1583" t="s">
        <v>22</v>
      </c>
      <c r="L49" s="248" t="s">
        <v>23</v>
      </c>
      <c r="M49" s="60"/>
      <c r="N49" s="385">
        <f>AVERAGE(N50:N53)</f>
        <v>44.872557622557622</v>
      </c>
      <c r="O49" s="61"/>
      <c r="P49" s="61"/>
      <c r="Q49" s="61"/>
      <c r="R49" s="61"/>
      <c r="S49" s="61"/>
      <c r="T49" s="61"/>
      <c r="U49" s="61"/>
      <c r="V49" s="62"/>
      <c r="W49" s="61" t="s">
        <v>66</v>
      </c>
      <c r="X49" s="109" t="s">
        <v>25</v>
      </c>
      <c r="Y49" s="80" t="s">
        <v>65</v>
      </c>
      <c r="Z49" s="164"/>
      <c r="AA49" s="373"/>
      <c r="AB49" s="92"/>
      <c r="AC49" s="98"/>
      <c r="AD49" s="109" t="s">
        <v>66</v>
      </c>
      <c r="AG49" s="236"/>
    </row>
    <row r="50" spans="1:33" x14ac:dyDescent="0.2">
      <c r="A50" s="182" t="s">
        <v>26</v>
      </c>
      <c r="B50" s="41" t="s">
        <v>701</v>
      </c>
      <c r="C50" s="227"/>
      <c r="D50" s="213" t="s">
        <v>702</v>
      </c>
      <c r="E50" s="118" t="s">
        <v>541</v>
      </c>
      <c r="F50" s="18" t="s">
        <v>540</v>
      </c>
      <c r="G50" s="19">
        <v>6</v>
      </c>
      <c r="H50" s="124">
        <v>5</v>
      </c>
      <c r="I50" s="162">
        <v>80</v>
      </c>
      <c r="J50" s="1580" t="s">
        <v>67</v>
      </c>
      <c r="K50" s="1581">
        <v>11.9</v>
      </c>
      <c r="L50" s="451">
        <f>X50/100</f>
        <v>0.24</v>
      </c>
      <c r="M50" s="452">
        <f>L50</f>
        <v>0.24</v>
      </c>
      <c r="N50" s="65">
        <f>IF(AND(G50&lt;&gt;"",M50&lt;&gt;""),1000*M50/G50,"")</f>
        <v>40</v>
      </c>
      <c r="O50" s="65">
        <f>IF(AND(G50&lt;&gt;"",L50&lt;&gt;""),L50/G50,"")</f>
        <v>0.04</v>
      </c>
      <c r="P50" s="65"/>
      <c r="Q50" s="65"/>
      <c r="R50" s="65"/>
      <c r="S50" s="65"/>
      <c r="T50" s="65">
        <v>80</v>
      </c>
      <c r="U50" s="65"/>
      <c r="V50" s="65"/>
      <c r="W50" s="65"/>
      <c r="X50" s="110">
        <v>24</v>
      </c>
      <c r="Y50" s="81">
        <v>1.5</v>
      </c>
      <c r="Z50" s="141">
        <f>IF(AND(L50&lt;&gt;"",Y50&lt;&gt;""),1000*L50/Y50,"")</f>
        <v>160</v>
      </c>
      <c r="AA50" s="371"/>
      <c r="AB50" s="54"/>
      <c r="AC50" s="99"/>
      <c r="AD50" s="110">
        <v>8192</v>
      </c>
      <c r="AG50" s="236"/>
    </row>
    <row r="51" spans="1:33" x14ac:dyDescent="0.2">
      <c r="A51" s="182" t="s">
        <v>26</v>
      </c>
      <c r="B51" s="41" t="s">
        <v>701</v>
      </c>
      <c r="C51" s="227"/>
      <c r="D51" s="213" t="s">
        <v>702</v>
      </c>
      <c r="E51" s="118" t="s">
        <v>542</v>
      </c>
      <c r="F51" s="18" t="s">
        <v>68</v>
      </c>
      <c r="G51" s="19">
        <v>13.3</v>
      </c>
      <c r="H51" s="124">
        <v>6</v>
      </c>
      <c r="I51" s="162">
        <v>76</v>
      </c>
      <c r="J51" s="1580" t="s">
        <v>69</v>
      </c>
      <c r="K51" s="1581">
        <v>43.3</v>
      </c>
      <c r="L51" s="451">
        <f>X51/100</f>
        <v>0.56999999999999995</v>
      </c>
      <c r="M51" s="452">
        <f>L51</f>
        <v>0.56999999999999995</v>
      </c>
      <c r="N51" s="65">
        <f>IF(AND(G51&lt;&gt;"",M51&lt;&gt;""),1000*M51/G51,"")</f>
        <v>42.857142857142854</v>
      </c>
      <c r="O51" s="65">
        <f>IF(AND(G51&lt;&gt;"",L51&lt;&gt;""),L51/G51,"")</f>
        <v>4.2857142857142851E-2</v>
      </c>
      <c r="P51" s="65"/>
      <c r="Q51" s="65"/>
      <c r="R51" s="65"/>
      <c r="S51" s="65"/>
      <c r="T51" s="65">
        <v>160</v>
      </c>
      <c r="U51" s="65"/>
      <c r="V51" s="65"/>
      <c r="W51" s="65"/>
      <c r="X51" s="110">
        <v>57</v>
      </c>
      <c r="Y51" s="81">
        <v>2.2999999999999998</v>
      </c>
      <c r="Z51" s="141">
        <f>IF(AND(L51&lt;&gt;"",Y51&lt;&gt;""),1000*L51/Y51,"")</f>
        <v>247.82608695652175</v>
      </c>
      <c r="AA51" s="371"/>
      <c r="AB51" s="54"/>
      <c r="AC51" s="99"/>
      <c r="AD51" s="110">
        <v>8192</v>
      </c>
      <c r="AG51" s="236"/>
    </row>
    <row r="52" spans="1:33" x14ac:dyDescent="0.2">
      <c r="A52" s="182" t="s">
        <v>26</v>
      </c>
      <c r="B52" s="41" t="s">
        <v>701</v>
      </c>
      <c r="C52" s="227"/>
      <c r="D52" s="213" t="s">
        <v>702</v>
      </c>
      <c r="E52" s="118" t="s">
        <v>70</v>
      </c>
      <c r="F52" s="18" t="s">
        <v>71</v>
      </c>
      <c r="G52" s="19">
        <v>30</v>
      </c>
      <c r="H52" s="124">
        <v>11</v>
      </c>
      <c r="I52" s="162">
        <v>212</v>
      </c>
      <c r="J52" s="1580" t="s">
        <v>69</v>
      </c>
      <c r="K52" s="1581">
        <v>60</v>
      </c>
      <c r="L52" s="451">
        <f>X52/100</f>
        <v>1.27</v>
      </c>
      <c r="M52" s="452">
        <f>L52</f>
        <v>1.27</v>
      </c>
      <c r="N52" s="65">
        <f>IF(AND(G52&lt;&gt;"",M52&lt;&gt;""),1000*M52/G52,"")</f>
        <v>42.333333333333336</v>
      </c>
      <c r="O52" s="65">
        <f>IF(AND(G52&lt;&gt;"",L52&lt;&gt;""),L52/G52,"")</f>
        <v>4.2333333333333334E-2</v>
      </c>
      <c r="P52" s="65"/>
      <c r="Q52" s="65"/>
      <c r="R52" s="65"/>
      <c r="S52" s="65"/>
      <c r="T52" s="65">
        <v>212</v>
      </c>
      <c r="U52" s="65"/>
      <c r="V52" s="65"/>
      <c r="W52" s="65"/>
      <c r="X52" s="110">
        <v>127</v>
      </c>
      <c r="Y52" s="81">
        <v>4.25</v>
      </c>
      <c r="Z52" s="141">
        <f>IF(AND(L52&lt;&gt;"",Y52&lt;&gt;""),1000*L52/Y52,"")</f>
        <v>298.8235294117647</v>
      </c>
      <c r="AA52" s="371"/>
      <c r="AB52" s="54"/>
      <c r="AC52" s="99"/>
      <c r="AD52" s="110">
        <v>8192</v>
      </c>
      <c r="AG52" s="236"/>
    </row>
    <row r="53" spans="1:33" ht="13.5" thickBot="1" x14ac:dyDescent="0.25">
      <c r="A53" s="182" t="s">
        <v>26</v>
      </c>
      <c r="B53" s="33" t="s">
        <v>701</v>
      </c>
      <c r="C53" s="228"/>
      <c r="D53" s="213" t="s">
        <v>702</v>
      </c>
      <c r="E53" s="146" t="s">
        <v>72</v>
      </c>
      <c r="F53" s="22" t="s">
        <v>73</v>
      </c>
      <c r="G53" s="23">
        <v>40.700000000000003</v>
      </c>
      <c r="H53" s="125">
        <v>17</v>
      </c>
      <c r="I53" s="163">
        <v>204</v>
      </c>
      <c r="J53" s="1592" t="s">
        <v>74</v>
      </c>
      <c r="K53" s="1593">
        <v>92.8</v>
      </c>
      <c r="L53" s="451">
        <f>X53/100</f>
        <v>2.21</v>
      </c>
      <c r="M53" s="452">
        <f>L53</f>
        <v>2.21</v>
      </c>
      <c r="N53" s="65">
        <f>IF(AND(G53&lt;&gt;"",M53&lt;&gt;""),1000*M53/G53,"")</f>
        <v>54.299754299754298</v>
      </c>
      <c r="O53" s="68">
        <f>IF(AND(G53&lt;&gt;"",L53&lt;&gt;""),L53/G53,"")</f>
        <v>5.4299754299754296E-2</v>
      </c>
      <c r="P53" s="68"/>
      <c r="Q53" s="68"/>
      <c r="R53" s="68"/>
      <c r="S53" s="68"/>
      <c r="T53" s="68">
        <v>272</v>
      </c>
      <c r="U53" s="68"/>
      <c r="V53" s="68"/>
      <c r="W53" s="68"/>
      <c r="X53" s="111">
        <v>221</v>
      </c>
      <c r="Y53" s="82">
        <v>7</v>
      </c>
      <c r="Z53" s="141">
        <f>IF(AND(L53&lt;&gt;"",Y53&lt;&gt;""),1000*L53/Y53,"")</f>
        <v>315.71428571428572</v>
      </c>
      <c r="AA53" s="371"/>
      <c r="AB53" s="55"/>
      <c r="AC53" s="100"/>
      <c r="AD53" s="111">
        <v>8192</v>
      </c>
      <c r="AG53" s="236"/>
    </row>
    <row r="54" spans="1:33" x14ac:dyDescent="0.2">
      <c r="A54" s="182"/>
      <c r="B54" s="193"/>
      <c r="C54" s="226"/>
      <c r="D54" s="212"/>
      <c r="E54" s="12" t="s">
        <v>75</v>
      </c>
      <c r="F54" s="13"/>
      <c r="G54" s="14" t="s">
        <v>22</v>
      </c>
      <c r="H54" s="123"/>
      <c r="I54" s="161"/>
      <c r="J54" s="1578"/>
      <c r="K54" s="1583" t="s">
        <v>22</v>
      </c>
      <c r="L54" s="248" t="s">
        <v>23</v>
      </c>
      <c r="M54" s="61"/>
      <c r="N54" s="380">
        <f>AVERAGE(N55:N59)</f>
        <v>299.21237581250745</v>
      </c>
      <c r="O54" s="61"/>
      <c r="P54" s="61"/>
      <c r="Q54" s="61"/>
      <c r="R54" s="61"/>
      <c r="S54" s="61"/>
      <c r="T54" s="61"/>
      <c r="U54" s="61"/>
      <c r="V54" s="62" t="s">
        <v>76</v>
      </c>
      <c r="W54" s="61"/>
      <c r="X54" s="109" t="s">
        <v>25</v>
      </c>
      <c r="Y54" s="215" t="s">
        <v>65</v>
      </c>
      <c r="Z54" s="164"/>
      <c r="AA54" s="377"/>
      <c r="AB54" s="210">
        <v>260.70016968325791</v>
      </c>
      <c r="AC54" s="98">
        <v>8.8894937782805421</v>
      </c>
      <c r="AD54" s="109"/>
      <c r="AG54" s="236"/>
    </row>
    <row r="55" spans="1:33" x14ac:dyDescent="0.2">
      <c r="A55" s="182" t="s">
        <v>26</v>
      </c>
      <c r="B55" s="17"/>
      <c r="C55" s="227"/>
      <c r="D55" s="213"/>
      <c r="E55" s="118" t="s">
        <v>77</v>
      </c>
      <c r="F55" s="18" t="s">
        <v>78</v>
      </c>
      <c r="G55" s="19">
        <v>10.7</v>
      </c>
      <c r="H55" s="124"/>
      <c r="I55" s="162"/>
      <c r="J55" s="1580" t="s">
        <v>79</v>
      </c>
      <c r="K55" s="1581">
        <v>28.2</v>
      </c>
      <c r="L55" s="249">
        <v>2910</v>
      </c>
      <c r="M55" s="151">
        <v>2910</v>
      </c>
      <c r="N55" s="65">
        <f>IF(AND(G55&lt;&gt;"",M55&lt;&gt;""),M55/G55,"")</f>
        <v>271.96261682242994</v>
      </c>
      <c r="O55" s="65">
        <v>271.96261682242994</v>
      </c>
      <c r="P55" s="65"/>
      <c r="Q55" s="65"/>
      <c r="R55" s="65">
        <v>1</v>
      </c>
      <c r="S55" s="65"/>
      <c r="T55" s="65">
        <v>104</v>
      </c>
      <c r="U55" s="65"/>
      <c r="V55" s="65">
        <v>13</v>
      </c>
      <c r="W55" s="65"/>
      <c r="X55" s="110">
        <v>291</v>
      </c>
      <c r="Y55" s="216">
        <v>4</v>
      </c>
      <c r="Z55" s="141">
        <v>727.5</v>
      </c>
      <c r="AA55" s="378"/>
      <c r="AB55" s="211">
        <v>223.84615384615384</v>
      </c>
      <c r="AC55" s="99">
        <v>8</v>
      </c>
      <c r="AD55" s="110">
        <v>59904</v>
      </c>
      <c r="AG55" s="236"/>
    </row>
    <row r="56" spans="1:33" x14ac:dyDescent="0.2">
      <c r="A56" s="182" t="s">
        <v>26</v>
      </c>
      <c r="B56" s="17"/>
      <c r="C56" s="227"/>
      <c r="D56" s="213"/>
      <c r="E56" s="118" t="s">
        <v>80</v>
      </c>
      <c r="F56" s="18" t="s">
        <v>81</v>
      </c>
      <c r="G56" s="19">
        <v>19.2</v>
      </c>
      <c r="H56" s="124"/>
      <c r="I56" s="162"/>
      <c r="J56" s="1580" t="s">
        <v>82</v>
      </c>
      <c r="K56" s="1581">
        <v>42.2</v>
      </c>
      <c r="L56" s="249">
        <v>4000</v>
      </c>
      <c r="M56" s="151">
        <v>4000</v>
      </c>
      <c r="N56" s="65">
        <f>IF(AND(G56&lt;&gt;"",M56&lt;&gt;""),M56/G56,"")</f>
        <v>208.33333333333334</v>
      </c>
      <c r="O56" s="65">
        <v>208.33333333333334</v>
      </c>
      <c r="P56" s="65"/>
      <c r="Q56" s="65"/>
      <c r="R56" s="65">
        <v>2</v>
      </c>
      <c r="S56" s="65"/>
      <c r="T56" s="65">
        <v>301</v>
      </c>
      <c r="U56" s="65"/>
      <c r="V56" s="65">
        <v>17</v>
      </c>
      <c r="W56" s="65"/>
      <c r="X56" s="110">
        <v>400</v>
      </c>
      <c r="Y56" s="216">
        <v>7.5</v>
      </c>
      <c r="Z56" s="141">
        <v>533.33333333333337</v>
      </c>
      <c r="AA56" s="378"/>
      <c r="AB56" s="211">
        <v>235.29411764705881</v>
      </c>
      <c r="AC56" s="99">
        <v>17.705882352941178</v>
      </c>
      <c r="AD56" s="110">
        <v>78336</v>
      </c>
      <c r="AG56" s="236"/>
    </row>
    <row r="57" spans="1:33" x14ac:dyDescent="0.2">
      <c r="A57" s="182" t="s">
        <v>26</v>
      </c>
      <c r="B57" s="17"/>
      <c r="C57" s="227"/>
      <c r="D57" s="213"/>
      <c r="E57" s="118" t="s">
        <v>83</v>
      </c>
      <c r="F57" s="18" t="s">
        <v>84</v>
      </c>
      <c r="G57" s="19">
        <v>17.5</v>
      </c>
      <c r="H57" s="124"/>
      <c r="I57" s="162"/>
      <c r="J57" s="1580" t="s">
        <v>85</v>
      </c>
      <c r="K57" s="1581">
        <v>56.2</v>
      </c>
      <c r="L57" s="249">
        <v>5980</v>
      </c>
      <c r="M57" s="151">
        <v>5980</v>
      </c>
      <c r="N57" s="65">
        <f>IF(AND(G57&lt;&gt;"",M57&lt;&gt;""),M57/G57,"")</f>
        <v>341.71428571428572</v>
      </c>
      <c r="O57" s="65">
        <v>341.71428571428572</v>
      </c>
      <c r="P57" s="65"/>
      <c r="Q57" s="65"/>
      <c r="R57" s="65">
        <v>2</v>
      </c>
      <c r="S57" s="65"/>
      <c r="T57" s="65">
        <v>185</v>
      </c>
      <c r="U57" s="65"/>
      <c r="V57" s="65">
        <v>20</v>
      </c>
      <c r="W57" s="65"/>
      <c r="X57" s="110">
        <v>598</v>
      </c>
      <c r="Y57" s="216">
        <v>7.5</v>
      </c>
      <c r="Z57" s="141">
        <v>797.33333333333337</v>
      </c>
      <c r="AA57" s="378"/>
      <c r="AB57" s="211">
        <v>299</v>
      </c>
      <c r="AC57" s="99">
        <v>9.25</v>
      </c>
      <c r="AD57" s="110">
        <v>92160</v>
      </c>
      <c r="AG57" s="236"/>
    </row>
    <row r="58" spans="1:33" x14ac:dyDescent="0.2">
      <c r="A58" s="182" t="s">
        <v>26</v>
      </c>
      <c r="B58" s="17"/>
      <c r="C58" s="227"/>
      <c r="D58" s="213"/>
      <c r="E58" s="118" t="s">
        <v>86</v>
      </c>
      <c r="F58" s="18" t="s">
        <v>87</v>
      </c>
      <c r="G58" s="19">
        <v>35.5</v>
      </c>
      <c r="H58" s="124"/>
      <c r="I58" s="162"/>
      <c r="J58" s="1580" t="s">
        <v>88</v>
      </c>
      <c r="K58" s="1581">
        <v>102.4</v>
      </c>
      <c r="L58" s="249">
        <v>12060</v>
      </c>
      <c r="M58" s="151">
        <v>12060</v>
      </c>
      <c r="N58" s="65">
        <f>IF(AND(G58&lt;&gt;"",M58&lt;&gt;""),M58/G58,"")</f>
        <v>339.71830985915494</v>
      </c>
      <c r="O58" s="65">
        <v>339.71830985915494</v>
      </c>
      <c r="P58" s="65"/>
      <c r="Q58" s="65"/>
      <c r="R58" s="65">
        <v>2</v>
      </c>
      <c r="S58" s="65"/>
      <c r="T58" s="65">
        <v>249</v>
      </c>
      <c r="U58" s="65"/>
      <c r="V58" s="65">
        <v>52</v>
      </c>
      <c r="W58" s="65"/>
      <c r="X58" s="110">
        <v>1206</v>
      </c>
      <c r="Y58" s="216">
        <v>12</v>
      </c>
      <c r="Z58" s="141">
        <v>1005</v>
      </c>
      <c r="AA58" s="378"/>
      <c r="AB58" s="211">
        <v>231.92307692307693</v>
      </c>
      <c r="AC58" s="99">
        <v>4.7884615384615383</v>
      </c>
      <c r="AD58" s="110">
        <v>239616</v>
      </c>
      <c r="AG58" s="236"/>
    </row>
    <row r="59" spans="1:33" ht="13.5" thickBot="1" x14ac:dyDescent="0.25">
      <c r="A59" s="182" t="s">
        <v>26</v>
      </c>
      <c r="B59" s="21"/>
      <c r="C59" s="228"/>
      <c r="D59" s="214"/>
      <c r="E59" s="146" t="s">
        <v>89</v>
      </c>
      <c r="F59" s="22" t="s">
        <v>81</v>
      </c>
      <c r="G59" s="23">
        <v>60</v>
      </c>
      <c r="H59" s="125"/>
      <c r="I59" s="163"/>
      <c r="J59" s="1592" t="s">
        <v>90</v>
      </c>
      <c r="K59" s="1593">
        <v>170.6</v>
      </c>
      <c r="L59" s="250">
        <v>20060</v>
      </c>
      <c r="M59" s="152">
        <v>20060</v>
      </c>
      <c r="N59" s="65">
        <f>IF(AND(G59&lt;&gt;"",M59&lt;&gt;""),M59/G59,"")</f>
        <v>334.33333333333331</v>
      </c>
      <c r="O59" s="68">
        <v>334.33333333333331</v>
      </c>
      <c r="P59" s="68"/>
      <c r="Q59" s="68"/>
      <c r="R59" s="68">
        <v>2</v>
      </c>
      <c r="S59" s="68"/>
      <c r="T59" s="68">
        <v>301</v>
      </c>
      <c r="U59" s="68"/>
      <c r="V59" s="68">
        <v>64</v>
      </c>
      <c r="W59" s="68"/>
      <c r="X59" s="111">
        <v>2006</v>
      </c>
      <c r="Y59" s="217">
        <v>20</v>
      </c>
      <c r="Z59" s="142">
        <v>1003</v>
      </c>
      <c r="AA59" s="379"/>
      <c r="AB59" s="202">
        <v>313.4375</v>
      </c>
      <c r="AC59" s="100">
        <v>4.703125</v>
      </c>
      <c r="AD59" s="111">
        <v>294912</v>
      </c>
      <c r="AG59" s="236"/>
    </row>
    <row r="60" spans="1:33" ht="13.5" customHeight="1" x14ac:dyDescent="0.2">
      <c r="A60" s="182"/>
      <c r="B60" s="48" t="s">
        <v>717</v>
      </c>
      <c r="C60" s="226"/>
      <c r="D60" s="212"/>
      <c r="E60" s="12" t="s">
        <v>101</v>
      </c>
      <c r="F60" s="466" t="s">
        <v>1016</v>
      </c>
      <c r="G60" s="14" t="s">
        <v>22</v>
      </c>
      <c r="H60" s="123"/>
      <c r="I60" s="161"/>
      <c r="J60" s="1578" t="s">
        <v>102</v>
      </c>
      <c r="K60" s="1583" t="s">
        <v>22</v>
      </c>
      <c r="L60" s="248" t="s">
        <v>23</v>
      </c>
      <c r="M60" s="60"/>
      <c r="N60" s="380">
        <f>AVERAGE(N61:N65)</f>
        <v>89.383489877368078</v>
      </c>
      <c r="O60" s="61"/>
      <c r="P60" s="61"/>
      <c r="Q60" s="61" t="s">
        <v>1737</v>
      </c>
      <c r="R60" s="61"/>
      <c r="S60" s="61" t="s">
        <v>436</v>
      </c>
      <c r="T60" s="61"/>
      <c r="U60" s="61" t="s">
        <v>104</v>
      </c>
      <c r="V60" s="62" t="s">
        <v>76</v>
      </c>
      <c r="W60" s="61" t="s">
        <v>105</v>
      </c>
      <c r="X60" s="109" t="s">
        <v>25</v>
      </c>
      <c r="Y60" s="80"/>
      <c r="Z60" s="164"/>
      <c r="AA60" s="380">
        <f>AVERAGE(AA61:AA65)</f>
        <v>525.06666666666672</v>
      </c>
      <c r="AB60" s="397">
        <f>AVERAGE(AB61:AB70)</f>
        <v>0.40056027021794033</v>
      </c>
      <c r="AC60" s="907">
        <f>AVERAGE(AC61:AC65)</f>
        <v>5.7290774125132566</v>
      </c>
      <c r="AD60" s="109"/>
      <c r="AE60" s="193"/>
      <c r="AF60" s="196">
        <f>AVERAGE(AF61:AF70)</f>
        <v>33.480184624103941</v>
      </c>
      <c r="AG60" s="236"/>
    </row>
    <row r="61" spans="1:33" x14ac:dyDescent="0.2">
      <c r="A61" s="182" t="s">
        <v>26</v>
      </c>
      <c r="B61" s="17"/>
      <c r="C61" s="227"/>
      <c r="D61" s="213"/>
      <c r="E61" s="190" t="s">
        <v>106</v>
      </c>
      <c r="F61" s="30" t="s">
        <v>580</v>
      </c>
      <c r="G61" s="31">
        <v>205</v>
      </c>
      <c r="H61" s="126">
        <v>23</v>
      </c>
      <c r="I61" s="166">
        <v>335</v>
      </c>
      <c r="J61" s="1595" t="s">
        <v>107</v>
      </c>
      <c r="K61" s="1596">
        <v>517.5</v>
      </c>
      <c r="L61" s="456">
        <f t="shared" ref="L61:L70" si="6">20*X61/1000</f>
        <v>21.14</v>
      </c>
      <c r="M61" s="457">
        <f t="shared" ref="M61:M70" si="7">20*X61/1000</f>
        <v>21.14</v>
      </c>
      <c r="N61" s="65">
        <f>IF(AND(G61&lt;&gt;"",M61&lt;&gt;""),1000*M61/G61,"")</f>
        <v>103.1219512195122</v>
      </c>
      <c r="O61" s="71">
        <f t="shared" ref="O61:O70" si="8">IF(AND(G61&lt;&gt;"",L61&lt;&gt;""),L61/G61,"")</f>
        <v>0.1031219512195122</v>
      </c>
      <c r="P61" s="71"/>
      <c r="Q61" s="71">
        <v>24</v>
      </c>
      <c r="R61" s="71">
        <v>6</v>
      </c>
      <c r="S61" s="71"/>
      <c r="T61" s="71">
        <v>422</v>
      </c>
      <c r="U61" s="71">
        <v>94</v>
      </c>
      <c r="V61" s="71">
        <v>60</v>
      </c>
      <c r="W61" s="71">
        <v>1</v>
      </c>
      <c r="X61" s="388">
        <v>1057</v>
      </c>
      <c r="Y61" s="83"/>
      <c r="Z61" s="172"/>
      <c r="AA61" s="371">
        <f t="shared" ref="AA61:AA70" si="9">500*M61/Q61</f>
        <v>440.41666666666669</v>
      </c>
      <c r="AB61" s="56">
        <f t="shared" ref="AB61:AB70" si="10">L61/V61</f>
        <v>0.35233333333333333</v>
      </c>
      <c r="AC61" s="298">
        <f t="shared" ref="AC61:AC70" si="11">T61/V61</f>
        <v>7.0333333333333332</v>
      </c>
      <c r="AD61" s="194">
        <f t="shared" ref="AD61:AD70" si="12">(32*18*U61+128*36*V61+4096*144*W61)/1000000</f>
        <v>0.92044800000000004</v>
      </c>
      <c r="AE61" s="264">
        <v>3.53464</v>
      </c>
      <c r="AF61" s="198">
        <f t="shared" ref="AF61:AF70" si="13">(AE61*1000000-V61*36*256)/(4000*L61)</f>
        <v>35.261116367076632</v>
      </c>
      <c r="AG61" s="236"/>
    </row>
    <row r="62" spans="1:33" x14ac:dyDescent="0.2">
      <c r="A62" s="182" t="s">
        <v>26</v>
      </c>
      <c r="B62" s="17"/>
      <c r="C62" s="227"/>
      <c r="D62" s="213"/>
      <c r="E62" s="17" t="s">
        <v>108</v>
      </c>
      <c r="F62" s="18" t="s">
        <v>109</v>
      </c>
      <c r="G62" s="19">
        <v>300</v>
      </c>
      <c r="H62" s="124">
        <v>27</v>
      </c>
      <c r="I62" s="162">
        <v>330</v>
      </c>
      <c r="J62" s="1580" t="s">
        <v>110</v>
      </c>
      <c r="K62" s="1581">
        <v>600</v>
      </c>
      <c r="L62" s="456">
        <f t="shared" si="6"/>
        <v>21.14</v>
      </c>
      <c r="M62" s="457">
        <f t="shared" si="7"/>
        <v>21.14</v>
      </c>
      <c r="N62" s="65">
        <f t="shared" ref="N62:N70" si="14">IF(AND(G62&lt;&gt;"",M62&lt;&gt;""),1000*M62/G62,"")</f>
        <v>70.466666666666669</v>
      </c>
      <c r="O62" s="65">
        <f t="shared" si="8"/>
        <v>7.0466666666666664E-2</v>
      </c>
      <c r="P62" s="65"/>
      <c r="Q62" s="65">
        <v>24</v>
      </c>
      <c r="R62" s="65">
        <v>4</v>
      </c>
      <c r="S62" s="65">
        <v>8</v>
      </c>
      <c r="T62" s="65">
        <v>330</v>
      </c>
      <c r="U62" s="65">
        <v>94</v>
      </c>
      <c r="V62" s="65">
        <v>60</v>
      </c>
      <c r="W62" s="65">
        <v>1</v>
      </c>
      <c r="X62" s="388">
        <v>1057</v>
      </c>
      <c r="Y62" s="81"/>
      <c r="Z62" s="141"/>
      <c r="AA62" s="371">
        <f t="shared" si="9"/>
        <v>440.41666666666669</v>
      </c>
      <c r="AB62" s="54">
        <f t="shared" si="10"/>
        <v>0.35233333333333333</v>
      </c>
      <c r="AC62" s="281">
        <f t="shared" si="11"/>
        <v>5.5</v>
      </c>
      <c r="AD62" s="191">
        <f t="shared" si="12"/>
        <v>0.92044800000000004</v>
      </c>
      <c r="AE62" s="267">
        <v>3.5799280000000002</v>
      </c>
      <c r="AF62" s="198">
        <f t="shared" si="13"/>
        <v>35.796688741721852</v>
      </c>
      <c r="AG62" s="268" t="s">
        <v>111</v>
      </c>
    </row>
    <row r="63" spans="1:33" x14ac:dyDescent="0.2">
      <c r="A63" s="182" t="s">
        <v>26</v>
      </c>
      <c r="B63" s="17"/>
      <c r="C63" s="227"/>
      <c r="D63" s="213"/>
      <c r="E63" s="17" t="s">
        <v>112</v>
      </c>
      <c r="F63" s="18" t="s">
        <v>113</v>
      </c>
      <c r="G63" s="19">
        <v>350</v>
      </c>
      <c r="H63" s="124">
        <v>23</v>
      </c>
      <c r="I63" s="162">
        <v>361</v>
      </c>
      <c r="J63" s="1580" t="s">
        <v>114</v>
      </c>
      <c r="K63" s="1581">
        <v>840</v>
      </c>
      <c r="L63" s="456">
        <f t="shared" si="6"/>
        <v>36.92</v>
      </c>
      <c r="M63" s="457">
        <f t="shared" si="7"/>
        <v>36.92</v>
      </c>
      <c r="N63" s="65">
        <f t="shared" si="14"/>
        <v>105.48571428571428</v>
      </c>
      <c r="O63" s="65">
        <f t="shared" si="8"/>
        <v>0.10548571428571429</v>
      </c>
      <c r="P63" s="65"/>
      <c r="Q63" s="65">
        <v>40</v>
      </c>
      <c r="R63" s="65">
        <v>6</v>
      </c>
      <c r="S63" s="65"/>
      <c r="T63" s="65">
        <v>582</v>
      </c>
      <c r="U63" s="65">
        <v>194</v>
      </c>
      <c r="V63" s="65">
        <v>82</v>
      </c>
      <c r="W63" s="65">
        <v>2</v>
      </c>
      <c r="X63" s="388">
        <v>1846</v>
      </c>
      <c r="Y63" s="81"/>
      <c r="Z63" s="141"/>
      <c r="AA63" s="371">
        <f t="shared" si="9"/>
        <v>461.5</v>
      </c>
      <c r="AB63" s="54">
        <f t="shared" si="10"/>
        <v>0.4502439024390244</v>
      </c>
      <c r="AC63" s="281">
        <f t="shared" si="11"/>
        <v>7.0975609756097562</v>
      </c>
      <c r="AD63" s="191">
        <f t="shared" si="12"/>
        <v>1.6692480000000001</v>
      </c>
      <c r="AE63" s="267">
        <v>5.9048319999999999</v>
      </c>
      <c r="AF63" s="198">
        <f t="shared" si="13"/>
        <v>34.866738894907911</v>
      </c>
      <c r="AG63" s="236"/>
    </row>
    <row r="64" spans="1:33" x14ac:dyDescent="0.2">
      <c r="A64" s="182" t="s">
        <v>26</v>
      </c>
      <c r="B64" s="17"/>
      <c r="C64" s="227"/>
      <c r="D64" s="213"/>
      <c r="E64" s="17" t="s">
        <v>115</v>
      </c>
      <c r="F64" s="18" t="s">
        <v>116</v>
      </c>
      <c r="G64" s="19">
        <v>505</v>
      </c>
      <c r="H64" s="124">
        <v>27</v>
      </c>
      <c r="I64" s="162">
        <v>473</v>
      </c>
      <c r="J64" s="1580" t="s">
        <v>117</v>
      </c>
      <c r="K64" s="1581">
        <v>1320</v>
      </c>
      <c r="L64" s="456">
        <f t="shared" si="6"/>
        <v>51.32</v>
      </c>
      <c r="M64" s="457">
        <f t="shared" si="7"/>
        <v>51.32</v>
      </c>
      <c r="N64" s="65">
        <f t="shared" si="14"/>
        <v>101.62376237623762</v>
      </c>
      <c r="O64" s="65">
        <f t="shared" si="8"/>
        <v>0.10162376237623763</v>
      </c>
      <c r="P64" s="65"/>
      <c r="Q64" s="65">
        <v>40</v>
      </c>
      <c r="R64" s="65">
        <v>6</v>
      </c>
      <c r="S64" s="65"/>
      <c r="T64" s="65">
        <v>702</v>
      </c>
      <c r="U64" s="65">
        <v>224</v>
      </c>
      <c r="V64" s="65">
        <v>138</v>
      </c>
      <c r="W64" s="65">
        <v>2</v>
      </c>
      <c r="X64" s="388">
        <v>2566</v>
      </c>
      <c r="Y64" s="81"/>
      <c r="Z64" s="141"/>
      <c r="AA64" s="371">
        <f t="shared" si="9"/>
        <v>641.5</v>
      </c>
      <c r="AB64" s="54">
        <f t="shared" si="10"/>
        <v>0.37188405797101448</v>
      </c>
      <c r="AC64" s="281">
        <f t="shared" si="11"/>
        <v>5.0869565217391308</v>
      </c>
      <c r="AD64" s="191">
        <f t="shared" si="12"/>
        <v>1.9445760000000001</v>
      </c>
      <c r="AE64" s="264">
        <v>7.8941439999999998</v>
      </c>
      <c r="AF64" s="198">
        <f t="shared" si="13"/>
        <v>32.260015588464533</v>
      </c>
      <c r="AG64" s="236"/>
    </row>
    <row r="65" spans="1:35" x14ac:dyDescent="0.2">
      <c r="A65" s="182" t="s">
        <v>26</v>
      </c>
      <c r="B65" s="17"/>
      <c r="C65" s="227"/>
      <c r="D65" s="213"/>
      <c r="E65" s="17" t="s">
        <v>118</v>
      </c>
      <c r="F65" s="18" t="s">
        <v>119</v>
      </c>
      <c r="G65" s="19">
        <v>775</v>
      </c>
      <c r="H65" s="124">
        <v>27</v>
      </c>
      <c r="I65" s="162">
        <v>426</v>
      </c>
      <c r="J65" s="1580" t="s">
        <v>120</v>
      </c>
      <c r="K65" s="1581">
        <v>1630</v>
      </c>
      <c r="L65" s="456">
        <f t="shared" si="6"/>
        <v>51.32</v>
      </c>
      <c r="M65" s="457">
        <f t="shared" si="7"/>
        <v>51.32</v>
      </c>
      <c r="N65" s="65">
        <f t="shared" si="14"/>
        <v>66.219354838709677</v>
      </c>
      <c r="O65" s="65">
        <f t="shared" si="8"/>
        <v>6.6219354838709679E-2</v>
      </c>
      <c r="P65" s="65"/>
      <c r="Q65" s="65">
        <v>40</v>
      </c>
      <c r="R65" s="65">
        <v>4</v>
      </c>
      <c r="S65" s="65">
        <v>16</v>
      </c>
      <c r="T65" s="65">
        <v>542</v>
      </c>
      <c r="U65" s="65">
        <v>224</v>
      </c>
      <c r="V65" s="65">
        <v>138</v>
      </c>
      <c r="W65" s="65">
        <v>2</v>
      </c>
      <c r="X65" s="388">
        <v>2566</v>
      </c>
      <c r="Y65" s="81"/>
      <c r="Z65" s="141"/>
      <c r="AA65" s="371">
        <f t="shared" si="9"/>
        <v>641.5</v>
      </c>
      <c r="AB65" s="54">
        <f t="shared" si="10"/>
        <v>0.37188405797101448</v>
      </c>
      <c r="AC65" s="281">
        <f t="shared" si="11"/>
        <v>3.9275362318840581</v>
      </c>
      <c r="AD65" s="191">
        <f t="shared" si="12"/>
        <v>1.9445760000000001</v>
      </c>
      <c r="AE65" s="267">
        <v>7.9512479999999996</v>
      </c>
      <c r="AF65" s="198">
        <f t="shared" si="13"/>
        <v>32.538191738113795</v>
      </c>
      <c r="AG65" s="268"/>
    </row>
    <row r="66" spans="1:35" x14ac:dyDescent="0.2">
      <c r="A66" s="182" t="s">
        <v>26</v>
      </c>
      <c r="B66" s="17"/>
      <c r="C66" s="227"/>
      <c r="D66" s="213" t="s">
        <v>704</v>
      </c>
      <c r="E66" s="17" t="s">
        <v>121</v>
      </c>
      <c r="F66" s="18" t="s">
        <v>122</v>
      </c>
      <c r="G66" s="19">
        <v>640</v>
      </c>
      <c r="H66" s="124">
        <v>29</v>
      </c>
      <c r="I66" s="162">
        <v>597</v>
      </c>
      <c r="J66" s="1580" t="s">
        <v>123</v>
      </c>
      <c r="K66" s="1581">
        <v>1800</v>
      </c>
      <c r="L66" s="456">
        <f t="shared" si="6"/>
        <v>64.94</v>
      </c>
      <c r="M66" s="457">
        <f t="shared" si="7"/>
        <v>64.94</v>
      </c>
      <c r="N66" s="65">
        <f t="shared" si="14"/>
        <v>101.46875</v>
      </c>
      <c r="O66" s="65">
        <f t="shared" si="8"/>
        <v>0.10146875</v>
      </c>
      <c r="P66" s="65"/>
      <c r="Q66" s="65">
        <v>48</v>
      </c>
      <c r="R66" s="65">
        <v>4</v>
      </c>
      <c r="S66" s="65"/>
      <c r="T66" s="65">
        <v>726</v>
      </c>
      <c r="U66" s="65">
        <v>295</v>
      </c>
      <c r="V66" s="65">
        <v>171</v>
      </c>
      <c r="W66" s="65">
        <v>4</v>
      </c>
      <c r="X66" s="388">
        <v>3247</v>
      </c>
      <c r="Y66" s="81"/>
      <c r="Z66" s="141"/>
      <c r="AA66" s="371">
        <f t="shared" si="9"/>
        <v>676.45833333333337</v>
      </c>
      <c r="AB66" s="54">
        <f t="shared" si="10"/>
        <v>0.37976608187134503</v>
      </c>
      <c r="AC66" s="281">
        <f t="shared" si="11"/>
        <v>4.2456140350877192</v>
      </c>
      <c r="AD66" s="191">
        <f t="shared" si="12"/>
        <v>3.3171840000000001</v>
      </c>
      <c r="AE66" s="264">
        <v>10.379367999999999</v>
      </c>
      <c r="AF66" s="198">
        <f t="shared" si="13"/>
        <v>33.890637511549123</v>
      </c>
      <c r="AG66" s="236"/>
    </row>
    <row r="67" spans="1:35" x14ac:dyDescent="0.2">
      <c r="A67" s="182" t="s">
        <v>26</v>
      </c>
      <c r="B67" s="17"/>
      <c r="C67" s="227"/>
      <c r="D67" s="213" t="s">
        <v>704</v>
      </c>
      <c r="E67" s="17" t="s">
        <v>124</v>
      </c>
      <c r="F67" s="18" t="s">
        <v>122</v>
      </c>
      <c r="G67" s="19">
        <v>810</v>
      </c>
      <c r="H67" s="124">
        <v>29</v>
      </c>
      <c r="I67" s="162">
        <v>615</v>
      </c>
      <c r="J67" s="1580" t="s">
        <v>114</v>
      </c>
      <c r="K67" s="1581">
        <v>3760</v>
      </c>
      <c r="L67" s="456">
        <f t="shared" si="6"/>
        <v>82.5</v>
      </c>
      <c r="M67" s="457">
        <f t="shared" si="7"/>
        <v>82.5</v>
      </c>
      <c r="N67" s="65">
        <f t="shared" si="14"/>
        <v>101.85185185185185</v>
      </c>
      <c r="O67" s="65">
        <f t="shared" si="8"/>
        <v>0.10185185185185185</v>
      </c>
      <c r="P67" s="65"/>
      <c r="Q67" s="65">
        <v>56</v>
      </c>
      <c r="R67" s="65">
        <v>10</v>
      </c>
      <c r="S67" s="65"/>
      <c r="T67" s="65">
        <v>818</v>
      </c>
      <c r="U67" s="65">
        <v>384</v>
      </c>
      <c r="V67" s="65">
        <v>183</v>
      </c>
      <c r="W67" s="65">
        <v>4</v>
      </c>
      <c r="X67" s="388">
        <v>4125</v>
      </c>
      <c r="Y67" s="81"/>
      <c r="Z67" s="141"/>
      <c r="AA67" s="371">
        <f t="shared" si="9"/>
        <v>736.60714285714289</v>
      </c>
      <c r="AB67" s="54">
        <f t="shared" si="10"/>
        <v>0.45081967213114754</v>
      </c>
      <c r="AC67" s="281">
        <f t="shared" si="11"/>
        <v>4.4699453551912569</v>
      </c>
      <c r="AD67" s="191">
        <f t="shared" si="12"/>
        <v>3.4237440000000001</v>
      </c>
      <c r="AE67" s="264">
        <v>12.389632000000001</v>
      </c>
      <c r="AF67" s="198">
        <f t="shared" si="13"/>
        <v>32.433648484848483</v>
      </c>
      <c r="AG67" s="236"/>
    </row>
    <row r="68" spans="1:35" x14ac:dyDescent="0.2">
      <c r="A68" s="182" t="s">
        <v>26</v>
      </c>
      <c r="B68" s="17"/>
      <c r="C68" s="227"/>
      <c r="D68" s="213"/>
      <c r="E68" s="17" t="s">
        <v>125</v>
      </c>
      <c r="F68" s="18" t="s">
        <v>126</v>
      </c>
      <c r="G68" s="19">
        <v>1590</v>
      </c>
      <c r="H68" s="124">
        <v>33</v>
      </c>
      <c r="I68" s="162">
        <v>548</v>
      </c>
      <c r="J68" s="1580" t="s">
        <v>127</v>
      </c>
      <c r="K68" s="1581">
        <v>3225</v>
      </c>
      <c r="L68" s="456">
        <f t="shared" si="6"/>
        <v>82.5</v>
      </c>
      <c r="M68" s="457">
        <f t="shared" si="7"/>
        <v>82.5</v>
      </c>
      <c r="N68" s="65">
        <f t="shared" si="14"/>
        <v>51.886792452830186</v>
      </c>
      <c r="O68" s="65">
        <f t="shared" si="8"/>
        <v>5.1886792452830191E-2</v>
      </c>
      <c r="P68" s="65"/>
      <c r="Q68" s="65">
        <v>56</v>
      </c>
      <c r="R68" s="65">
        <v>8</v>
      </c>
      <c r="S68" s="65">
        <v>20</v>
      </c>
      <c r="T68" s="65">
        <v>544</v>
      </c>
      <c r="U68" s="65">
        <v>384</v>
      </c>
      <c r="V68" s="65">
        <v>183</v>
      </c>
      <c r="W68" s="65">
        <v>4</v>
      </c>
      <c r="X68" s="388">
        <v>4125</v>
      </c>
      <c r="Y68" s="81"/>
      <c r="Z68" s="141"/>
      <c r="AA68" s="371">
        <f t="shared" si="9"/>
        <v>736.60714285714289</v>
      </c>
      <c r="AB68" s="54">
        <f t="shared" si="10"/>
        <v>0.45081967213114754</v>
      </c>
      <c r="AC68" s="281">
        <f t="shared" si="11"/>
        <v>2.9726775956284155</v>
      </c>
      <c r="AD68" s="191">
        <f t="shared" si="12"/>
        <v>3.4237440000000001</v>
      </c>
      <c r="AE68" s="267">
        <v>12.53144</v>
      </c>
      <c r="AF68" s="198">
        <f t="shared" si="13"/>
        <v>32.863369696969698</v>
      </c>
      <c r="AG68" s="268"/>
    </row>
    <row r="69" spans="1:35" x14ac:dyDescent="0.2">
      <c r="A69" s="182" t="s">
        <v>26</v>
      </c>
      <c r="B69" s="17"/>
      <c r="C69" s="227"/>
      <c r="D69" s="213" t="s">
        <v>704</v>
      </c>
      <c r="E69" s="17" t="s">
        <v>128</v>
      </c>
      <c r="F69" s="18" t="s">
        <v>129</v>
      </c>
      <c r="G69" s="19">
        <v>2015</v>
      </c>
      <c r="H69" s="124">
        <v>33</v>
      </c>
      <c r="I69" s="162">
        <v>773</v>
      </c>
      <c r="J69" s="1580" t="s">
        <v>117</v>
      </c>
      <c r="K69" s="1581">
        <v>3760</v>
      </c>
      <c r="L69" s="456">
        <f t="shared" si="6"/>
        <v>114.24</v>
      </c>
      <c r="M69" s="457">
        <f t="shared" si="7"/>
        <v>114.24</v>
      </c>
      <c r="N69" s="65">
        <f t="shared" si="14"/>
        <v>56.694789081885858</v>
      </c>
      <c r="O69" s="65">
        <f t="shared" si="8"/>
        <v>5.6694789081885855E-2</v>
      </c>
      <c r="P69" s="65"/>
      <c r="Q69" s="65">
        <v>72</v>
      </c>
      <c r="R69" s="65">
        <v>12</v>
      </c>
      <c r="S69" s="65"/>
      <c r="T69" s="65">
        <v>1018</v>
      </c>
      <c r="U69" s="65">
        <v>574</v>
      </c>
      <c r="V69" s="65">
        <v>292</v>
      </c>
      <c r="W69" s="65">
        <v>6</v>
      </c>
      <c r="X69" s="388">
        <v>5712</v>
      </c>
      <c r="Y69" s="81"/>
      <c r="Z69" s="141"/>
      <c r="AA69" s="371">
        <f t="shared" si="9"/>
        <v>793.33333333333337</v>
      </c>
      <c r="AB69" s="54">
        <f t="shared" si="10"/>
        <v>0.39123287671232876</v>
      </c>
      <c r="AC69" s="281">
        <f t="shared" si="11"/>
        <v>3.4863013698630136</v>
      </c>
      <c r="AD69" s="191">
        <f t="shared" si="12"/>
        <v>5.2151040000000002</v>
      </c>
      <c r="AE69" s="264">
        <v>17.543968</v>
      </c>
      <c r="AF69" s="198">
        <f t="shared" si="13"/>
        <v>32.503711484593836</v>
      </c>
      <c r="AG69" s="236"/>
    </row>
    <row r="70" spans="1:35" ht="13.5" thickBot="1" x14ac:dyDescent="0.25">
      <c r="A70" s="182" t="s">
        <v>26</v>
      </c>
      <c r="B70" s="21"/>
      <c r="C70" s="228"/>
      <c r="D70" s="214"/>
      <c r="E70" s="21" t="s">
        <v>130</v>
      </c>
      <c r="F70" s="22" t="s">
        <v>131</v>
      </c>
      <c r="G70" s="23">
        <v>5140</v>
      </c>
      <c r="H70" s="125">
        <v>33</v>
      </c>
      <c r="I70" s="163">
        <v>773</v>
      </c>
      <c r="J70" s="1592" t="s">
        <v>132</v>
      </c>
      <c r="K70" s="1593">
        <v>7915</v>
      </c>
      <c r="L70" s="456">
        <f t="shared" si="6"/>
        <v>158.08000000000001</v>
      </c>
      <c r="M70" s="457">
        <f t="shared" si="7"/>
        <v>158.08000000000001</v>
      </c>
      <c r="N70" s="65">
        <f t="shared" si="14"/>
        <v>30.754863813229573</v>
      </c>
      <c r="O70" s="68">
        <f t="shared" si="8"/>
        <v>3.0754863813229574E-2</v>
      </c>
      <c r="P70" s="68"/>
      <c r="Q70" s="68">
        <v>88</v>
      </c>
      <c r="R70" s="68">
        <v>12</v>
      </c>
      <c r="S70" s="68"/>
      <c r="T70" s="68">
        <v>1234</v>
      </c>
      <c r="U70" s="68">
        <v>767</v>
      </c>
      <c r="V70" s="68">
        <v>364</v>
      </c>
      <c r="W70" s="68">
        <v>9</v>
      </c>
      <c r="X70" s="278">
        <v>7904</v>
      </c>
      <c r="Y70" s="82"/>
      <c r="Z70" s="142"/>
      <c r="AA70" s="371">
        <f t="shared" si="9"/>
        <v>898.18181818181813</v>
      </c>
      <c r="AB70" s="55">
        <f t="shared" si="10"/>
        <v>0.43428571428571433</v>
      </c>
      <c r="AC70" s="294">
        <f t="shared" si="11"/>
        <v>3.3901098901098901</v>
      </c>
      <c r="AD70" s="192">
        <f t="shared" si="12"/>
        <v>7.4275200000000003</v>
      </c>
      <c r="AE70" s="265">
        <v>23.834032000000001</v>
      </c>
      <c r="AF70" s="200">
        <f t="shared" si="13"/>
        <v>32.387727732793522</v>
      </c>
      <c r="AG70" s="236"/>
    </row>
    <row r="71" spans="1:35" x14ac:dyDescent="0.2">
      <c r="A71" s="182"/>
      <c r="B71" s="48" t="s">
        <v>717</v>
      </c>
      <c r="C71" s="226"/>
      <c r="D71" s="212"/>
      <c r="E71" s="12" t="s">
        <v>91</v>
      </c>
      <c r="F71" s="466" t="s">
        <v>1015</v>
      </c>
      <c r="G71" s="14" t="s">
        <v>22</v>
      </c>
      <c r="H71" s="123"/>
      <c r="I71" s="161"/>
      <c r="J71" s="1578" t="s">
        <v>512</v>
      </c>
      <c r="K71" s="1583" t="s">
        <v>22</v>
      </c>
      <c r="L71" s="248" t="s">
        <v>23</v>
      </c>
      <c r="M71" s="60"/>
      <c r="N71" s="380">
        <f>AVERAGE(N72:N78)</f>
        <v>366.34462697306219</v>
      </c>
      <c r="O71" s="61"/>
      <c r="P71" s="61"/>
      <c r="Q71" s="61" t="s">
        <v>92</v>
      </c>
      <c r="R71" s="61"/>
      <c r="S71" s="61"/>
      <c r="T71" s="61"/>
      <c r="U71" s="61"/>
      <c r="V71" s="62" t="s">
        <v>76</v>
      </c>
      <c r="W71" s="61"/>
      <c r="X71" s="109" t="s">
        <v>93</v>
      </c>
      <c r="Y71" s="80"/>
      <c r="Z71" s="164"/>
      <c r="AA71" s="372">
        <f>AVERAGE(AA72:AA78)</f>
        <v>583.24591483820723</v>
      </c>
      <c r="AB71" s="92">
        <f>AVERAGE(AB72:AB78)</f>
        <v>289.5317743784455</v>
      </c>
      <c r="AC71" s="1452">
        <f>AVERAGE(AC72:AC78)</f>
        <v>4.821149266385147</v>
      </c>
      <c r="AD71" s="109" t="s">
        <v>650</v>
      </c>
      <c r="AG71" s="236"/>
    </row>
    <row r="72" spans="1:35" x14ac:dyDescent="0.2">
      <c r="A72" s="182" t="s">
        <v>94</v>
      </c>
      <c r="B72" s="17"/>
      <c r="C72" s="227"/>
      <c r="D72" s="213"/>
      <c r="E72" s="118" t="s">
        <v>95</v>
      </c>
      <c r="F72" s="18" t="s">
        <v>84</v>
      </c>
      <c r="G72" s="19">
        <v>12.8</v>
      </c>
      <c r="H72" s="124"/>
      <c r="I72" s="162"/>
      <c r="J72" s="1580" t="s">
        <v>340</v>
      </c>
      <c r="K72" s="1581">
        <v>22.4</v>
      </c>
      <c r="L72" s="249">
        <v>4608</v>
      </c>
      <c r="M72" s="151">
        <v>4608</v>
      </c>
      <c r="N72" s="65">
        <f t="shared" ref="N72:N78" si="15">IF(AND(G72&lt;&gt;"",M72&lt;&gt;""),M72/G72,"")</f>
        <v>360</v>
      </c>
      <c r="O72" s="65">
        <f t="shared" ref="O72:O78" si="16">IF(AND(G72&lt;&gt;"",L72&lt;&gt;""),L72/G72,"")</f>
        <v>360</v>
      </c>
      <c r="P72" s="65"/>
      <c r="Q72" s="65">
        <v>13</v>
      </c>
      <c r="R72" s="65">
        <v>2</v>
      </c>
      <c r="S72" s="65"/>
      <c r="T72" s="65">
        <v>158</v>
      </c>
      <c r="U72" s="65"/>
      <c r="V72" s="65">
        <v>26</v>
      </c>
      <c r="W72" s="65"/>
      <c r="X72" s="110">
        <f t="shared" ref="X72:X78" si="17">L72/16</f>
        <v>288</v>
      </c>
      <c r="Y72" s="81"/>
      <c r="Z72" s="141" t="str">
        <f t="shared" ref="Z72:Z78" si="18">IF(AND(L72&lt;&gt;"",Y72&lt;&gt;""),L72/Y72,"")</f>
        <v/>
      </c>
      <c r="AA72" s="371">
        <f t="shared" ref="AA72:AA78" si="19">M72/Q72</f>
        <v>354.46153846153845</v>
      </c>
      <c r="AB72" s="54">
        <f t="shared" ref="AB72:AB78" si="20">L72/V72</f>
        <v>177.23076923076923</v>
      </c>
      <c r="AC72" s="281">
        <f t="shared" ref="AC72:AC78" si="21">T72/V72</f>
        <v>6.0769230769230766</v>
      </c>
      <c r="AD72" s="191">
        <f t="shared" ref="AD72:AD78" si="22">128*36*V72/1000000</f>
        <v>0.119808</v>
      </c>
      <c r="AG72" s="236"/>
      <c r="AI72" s="461"/>
    </row>
    <row r="73" spans="1:35" x14ac:dyDescent="0.2">
      <c r="A73" s="182" t="s">
        <v>94</v>
      </c>
      <c r="B73" s="17"/>
      <c r="C73" s="227"/>
      <c r="D73" s="213"/>
      <c r="E73" s="118" t="s">
        <v>96</v>
      </c>
      <c r="F73" s="18" t="s">
        <v>84</v>
      </c>
      <c r="G73" s="19">
        <v>19.2</v>
      </c>
      <c r="H73" s="124"/>
      <c r="I73" s="162"/>
      <c r="J73" s="1580" t="s">
        <v>85</v>
      </c>
      <c r="K73" s="1581">
        <v>35.200000000000003</v>
      </c>
      <c r="L73" s="249">
        <v>8256</v>
      </c>
      <c r="M73" s="151">
        <v>8256</v>
      </c>
      <c r="N73" s="65">
        <f t="shared" si="15"/>
        <v>430</v>
      </c>
      <c r="O73" s="65">
        <f t="shared" si="16"/>
        <v>430</v>
      </c>
      <c r="P73" s="65"/>
      <c r="Q73" s="65">
        <v>18</v>
      </c>
      <c r="R73" s="65">
        <v>2</v>
      </c>
      <c r="S73" s="65"/>
      <c r="T73" s="65">
        <v>182</v>
      </c>
      <c r="U73" s="65"/>
      <c r="V73" s="65">
        <v>36</v>
      </c>
      <c r="W73" s="65"/>
      <c r="X73" s="110">
        <f t="shared" si="17"/>
        <v>516</v>
      </c>
      <c r="Y73" s="81"/>
      <c r="Z73" s="141" t="str">
        <f t="shared" si="18"/>
        <v/>
      </c>
      <c r="AA73" s="371">
        <f t="shared" si="19"/>
        <v>458.66666666666669</v>
      </c>
      <c r="AB73" s="54">
        <f t="shared" si="20"/>
        <v>229.33333333333334</v>
      </c>
      <c r="AC73" s="281">
        <f t="shared" si="21"/>
        <v>5.0555555555555554</v>
      </c>
      <c r="AD73" s="191">
        <f t="shared" si="22"/>
        <v>0.16588800000000001</v>
      </c>
      <c r="AG73" s="236"/>
    </row>
    <row r="74" spans="1:35" x14ac:dyDescent="0.2">
      <c r="A74" s="523" t="s">
        <v>740</v>
      </c>
      <c r="B74" s="17"/>
      <c r="C74" s="227"/>
      <c r="D74" s="213"/>
      <c r="E74" s="134" t="s">
        <v>1550</v>
      </c>
      <c r="F74" s="18" t="s">
        <v>339</v>
      </c>
      <c r="G74" s="19">
        <v>39.9</v>
      </c>
      <c r="H74" s="124">
        <v>17</v>
      </c>
      <c r="I74" s="162">
        <v>152</v>
      </c>
      <c r="J74" s="1580"/>
      <c r="K74" s="1581"/>
      <c r="L74" s="249">
        <v>14448</v>
      </c>
      <c r="M74" s="245">
        <v>14448</v>
      </c>
      <c r="N74" s="65">
        <f t="shared" si="15"/>
        <v>362.10526315789474</v>
      </c>
      <c r="O74" s="65">
        <f t="shared" si="16"/>
        <v>362.10526315789474</v>
      </c>
      <c r="P74" s="65"/>
      <c r="Q74" s="65">
        <v>26</v>
      </c>
      <c r="R74" s="65">
        <v>4</v>
      </c>
      <c r="S74" s="65"/>
      <c r="T74" s="65">
        <v>315</v>
      </c>
      <c r="U74" s="65"/>
      <c r="V74" s="65">
        <v>52</v>
      </c>
      <c r="W74" s="65"/>
      <c r="X74" s="110">
        <f t="shared" si="17"/>
        <v>903</v>
      </c>
      <c r="Y74" s="81"/>
      <c r="Z74" s="141"/>
      <c r="AA74" s="371">
        <f t="shared" si="19"/>
        <v>555.69230769230774</v>
      </c>
      <c r="AB74" s="54">
        <f t="shared" si="20"/>
        <v>277.84615384615387</v>
      </c>
      <c r="AC74" s="281">
        <f t="shared" si="21"/>
        <v>6.0576923076923075</v>
      </c>
      <c r="AD74" s="191">
        <f t="shared" si="22"/>
        <v>0.239616</v>
      </c>
      <c r="AG74" s="236"/>
    </row>
    <row r="75" spans="1:35" x14ac:dyDescent="0.2">
      <c r="A75" s="182" t="s">
        <v>94</v>
      </c>
      <c r="B75" s="17"/>
      <c r="C75" s="227"/>
      <c r="D75" s="213"/>
      <c r="E75" s="118" t="s">
        <v>97</v>
      </c>
      <c r="F75" s="18" t="s">
        <v>339</v>
      </c>
      <c r="G75" s="19">
        <v>42.7</v>
      </c>
      <c r="H75" s="124"/>
      <c r="I75" s="162"/>
      <c r="J75" s="1580" t="s">
        <v>341</v>
      </c>
      <c r="K75" s="1581">
        <v>70.400000000000006</v>
      </c>
      <c r="L75" s="249">
        <v>18752</v>
      </c>
      <c r="M75" s="151">
        <v>18752</v>
      </c>
      <c r="N75" s="65">
        <f t="shared" si="15"/>
        <v>439.15690866510533</v>
      </c>
      <c r="O75" s="65">
        <f t="shared" si="16"/>
        <v>439.15690866510533</v>
      </c>
      <c r="P75" s="65"/>
      <c r="Q75" s="65">
        <v>26</v>
      </c>
      <c r="R75" s="65">
        <v>4</v>
      </c>
      <c r="S75" s="65"/>
      <c r="T75" s="65">
        <v>315</v>
      </c>
      <c r="U75" s="65"/>
      <c r="V75" s="65">
        <v>52</v>
      </c>
      <c r="W75" s="65"/>
      <c r="X75" s="110">
        <f t="shared" si="17"/>
        <v>1172</v>
      </c>
      <c r="Y75" s="81"/>
      <c r="Z75" s="141" t="str">
        <f t="shared" si="18"/>
        <v/>
      </c>
      <c r="AA75" s="371">
        <f t="shared" si="19"/>
        <v>721.23076923076928</v>
      </c>
      <c r="AB75" s="54">
        <f t="shared" si="20"/>
        <v>360.61538461538464</v>
      </c>
      <c r="AC75" s="281">
        <f t="shared" si="21"/>
        <v>6.0576923076923075</v>
      </c>
      <c r="AD75" s="191">
        <f t="shared" si="22"/>
        <v>0.239616</v>
      </c>
      <c r="AG75" s="6" t="s">
        <v>789</v>
      </c>
    </row>
    <row r="76" spans="1:35" x14ac:dyDescent="0.2">
      <c r="A76" s="182" t="s">
        <v>94</v>
      </c>
      <c r="B76" s="17"/>
      <c r="C76" s="227"/>
      <c r="D76" s="213"/>
      <c r="E76" s="118" t="s">
        <v>98</v>
      </c>
      <c r="F76" s="18" t="s">
        <v>352</v>
      </c>
      <c r="G76" s="19">
        <v>90.7</v>
      </c>
      <c r="H76" s="124"/>
      <c r="I76" s="162"/>
      <c r="J76" s="1580" t="s">
        <v>353</v>
      </c>
      <c r="K76" s="1581">
        <v>124.7</v>
      </c>
      <c r="L76" s="249">
        <v>33216</v>
      </c>
      <c r="M76" s="151">
        <v>33216</v>
      </c>
      <c r="N76" s="65">
        <f t="shared" si="15"/>
        <v>366.21830209481806</v>
      </c>
      <c r="O76" s="65">
        <f t="shared" si="16"/>
        <v>366.21830209481806</v>
      </c>
      <c r="P76" s="65"/>
      <c r="Q76" s="65">
        <v>35</v>
      </c>
      <c r="R76" s="65">
        <v>4</v>
      </c>
      <c r="S76" s="65"/>
      <c r="T76" s="65">
        <v>475</v>
      </c>
      <c r="U76" s="65"/>
      <c r="V76" s="65">
        <v>105</v>
      </c>
      <c r="W76" s="65"/>
      <c r="X76" s="110">
        <f t="shared" si="17"/>
        <v>2076</v>
      </c>
      <c r="Y76" s="81">
        <v>22</v>
      </c>
      <c r="Z76" s="141">
        <f t="shared" si="18"/>
        <v>1509.8181818181818</v>
      </c>
      <c r="AA76" s="371">
        <f t="shared" si="19"/>
        <v>949.02857142857147</v>
      </c>
      <c r="AB76" s="54">
        <f t="shared" si="20"/>
        <v>316.34285714285716</v>
      </c>
      <c r="AC76" s="281">
        <f t="shared" si="21"/>
        <v>4.5238095238095237</v>
      </c>
      <c r="AD76" s="191">
        <f t="shared" si="22"/>
        <v>0.48383999999999999</v>
      </c>
    </row>
    <row r="77" spans="1:35" x14ac:dyDescent="0.2">
      <c r="A77" s="182" t="s">
        <v>94</v>
      </c>
      <c r="B77" s="17"/>
      <c r="C77" s="227"/>
      <c r="D77" s="213"/>
      <c r="E77" s="118" t="s">
        <v>99</v>
      </c>
      <c r="F77" s="18" t="s">
        <v>354</v>
      </c>
      <c r="G77" s="19">
        <v>160</v>
      </c>
      <c r="H77" s="124"/>
      <c r="I77" s="162"/>
      <c r="J77" s="1580" t="s">
        <v>342</v>
      </c>
      <c r="K77" s="1581">
        <v>256</v>
      </c>
      <c r="L77" s="249">
        <v>50528</v>
      </c>
      <c r="M77" s="151">
        <v>50528</v>
      </c>
      <c r="N77" s="65">
        <f t="shared" si="15"/>
        <v>315.8</v>
      </c>
      <c r="O77" s="65">
        <f t="shared" si="16"/>
        <v>315.8</v>
      </c>
      <c r="P77" s="65"/>
      <c r="Q77" s="65">
        <v>86</v>
      </c>
      <c r="R77" s="65">
        <v>4</v>
      </c>
      <c r="S77" s="65"/>
      <c r="T77" s="65">
        <v>450</v>
      </c>
      <c r="U77" s="65"/>
      <c r="V77" s="65">
        <v>129</v>
      </c>
      <c r="W77" s="65"/>
      <c r="X77" s="110">
        <f t="shared" si="17"/>
        <v>3158</v>
      </c>
      <c r="Y77" s="81"/>
      <c r="Z77" s="141" t="str">
        <f t="shared" si="18"/>
        <v/>
      </c>
      <c r="AA77" s="371">
        <f t="shared" si="19"/>
        <v>587.53488372093022</v>
      </c>
      <c r="AB77" s="54">
        <f t="shared" si="20"/>
        <v>391.68992248062017</v>
      </c>
      <c r="AC77" s="281">
        <f t="shared" si="21"/>
        <v>3.4883720930232558</v>
      </c>
      <c r="AD77" s="191">
        <f t="shared" si="22"/>
        <v>0.59443199999999996</v>
      </c>
    </row>
    <row r="78" spans="1:35" ht="13.5" thickBot="1" x14ac:dyDescent="0.25">
      <c r="A78" s="182" t="s">
        <v>94</v>
      </c>
      <c r="B78" s="21"/>
      <c r="C78" s="228"/>
      <c r="D78" s="214"/>
      <c r="E78" s="146" t="s">
        <v>100</v>
      </c>
      <c r="F78" s="22" t="s">
        <v>116</v>
      </c>
      <c r="G78" s="23">
        <v>235</v>
      </c>
      <c r="H78" s="125"/>
      <c r="I78" s="163"/>
      <c r="J78" s="1592" t="s">
        <v>343</v>
      </c>
      <c r="K78" s="1593">
        <v>384</v>
      </c>
      <c r="L78" s="250">
        <v>68416</v>
      </c>
      <c r="M78" s="152">
        <v>68416</v>
      </c>
      <c r="N78" s="65">
        <f t="shared" si="15"/>
        <v>291.13191489361702</v>
      </c>
      <c r="O78" s="68">
        <f t="shared" si="16"/>
        <v>291.13191489361702</v>
      </c>
      <c r="P78" s="68"/>
      <c r="Q78" s="68">
        <v>150</v>
      </c>
      <c r="R78" s="68">
        <v>4</v>
      </c>
      <c r="S78" s="68"/>
      <c r="T78" s="68">
        <v>622</v>
      </c>
      <c r="U78" s="68"/>
      <c r="V78" s="68">
        <v>250</v>
      </c>
      <c r="W78" s="68"/>
      <c r="X78" s="111">
        <f t="shared" si="17"/>
        <v>4276</v>
      </c>
      <c r="Y78" s="82"/>
      <c r="Z78" s="142" t="str">
        <f t="shared" si="18"/>
        <v/>
      </c>
      <c r="AA78" s="371">
        <f t="shared" si="19"/>
        <v>456.10666666666668</v>
      </c>
      <c r="AB78" s="55">
        <f t="shared" si="20"/>
        <v>273.66399999999999</v>
      </c>
      <c r="AC78" s="294">
        <f t="shared" si="21"/>
        <v>2.488</v>
      </c>
      <c r="AD78" s="191">
        <f t="shared" si="22"/>
        <v>1.1519999999999999</v>
      </c>
    </row>
    <row r="79" spans="1:35" x14ac:dyDescent="0.2">
      <c r="A79" s="182"/>
      <c r="B79" s="48" t="s">
        <v>717</v>
      </c>
      <c r="C79" s="226"/>
      <c r="D79" s="212"/>
      <c r="E79" s="12" t="s">
        <v>133</v>
      </c>
      <c r="F79" s="13"/>
      <c r="G79" s="14" t="s">
        <v>21</v>
      </c>
      <c r="H79" s="123"/>
      <c r="I79" s="161"/>
      <c r="J79" s="1578"/>
      <c r="K79" s="1583" t="s">
        <v>22</v>
      </c>
      <c r="L79" s="248"/>
      <c r="M79" s="60"/>
      <c r="N79" s="60"/>
      <c r="O79" s="61"/>
      <c r="P79" s="61" t="s">
        <v>134</v>
      </c>
      <c r="Q79" s="61"/>
      <c r="R79" s="61"/>
      <c r="S79" s="61"/>
      <c r="T79" s="61"/>
      <c r="U79" s="61" t="s">
        <v>135</v>
      </c>
      <c r="V79" s="62" t="s">
        <v>136</v>
      </c>
      <c r="W79" s="61" t="s">
        <v>137</v>
      </c>
      <c r="X79" s="109" t="s">
        <v>25</v>
      </c>
      <c r="Y79" s="80"/>
      <c r="Z79" s="164"/>
      <c r="AA79" s="373"/>
      <c r="AB79" s="92">
        <f>AVERAGE(AB80:AB82)</f>
        <v>1093.3333333333333</v>
      </c>
      <c r="AC79" s="98">
        <f>AVERAGE(AC80:AC82)</f>
        <v>38.072916666666664</v>
      </c>
      <c r="AD79" s="109"/>
      <c r="AG79" s="236"/>
    </row>
    <row r="80" spans="1:35" x14ac:dyDescent="0.2">
      <c r="A80" s="182" t="s">
        <v>26</v>
      </c>
      <c r="B80" s="17"/>
      <c r="C80" s="227"/>
      <c r="D80" s="213"/>
      <c r="E80" s="29" t="s">
        <v>138</v>
      </c>
      <c r="F80" s="30" t="s">
        <v>139</v>
      </c>
      <c r="G80" s="31">
        <v>52</v>
      </c>
      <c r="H80" s="126"/>
      <c r="I80" s="166"/>
      <c r="J80" s="1595" t="s">
        <v>140</v>
      </c>
      <c r="K80" s="1596">
        <v>359</v>
      </c>
      <c r="L80" s="1300">
        <v>4160</v>
      </c>
      <c r="M80" s="70"/>
      <c r="N80" s="70"/>
      <c r="O80" s="71">
        <f>IF(AND(G80&lt;&gt;"",L80&lt;&gt;""),L80/G80,"")</f>
        <v>80</v>
      </c>
      <c r="P80" s="71">
        <v>1</v>
      </c>
      <c r="Q80" s="71"/>
      <c r="R80" s="71"/>
      <c r="S80" s="71"/>
      <c r="T80" s="71">
        <v>246</v>
      </c>
      <c r="U80" s="71">
        <v>8</v>
      </c>
      <c r="V80" s="71">
        <v>4</v>
      </c>
      <c r="W80" s="71"/>
      <c r="X80" s="114">
        <f>L80/10</f>
        <v>416</v>
      </c>
      <c r="Y80" s="83"/>
      <c r="Z80" s="172"/>
      <c r="AA80" s="375"/>
      <c r="AB80" s="56">
        <f>L80/V80</f>
        <v>1040</v>
      </c>
      <c r="AC80" s="102">
        <f>T80/V80</f>
        <v>61.5</v>
      </c>
      <c r="AD80" s="114">
        <f>128*32*U80+128*32*V80</f>
        <v>49152</v>
      </c>
      <c r="AG80" s="236"/>
    </row>
    <row r="81" spans="1:33" x14ac:dyDescent="0.2">
      <c r="A81" s="182" t="s">
        <v>26</v>
      </c>
      <c r="B81" s="17"/>
      <c r="C81" s="227"/>
      <c r="D81" s="213"/>
      <c r="E81" s="17" t="s">
        <v>141</v>
      </c>
      <c r="F81" s="18" t="s">
        <v>142</v>
      </c>
      <c r="G81" s="19">
        <v>353</v>
      </c>
      <c r="H81" s="124"/>
      <c r="I81" s="162"/>
      <c r="J81" s="1580" t="s">
        <v>143</v>
      </c>
      <c r="K81" s="1581">
        <v>1172</v>
      </c>
      <c r="L81" s="249">
        <v>16640</v>
      </c>
      <c r="M81" s="64"/>
      <c r="N81" s="64"/>
      <c r="O81" s="65">
        <f>IF(AND(G81&lt;&gt;"",L81&lt;&gt;""),L81/G81,"")</f>
        <v>47.138810198300284</v>
      </c>
      <c r="P81" s="65">
        <v>1</v>
      </c>
      <c r="Q81" s="65"/>
      <c r="R81" s="65"/>
      <c r="S81" s="65"/>
      <c r="T81" s="65">
        <v>488</v>
      </c>
      <c r="U81" s="65">
        <v>32</v>
      </c>
      <c r="V81" s="65">
        <v>16</v>
      </c>
      <c r="W81" s="65"/>
      <c r="X81" s="110">
        <f>L81/10</f>
        <v>1664</v>
      </c>
      <c r="Y81" s="81"/>
      <c r="Z81" s="141"/>
      <c r="AA81" s="371"/>
      <c r="AB81" s="54">
        <f>L81/V81</f>
        <v>1040</v>
      </c>
      <c r="AC81" s="99">
        <f>T81/V81</f>
        <v>30.5</v>
      </c>
      <c r="AD81" s="110">
        <f>128*32*U81+128*32*V81</f>
        <v>196608</v>
      </c>
      <c r="AG81" s="236"/>
    </row>
    <row r="82" spans="1:33" ht="13.5" thickBot="1" x14ac:dyDescent="0.25">
      <c r="A82" s="182" t="s">
        <v>26</v>
      </c>
      <c r="B82" s="21"/>
      <c r="C82" s="228"/>
      <c r="D82" s="214"/>
      <c r="E82" s="21" t="s">
        <v>144</v>
      </c>
      <c r="F82" s="22" t="s">
        <v>145</v>
      </c>
      <c r="G82" s="23">
        <v>1980</v>
      </c>
      <c r="H82" s="125"/>
      <c r="I82" s="163"/>
      <c r="J82" s="1592" t="s">
        <v>146</v>
      </c>
      <c r="K82" s="1593">
        <v>3080</v>
      </c>
      <c r="L82" s="250">
        <v>38400</v>
      </c>
      <c r="M82" s="67"/>
      <c r="N82" s="67"/>
      <c r="O82" s="68">
        <f>IF(AND(G82&lt;&gt;"",L82&lt;&gt;""),L82/G82,"")</f>
        <v>19.393939393939394</v>
      </c>
      <c r="P82" s="68">
        <v>1</v>
      </c>
      <c r="Q82" s="68"/>
      <c r="R82" s="68"/>
      <c r="S82" s="68"/>
      <c r="T82" s="68">
        <v>711</v>
      </c>
      <c r="U82" s="68">
        <v>64</v>
      </c>
      <c r="V82" s="68">
        <v>32</v>
      </c>
      <c r="W82" s="68"/>
      <c r="X82" s="111">
        <f>L82/10</f>
        <v>3840</v>
      </c>
      <c r="Y82" s="82"/>
      <c r="Z82" s="142"/>
      <c r="AA82" s="374"/>
      <c r="AB82" s="55">
        <f>L82/V82</f>
        <v>1200</v>
      </c>
      <c r="AC82" s="100">
        <f>T82/V82</f>
        <v>22.21875</v>
      </c>
      <c r="AD82" s="111">
        <f>128*32*U82+128*32*V82</f>
        <v>393216</v>
      </c>
      <c r="AG82" s="236"/>
    </row>
    <row r="83" spans="1:33" ht="13.5" customHeight="1" x14ac:dyDescent="0.2">
      <c r="A83" s="182"/>
      <c r="B83" s="48" t="s">
        <v>717</v>
      </c>
      <c r="C83" s="226"/>
      <c r="D83" s="212"/>
      <c r="E83" s="12" t="s">
        <v>147</v>
      </c>
      <c r="F83" s="466" t="s">
        <v>1015</v>
      </c>
      <c r="G83" s="14" t="s">
        <v>22</v>
      </c>
      <c r="H83" s="132" t="s">
        <v>512</v>
      </c>
      <c r="I83" s="161"/>
      <c r="J83" s="1578"/>
      <c r="K83" s="1583" t="s">
        <v>22</v>
      </c>
      <c r="L83" s="248" t="s">
        <v>148</v>
      </c>
      <c r="M83" s="384" t="s">
        <v>149</v>
      </c>
      <c r="N83" s="380">
        <f>AVERAGE(N84:N89)</f>
        <v>53.679545070045521</v>
      </c>
      <c r="O83" s="60"/>
      <c r="P83" s="61"/>
      <c r="Q83" s="61" t="s">
        <v>1737</v>
      </c>
      <c r="R83" s="61"/>
      <c r="S83" s="61" t="s">
        <v>437</v>
      </c>
      <c r="T83" s="61"/>
      <c r="U83" s="61" t="s">
        <v>104</v>
      </c>
      <c r="V83" s="62" t="s">
        <v>76</v>
      </c>
      <c r="W83" s="61" t="s">
        <v>105</v>
      </c>
      <c r="X83" s="109" t="s">
        <v>93</v>
      </c>
      <c r="Y83" s="80"/>
      <c r="Z83" s="164"/>
      <c r="AA83" s="370">
        <f>AVERAGE(AA84:AA89)</f>
        <v>228.41559193121694</v>
      </c>
      <c r="AB83" s="92">
        <f>AVERAGE(AB84:AB89)</f>
        <v>179.52903734290649</v>
      </c>
      <c r="AC83" s="1452">
        <f>AVERAGE(AC84:AC89)</f>
        <v>2.7522041348130029</v>
      </c>
      <c r="AD83" s="109" t="s">
        <v>650</v>
      </c>
      <c r="AE83" s="193"/>
      <c r="AF83" s="196">
        <f>AVERAGE(AF84:AF89)</f>
        <v>51.824147016027347</v>
      </c>
      <c r="AG83" s="236"/>
    </row>
    <row r="84" spans="1:33" x14ac:dyDescent="0.2">
      <c r="A84" s="182" t="s">
        <v>26</v>
      </c>
      <c r="B84" s="17"/>
      <c r="C84" s="227"/>
      <c r="D84" s="213" t="s">
        <v>704</v>
      </c>
      <c r="E84" s="118" t="s">
        <v>150</v>
      </c>
      <c r="F84" s="18" t="s">
        <v>594</v>
      </c>
      <c r="G84" s="19">
        <v>190</v>
      </c>
      <c r="H84" s="124">
        <v>23</v>
      </c>
      <c r="I84" s="162">
        <v>342</v>
      </c>
      <c r="J84" s="1580" t="s">
        <v>152</v>
      </c>
      <c r="K84" s="1581">
        <v>340</v>
      </c>
      <c r="L84" s="456">
        <f t="shared" ref="L84:L89" si="23">20*X84/1000</f>
        <v>15.6</v>
      </c>
      <c r="M84" s="457">
        <f t="shared" ref="M84:M89" si="24">20*X84/1000</f>
        <v>15.6</v>
      </c>
      <c r="N84" s="65">
        <f t="shared" ref="N84:N89" si="25">IF(AND(G84&lt;&gt;"",M84&lt;&gt;""),1000*M84/G84,"")</f>
        <v>82.10526315789474</v>
      </c>
      <c r="O84" s="65">
        <v>65.684210526315795</v>
      </c>
      <c r="P84" s="65"/>
      <c r="Q84" s="65">
        <v>48</v>
      </c>
      <c r="R84" s="65">
        <v>6</v>
      </c>
      <c r="S84" s="65"/>
      <c r="T84" s="65">
        <v>365</v>
      </c>
      <c r="U84" s="65">
        <v>104</v>
      </c>
      <c r="V84" s="65">
        <v>78</v>
      </c>
      <c r="W84" s="65">
        <v>0</v>
      </c>
      <c r="X84" s="110">
        <v>780</v>
      </c>
      <c r="Y84" s="81"/>
      <c r="Z84" s="141"/>
      <c r="AA84" s="371">
        <f t="shared" ref="AA84:AA89" si="26">500*M84/Q84</f>
        <v>162.5</v>
      </c>
      <c r="AB84" s="54">
        <v>160</v>
      </c>
      <c r="AC84" s="281">
        <v>4.6794871794871797</v>
      </c>
      <c r="AD84" s="191">
        <f t="shared" ref="AD84:AD89" si="27">(32*18*U84+128*36*V84+4096*144*W84)/1000000</f>
        <v>0.41932799999999998</v>
      </c>
      <c r="AE84" s="17">
        <v>5</v>
      </c>
      <c r="AF84" s="198">
        <f t="shared" ref="AF84:AF89" si="28">(AE84*1000000-V84*36*256)/(5000*L84)</f>
        <v>54.886564102564101</v>
      </c>
      <c r="AG84" s="236"/>
    </row>
    <row r="85" spans="1:33" x14ac:dyDescent="0.2">
      <c r="A85" s="182" t="s">
        <v>26</v>
      </c>
      <c r="B85" s="17"/>
      <c r="C85" s="227"/>
      <c r="D85" s="213" t="s">
        <v>704</v>
      </c>
      <c r="E85" s="17" t="s">
        <v>1960</v>
      </c>
      <c r="F85" s="18" t="s">
        <v>151</v>
      </c>
      <c r="G85" s="19">
        <v>405</v>
      </c>
      <c r="H85" s="124">
        <v>23</v>
      </c>
      <c r="I85" s="162">
        <v>342</v>
      </c>
      <c r="J85" s="1580" t="s">
        <v>153</v>
      </c>
      <c r="K85" s="1581">
        <v>505</v>
      </c>
      <c r="L85" s="456">
        <f t="shared" si="23"/>
        <v>33.880000000000003</v>
      </c>
      <c r="M85" s="457">
        <f t="shared" si="24"/>
        <v>33.880000000000003</v>
      </c>
      <c r="N85" s="65">
        <f t="shared" si="25"/>
        <v>83.654320987654316</v>
      </c>
      <c r="O85" s="65">
        <v>66.923456790123453</v>
      </c>
      <c r="P85" s="65"/>
      <c r="Q85" s="65">
        <v>64</v>
      </c>
      <c r="R85" s="65">
        <v>6</v>
      </c>
      <c r="S85" s="65"/>
      <c r="T85" s="65">
        <v>499</v>
      </c>
      <c r="U85" s="65">
        <v>202</v>
      </c>
      <c r="V85" s="65">
        <v>144</v>
      </c>
      <c r="W85" s="65">
        <v>1</v>
      </c>
      <c r="X85" s="110">
        <v>1694</v>
      </c>
      <c r="Y85" s="81"/>
      <c r="Z85" s="141"/>
      <c r="AA85" s="371">
        <f t="shared" si="26"/>
        <v>264.6875</v>
      </c>
      <c r="AB85" s="54">
        <v>188.22222222222223</v>
      </c>
      <c r="AC85" s="281">
        <v>3.4652777777777777</v>
      </c>
      <c r="AD85" s="191">
        <f t="shared" si="27"/>
        <v>1.3697280000000001</v>
      </c>
      <c r="AE85" s="17">
        <v>10</v>
      </c>
      <c r="AF85" s="198">
        <f t="shared" si="28"/>
        <v>51.197733175914998</v>
      </c>
      <c r="AG85" s="236"/>
    </row>
    <row r="86" spans="1:33" x14ac:dyDescent="0.2">
      <c r="A86" s="182" t="s">
        <v>94</v>
      </c>
      <c r="B86" s="17"/>
      <c r="C86" s="227"/>
      <c r="D86" s="213" t="s">
        <v>704</v>
      </c>
      <c r="E86" s="17" t="s">
        <v>1961</v>
      </c>
      <c r="F86" s="18" t="s">
        <v>151</v>
      </c>
      <c r="G86" s="19">
        <v>760</v>
      </c>
      <c r="H86" s="124">
        <v>23</v>
      </c>
      <c r="I86" s="162">
        <v>334</v>
      </c>
      <c r="J86" s="1580" t="s">
        <v>154</v>
      </c>
      <c r="K86" s="1581">
        <v>1466.25</v>
      </c>
      <c r="L86" s="456">
        <f t="shared" si="23"/>
        <v>60.44</v>
      </c>
      <c r="M86" s="457">
        <f t="shared" si="24"/>
        <v>60.44</v>
      </c>
      <c r="N86" s="65">
        <f t="shared" si="25"/>
        <v>79.526315789473685</v>
      </c>
      <c r="O86" s="65">
        <v>63.621052631578948</v>
      </c>
      <c r="P86" s="65"/>
      <c r="Q86" s="65">
        <v>144</v>
      </c>
      <c r="R86" s="65">
        <v>12</v>
      </c>
      <c r="S86" s="65"/>
      <c r="T86" s="65">
        <v>717</v>
      </c>
      <c r="U86" s="65">
        <v>329</v>
      </c>
      <c r="V86" s="65">
        <v>255</v>
      </c>
      <c r="W86" s="65">
        <v>2</v>
      </c>
      <c r="X86" s="110">
        <v>3022</v>
      </c>
      <c r="Y86" s="81">
        <v>125</v>
      </c>
      <c r="Z86" s="141">
        <v>386.81599999999997</v>
      </c>
      <c r="AA86" s="371">
        <f t="shared" si="26"/>
        <v>209.86111111111111</v>
      </c>
      <c r="AB86" s="54">
        <v>189.61568627450981</v>
      </c>
      <c r="AC86" s="281">
        <v>2.8117647058823527</v>
      </c>
      <c r="AD86" s="191">
        <f t="shared" si="27"/>
        <v>2.5441919999999998</v>
      </c>
      <c r="AE86" s="17">
        <v>17</v>
      </c>
      <c r="AF86" s="198">
        <f t="shared" si="28"/>
        <v>48.477564526803441</v>
      </c>
      <c r="AG86" s="236"/>
    </row>
    <row r="87" spans="1:33" x14ac:dyDescent="0.2">
      <c r="A87" s="182" t="s">
        <v>94</v>
      </c>
      <c r="B87" s="17"/>
      <c r="C87" s="227"/>
      <c r="D87" s="213" t="s">
        <v>704</v>
      </c>
      <c r="E87" s="17" t="s">
        <v>1962</v>
      </c>
      <c r="F87" s="18" t="s">
        <v>117</v>
      </c>
      <c r="G87" s="19">
        <v>2662.25</v>
      </c>
      <c r="H87" s="124">
        <v>27</v>
      </c>
      <c r="I87" s="162">
        <v>308</v>
      </c>
      <c r="J87" s="1580" t="s">
        <v>336</v>
      </c>
      <c r="K87" s="1581">
        <v>3920</v>
      </c>
      <c r="L87" s="456">
        <f t="shared" si="23"/>
        <v>90.96</v>
      </c>
      <c r="M87" s="457">
        <f t="shared" si="24"/>
        <v>90.96</v>
      </c>
      <c r="N87" s="65">
        <f t="shared" si="25"/>
        <v>34.166588412057472</v>
      </c>
      <c r="O87" s="65">
        <v>27.333270729645974</v>
      </c>
      <c r="P87" s="65"/>
      <c r="Q87" s="65">
        <v>192</v>
      </c>
      <c r="R87" s="65">
        <v>12</v>
      </c>
      <c r="S87" s="65"/>
      <c r="T87" s="65">
        <v>901</v>
      </c>
      <c r="U87" s="65">
        <v>488</v>
      </c>
      <c r="V87" s="65">
        <v>408</v>
      </c>
      <c r="W87" s="65">
        <v>4</v>
      </c>
      <c r="X87" s="110">
        <v>4548</v>
      </c>
      <c r="Y87" s="81"/>
      <c r="Z87" s="141"/>
      <c r="AA87" s="371">
        <f t="shared" si="26"/>
        <v>236.875</v>
      </c>
      <c r="AB87" s="54">
        <v>178.35294117647058</v>
      </c>
      <c r="AC87" s="281">
        <v>2.2083333333333335</v>
      </c>
      <c r="AD87" s="191">
        <f t="shared" si="27"/>
        <v>4.520448</v>
      </c>
      <c r="AE87" s="17">
        <v>28</v>
      </c>
      <c r="AF87" s="198">
        <f t="shared" si="28"/>
        <v>53.297871591908539</v>
      </c>
      <c r="AG87" s="236"/>
    </row>
    <row r="88" spans="1:33" x14ac:dyDescent="0.2">
      <c r="A88" s="182" t="s">
        <v>94</v>
      </c>
      <c r="B88" s="17"/>
      <c r="C88" s="227"/>
      <c r="D88" s="213"/>
      <c r="E88" s="17" t="s">
        <v>1963</v>
      </c>
      <c r="F88" s="18" t="s">
        <v>335</v>
      </c>
      <c r="G88" s="19">
        <v>6100</v>
      </c>
      <c r="H88" s="124">
        <v>29</v>
      </c>
      <c r="I88" s="162">
        <v>534</v>
      </c>
      <c r="J88" s="1580" t="s">
        <v>336</v>
      </c>
      <c r="K88" s="1581">
        <v>6976</v>
      </c>
      <c r="L88" s="456">
        <f t="shared" si="23"/>
        <v>132.54</v>
      </c>
      <c r="M88" s="457">
        <f t="shared" si="24"/>
        <v>132.54</v>
      </c>
      <c r="N88" s="65">
        <f t="shared" si="25"/>
        <v>21.727868852459018</v>
      </c>
      <c r="O88" s="65">
        <v>17.382295081967214</v>
      </c>
      <c r="P88" s="65"/>
      <c r="Q88" s="65">
        <v>252</v>
      </c>
      <c r="R88" s="65">
        <v>12</v>
      </c>
      <c r="S88" s="65"/>
      <c r="T88" s="65">
        <v>1109</v>
      </c>
      <c r="U88" s="65">
        <v>699</v>
      </c>
      <c r="V88" s="65">
        <v>609</v>
      </c>
      <c r="W88" s="65">
        <v>6</v>
      </c>
      <c r="X88" s="110">
        <v>6627</v>
      </c>
      <c r="Y88" s="81"/>
      <c r="Z88" s="141"/>
      <c r="AA88" s="371">
        <f t="shared" si="26"/>
        <v>262.97619047619048</v>
      </c>
      <c r="AB88" s="54">
        <v>174.10837438423644</v>
      </c>
      <c r="AC88" s="281">
        <v>1.8210180623973728</v>
      </c>
      <c r="AD88" s="191">
        <f t="shared" si="27"/>
        <v>6.7478400000000001</v>
      </c>
      <c r="AE88" s="17">
        <v>40</v>
      </c>
      <c r="AF88" s="198">
        <f t="shared" si="28"/>
        <v>51.889929078014184</v>
      </c>
      <c r="AG88" s="236"/>
    </row>
    <row r="89" spans="1:33" ht="13.5" thickBot="1" x14ac:dyDescent="0.25">
      <c r="A89" s="182" t="s">
        <v>94</v>
      </c>
      <c r="B89" s="21"/>
      <c r="C89" s="228"/>
      <c r="D89" s="214"/>
      <c r="E89" s="21" t="s">
        <v>155</v>
      </c>
      <c r="F89" s="22" t="s">
        <v>337</v>
      </c>
      <c r="G89" s="23">
        <v>8585</v>
      </c>
      <c r="H89" s="125">
        <v>33</v>
      </c>
      <c r="I89" s="163">
        <v>742</v>
      </c>
      <c r="J89" s="1592" t="s">
        <v>338</v>
      </c>
      <c r="K89" s="1593">
        <v>9816</v>
      </c>
      <c r="L89" s="456">
        <f t="shared" si="23"/>
        <v>179.4</v>
      </c>
      <c r="M89" s="457">
        <f t="shared" si="24"/>
        <v>179.4</v>
      </c>
      <c r="N89" s="65">
        <f t="shared" si="25"/>
        <v>20.89691322073384</v>
      </c>
      <c r="O89" s="68">
        <v>16.71753057658707</v>
      </c>
      <c r="P89" s="68"/>
      <c r="Q89" s="68">
        <v>384</v>
      </c>
      <c r="R89" s="68">
        <v>12</v>
      </c>
      <c r="S89" s="68"/>
      <c r="T89" s="68">
        <v>1173</v>
      </c>
      <c r="U89" s="68">
        <v>930</v>
      </c>
      <c r="V89" s="68">
        <v>768</v>
      </c>
      <c r="W89" s="68">
        <v>9</v>
      </c>
      <c r="X89" s="111">
        <v>8970</v>
      </c>
      <c r="Y89" s="82"/>
      <c r="Z89" s="142"/>
      <c r="AA89" s="371">
        <f t="shared" si="26"/>
        <v>233.59375</v>
      </c>
      <c r="AB89" s="55">
        <v>186.875</v>
      </c>
      <c r="AC89" s="294">
        <v>1.52734375</v>
      </c>
      <c r="AD89" s="192">
        <f t="shared" si="27"/>
        <v>9.3830399999999994</v>
      </c>
      <c r="AE89" s="21">
        <v>53</v>
      </c>
      <c r="AF89" s="198">
        <f t="shared" si="28"/>
        <v>51.195219620958753</v>
      </c>
      <c r="AG89" s="236"/>
    </row>
    <row r="90" spans="1:33" x14ac:dyDescent="0.2">
      <c r="A90" s="182"/>
      <c r="B90" s="48" t="s">
        <v>717</v>
      </c>
      <c r="C90" s="226"/>
      <c r="D90" s="212"/>
      <c r="E90" s="12" t="s">
        <v>485</v>
      </c>
      <c r="F90" s="466" t="s">
        <v>1012</v>
      </c>
      <c r="G90" s="14" t="s">
        <v>22</v>
      </c>
      <c r="H90" s="132" t="s">
        <v>528</v>
      </c>
      <c r="I90" s="161"/>
      <c r="J90" s="1578"/>
      <c r="K90" s="1583" t="s">
        <v>22</v>
      </c>
      <c r="L90" s="248" t="s">
        <v>23</v>
      </c>
      <c r="M90" s="60"/>
      <c r="N90" s="380">
        <f>AVERAGE(N91:N96)</f>
        <v>503.50799617789289</v>
      </c>
      <c r="O90" s="61"/>
      <c r="P90" s="61"/>
      <c r="Q90" s="61" t="s">
        <v>1737</v>
      </c>
      <c r="R90" s="61"/>
      <c r="S90" s="61"/>
      <c r="T90" s="61"/>
      <c r="U90" s="61"/>
      <c r="V90" s="62" t="s">
        <v>157</v>
      </c>
      <c r="W90" s="61"/>
      <c r="X90" s="109" t="s">
        <v>93</v>
      </c>
      <c r="Y90" s="80"/>
      <c r="Z90" s="164"/>
      <c r="AA90" s="372">
        <f>AVERAGE(AA91:AA96)</f>
        <v>332.09512709512705</v>
      </c>
      <c r="AB90" s="92">
        <f>AVERAGE(AB91:AB96)</f>
        <v>0.25222504162504161</v>
      </c>
      <c r="AC90" s="1452">
        <f>AVERAGE(AC91:AC96)</f>
        <v>3.8408704017399669</v>
      </c>
      <c r="AD90" s="522" t="s">
        <v>650</v>
      </c>
      <c r="AE90" s="201"/>
      <c r="AF90" s="196">
        <f>AVERAGE(AF91:AF98)</f>
        <v>59.910418374077423</v>
      </c>
    </row>
    <row r="91" spans="1:33" x14ac:dyDescent="0.2">
      <c r="A91" s="182" t="s">
        <v>94</v>
      </c>
      <c r="B91" s="17"/>
      <c r="C91" s="227"/>
      <c r="D91" s="213"/>
      <c r="E91" s="118" t="s">
        <v>486</v>
      </c>
      <c r="F91" s="18" t="s">
        <v>546</v>
      </c>
      <c r="G91" s="19">
        <v>12.8</v>
      </c>
      <c r="H91" s="124">
        <v>8</v>
      </c>
      <c r="I91" s="162">
        <v>106</v>
      </c>
      <c r="J91" s="1580"/>
      <c r="K91" s="1581"/>
      <c r="L91" s="451">
        <v>5.1360000000000001</v>
      </c>
      <c r="M91" s="452">
        <v>5.1360000000000001</v>
      </c>
      <c r="N91" s="65">
        <f t="shared" ref="N91:N98" si="29">IF(AND(G91&lt;&gt;"",M91&lt;&gt;""),1000*M91/G91,"")</f>
        <v>401.25</v>
      </c>
      <c r="O91" s="65">
        <f t="shared" ref="O91:O98" si="30">IF(AND(G91&lt;&gt;"",L91&lt;&gt;""),L91/G91,"")</f>
        <v>0.40125</v>
      </c>
      <c r="P91" s="65"/>
      <c r="Q91" s="65">
        <v>23</v>
      </c>
      <c r="R91" s="65">
        <v>2</v>
      </c>
      <c r="S91" s="65"/>
      <c r="T91" s="65">
        <v>182</v>
      </c>
      <c r="U91" s="65"/>
      <c r="V91" s="65">
        <v>46</v>
      </c>
      <c r="W91" s="65"/>
      <c r="X91" s="110">
        <f t="shared" ref="X91:X98" si="31">1000*L91/16</f>
        <v>321</v>
      </c>
      <c r="Y91" s="81">
        <v>4</v>
      </c>
      <c r="Z91" s="141">
        <f t="shared" ref="Z91:Z98" si="32">IF(AND(L91&lt;&gt;"",Y91&lt;&gt;""),1000*L91/Y91,"")</f>
        <v>1284</v>
      </c>
      <c r="AA91" s="371">
        <f t="shared" ref="AA91:AA98" si="33">1000*M91/Q91</f>
        <v>223.30434782608697</v>
      </c>
      <c r="AB91" s="54">
        <f t="shared" ref="AB91:AB98" si="34">L91/V91</f>
        <v>0.11165217391304348</v>
      </c>
      <c r="AC91" s="281">
        <f t="shared" ref="AC91:AC98" si="35">T91/V91</f>
        <v>3.9565217391304346</v>
      </c>
      <c r="AD91" s="191">
        <f t="shared" ref="AD91:AD98" si="36">256*36*V91/1000000</f>
        <v>0.42393599999999998</v>
      </c>
      <c r="AE91" s="197">
        <v>2.8</v>
      </c>
      <c r="AF91" s="198">
        <f t="shared" ref="AF91:AF98" si="37">(AE91*1000000-V91*36*256)/(4000*L91)</f>
        <v>115.65732087227414</v>
      </c>
    </row>
    <row r="92" spans="1:33" x14ac:dyDescent="0.2">
      <c r="A92" s="182" t="s">
        <v>94</v>
      </c>
      <c r="B92" s="17"/>
      <c r="C92" s="227"/>
      <c r="D92" s="213"/>
      <c r="E92" s="118" t="s">
        <v>487</v>
      </c>
      <c r="F92" s="18" t="s">
        <v>546</v>
      </c>
      <c r="G92" s="19">
        <v>19.2</v>
      </c>
      <c r="H92" s="124">
        <v>8</v>
      </c>
      <c r="I92" s="162">
        <v>106</v>
      </c>
      <c r="J92" s="1580"/>
      <c r="K92" s="1581"/>
      <c r="L92" s="451">
        <v>10.32</v>
      </c>
      <c r="M92" s="452">
        <v>10.32</v>
      </c>
      <c r="N92" s="65">
        <f t="shared" si="29"/>
        <v>537.5</v>
      </c>
      <c r="O92" s="65">
        <f t="shared" si="30"/>
        <v>0.53750000000000009</v>
      </c>
      <c r="P92" s="65"/>
      <c r="Q92" s="65">
        <v>23</v>
      </c>
      <c r="R92" s="65">
        <v>2</v>
      </c>
      <c r="S92" s="65"/>
      <c r="T92" s="65">
        <v>182</v>
      </c>
      <c r="U92" s="65"/>
      <c r="V92" s="65">
        <v>46</v>
      </c>
      <c r="W92" s="65"/>
      <c r="X92" s="110">
        <f t="shared" si="31"/>
        <v>645</v>
      </c>
      <c r="Y92" s="81">
        <v>5</v>
      </c>
      <c r="Z92" s="141">
        <f t="shared" si="32"/>
        <v>2064</v>
      </c>
      <c r="AA92" s="371">
        <f t="shared" si="33"/>
        <v>448.69565217391306</v>
      </c>
      <c r="AB92" s="54">
        <f t="shared" si="34"/>
        <v>0.22434782608695653</v>
      </c>
      <c r="AC92" s="281">
        <f t="shared" si="35"/>
        <v>3.9565217391304346</v>
      </c>
      <c r="AD92" s="191">
        <f t="shared" si="36"/>
        <v>0.42393599999999998</v>
      </c>
      <c r="AE92" s="197">
        <v>2.8</v>
      </c>
      <c r="AF92" s="198">
        <f t="shared" si="37"/>
        <v>57.559689922480622</v>
      </c>
    </row>
    <row r="93" spans="1:33" x14ac:dyDescent="0.2">
      <c r="A93" s="182" t="s">
        <v>94</v>
      </c>
      <c r="B93" s="17"/>
      <c r="C93" s="227"/>
      <c r="D93" s="213"/>
      <c r="E93" s="118" t="s">
        <v>488</v>
      </c>
      <c r="F93" s="18" t="s">
        <v>546</v>
      </c>
      <c r="G93" s="19">
        <v>26.7</v>
      </c>
      <c r="H93" s="124">
        <v>8</v>
      </c>
      <c r="I93" s="162">
        <v>92</v>
      </c>
      <c r="J93" s="1580"/>
      <c r="K93" s="1581"/>
      <c r="L93" s="451">
        <v>15.407999999999999</v>
      </c>
      <c r="M93" s="452">
        <v>15.407999999999999</v>
      </c>
      <c r="N93" s="65">
        <f t="shared" si="29"/>
        <v>577.07865168539331</v>
      </c>
      <c r="O93" s="65">
        <f t="shared" si="30"/>
        <v>0.5770786516853933</v>
      </c>
      <c r="P93" s="65"/>
      <c r="Q93" s="65">
        <v>56</v>
      </c>
      <c r="R93" s="65">
        <v>4</v>
      </c>
      <c r="S93" s="65"/>
      <c r="T93" s="65">
        <v>346</v>
      </c>
      <c r="U93" s="65"/>
      <c r="V93" s="65">
        <v>56</v>
      </c>
      <c r="W93" s="65"/>
      <c r="X93" s="110">
        <f t="shared" si="31"/>
        <v>963</v>
      </c>
      <c r="Y93" s="81"/>
      <c r="Z93" s="141" t="str">
        <f t="shared" si="32"/>
        <v/>
      </c>
      <c r="AA93" s="371">
        <f t="shared" si="33"/>
        <v>275.14285714285717</v>
      </c>
      <c r="AB93" s="54">
        <f t="shared" si="34"/>
        <v>0.27514285714285713</v>
      </c>
      <c r="AC93" s="281">
        <f t="shared" si="35"/>
        <v>6.1785714285714288</v>
      </c>
      <c r="AD93" s="191">
        <f t="shared" si="36"/>
        <v>0.516096</v>
      </c>
      <c r="AE93" s="197">
        <v>3.9</v>
      </c>
      <c r="AF93" s="198">
        <f t="shared" si="37"/>
        <v>54.904984423676012</v>
      </c>
    </row>
    <row r="94" spans="1:33" x14ac:dyDescent="0.2">
      <c r="A94" s="182" t="s">
        <v>94</v>
      </c>
      <c r="B94" s="17"/>
      <c r="C94" s="227"/>
      <c r="D94" s="213"/>
      <c r="E94" s="118" t="s">
        <v>489</v>
      </c>
      <c r="F94" s="18" t="s">
        <v>494</v>
      </c>
      <c r="G94" s="19">
        <v>39.5</v>
      </c>
      <c r="H94" s="124">
        <v>14</v>
      </c>
      <c r="I94" s="162">
        <v>156</v>
      </c>
      <c r="J94" s="1580" t="s">
        <v>495</v>
      </c>
      <c r="K94" s="1581">
        <v>58.7</v>
      </c>
      <c r="L94" s="451">
        <v>24.623999999999999</v>
      </c>
      <c r="M94" s="452">
        <v>24.623999999999999</v>
      </c>
      <c r="N94" s="65">
        <f t="shared" si="29"/>
        <v>623.39240506329111</v>
      </c>
      <c r="O94" s="65">
        <f t="shared" si="30"/>
        <v>0.62339240506329108</v>
      </c>
      <c r="P94" s="65"/>
      <c r="Q94" s="65">
        <v>66</v>
      </c>
      <c r="R94" s="65">
        <v>4</v>
      </c>
      <c r="S94" s="65"/>
      <c r="T94" s="65">
        <v>215</v>
      </c>
      <c r="U94" s="65"/>
      <c r="V94" s="65">
        <v>66</v>
      </c>
      <c r="W94" s="65"/>
      <c r="X94" s="110">
        <f t="shared" si="31"/>
        <v>1539</v>
      </c>
      <c r="Y94" s="81"/>
      <c r="Z94" s="141" t="str">
        <f t="shared" si="32"/>
        <v/>
      </c>
      <c r="AA94" s="371">
        <f t="shared" si="33"/>
        <v>373.09090909090907</v>
      </c>
      <c r="AB94" s="54">
        <f t="shared" si="34"/>
        <v>0.37309090909090908</v>
      </c>
      <c r="AC94" s="281">
        <f t="shared" si="35"/>
        <v>3.2575757575757578</v>
      </c>
      <c r="AD94" s="191">
        <f t="shared" si="36"/>
        <v>0.60825600000000002</v>
      </c>
      <c r="AE94" s="197">
        <v>5.5</v>
      </c>
      <c r="AF94" s="198">
        <f t="shared" si="37"/>
        <v>49.664392462638077</v>
      </c>
      <c r="AG94" s="6" t="s">
        <v>790</v>
      </c>
    </row>
    <row r="95" spans="1:33" x14ac:dyDescent="0.2">
      <c r="A95" s="182" t="s">
        <v>94</v>
      </c>
      <c r="B95" s="17"/>
      <c r="C95" s="227"/>
      <c r="D95" s="213"/>
      <c r="E95" s="118" t="s">
        <v>490</v>
      </c>
      <c r="F95" s="18" t="s">
        <v>81</v>
      </c>
      <c r="G95" s="19">
        <v>81.3</v>
      </c>
      <c r="H95" s="124">
        <v>19</v>
      </c>
      <c r="I95" s="162">
        <v>215</v>
      </c>
      <c r="J95" s="1580"/>
      <c r="K95" s="1581"/>
      <c r="L95" s="451">
        <v>39.6</v>
      </c>
      <c r="M95" s="452">
        <v>39.6</v>
      </c>
      <c r="N95" s="65">
        <f t="shared" si="29"/>
        <v>487.08487084870848</v>
      </c>
      <c r="O95" s="65">
        <f t="shared" si="30"/>
        <v>0.4870848708487085</v>
      </c>
      <c r="P95" s="65"/>
      <c r="Q95" s="65">
        <v>126</v>
      </c>
      <c r="R95" s="65">
        <v>4</v>
      </c>
      <c r="S95" s="65"/>
      <c r="T95" s="65">
        <v>535</v>
      </c>
      <c r="U95" s="65"/>
      <c r="V95" s="65">
        <v>126</v>
      </c>
      <c r="W95" s="65"/>
      <c r="X95" s="110">
        <f t="shared" si="31"/>
        <v>2475</v>
      </c>
      <c r="Y95" s="81"/>
      <c r="Z95" s="141" t="str">
        <f t="shared" si="32"/>
        <v/>
      </c>
      <c r="AA95" s="371">
        <f t="shared" si="33"/>
        <v>314.28571428571428</v>
      </c>
      <c r="AB95" s="54">
        <f t="shared" si="34"/>
        <v>0.31428571428571428</v>
      </c>
      <c r="AC95" s="281">
        <f t="shared" si="35"/>
        <v>4.246031746031746</v>
      </c>
      <c r="AD95" s="191">
        <f t="shared" si="36"/>
        <v>1.161216</v>
      </c>
      <c r="AE95" s="197">
        <v>9.1</v>
      </c>
      <c r="AF95" s="198">
        <f t="shared" si="37"/>
        <v>50.11858585858586</v>
      </c>
      <c r="AG95" s="236"/>
    </row>
    <row r="96" spans="1:33" x14ac:dyDescent="0.2">
      <c r="A96" s="182" t="s">
        <v>94</v>
      </c>
      <c r="B96" s="17"/>
      <c r="C96" s="227"/>
      <c r="D96" s="213"/>
      <c r="E96" s="118" t="s">
        <v>491</v>
      </c>
      <c r="F96" s="18" t="s">
        <v>354</v>
      </c>
      <c r="G96" s="19">
        <v>141.5</v>
      </c>
      <c r="H96" s="124">
        <v>19</v>
      </c>
      <c r="I96" s="162">
        <v>195</v>
      </c>
      <c r="J96" s="1580"/>
      <c r="K96" s="1581"/>
      <c r="L96" s="451">
        <v>55.856000000000002</v>
      </c>
      <c r="M96" s="452">
        <v>55.856000000000002</v>
      </c>
      <c r="N96" s="65">
        <f t="shared" si="29"/>
        <v>394.74204946996468</v>
      </c>
      <c r="O96" s="65">
        <f t="shared" si="30"/>
        <v>0.39474204946996466</v>
      </c>
      <c r="P96" s="65"/>
      <c r="Q96" s="65">
        <v>156</v>
      </c>
      <c r="R96" s="65">
        <v>4</v>
      </c>
      <c r="S96" s="65"/>
      <c r="T96" s="65">
        <v>377</v>
      </c>
      <c r="U96" s="65"/>
      <c r="V96" s="65">
        <v>260</v>
      </c>
      <c r="W96" s="65"/>
      <c r="X96" s="110">
        <f t="shared" si="31"/>
        <v>3491</v>
      </c>
      <c r="Y96" s="81"/>
      <c r="Z96" s="141" t="str">
        <f t="shared" si="32"/>
        <v/>
      </c>
      <c r="AA96" s="371">
        <f t="shared" si="33"/>
        <v>358.05128205128204</v>
      </c>
      <c r="AB96" s="54">
        <f t="shared" si="34"/>
        <v>0.21483076923076924</v>
      </c>
      <c r="AC96" s="281">
        <f t="shared" si="35"/>
        <v>1.45</v>
      </c>
      <c r="AD96" s="191">
        <f t="shared" si="36"/>
        <v>2.3961600000000001</v>
      </c>
      <c r="AE96" s="197">
        <v>14.2</v>
      </c>
      <c r="AF96" s="198">
        <f t="shared" si="37"/>
        <v>52.831566886279006</v>
      </c>
      <c r="AG96" s="236"/>
    </row>
    <row r="97" spans="1:33" x14ac:dyDescent="0.2">
      <c r="A97" s="182" t="s">
        <v>94</v>
      </c>
      <c r="B97" s="17"/>
      <c r="C97" s="227"/>
      <c r="D97" s="213"/>
      <c r="E97" s="118" t="s">
        <v>492</v>
      </c>
      <c r="F97" s="18" t="s">
        <v>122</v>
      </c>
      <c r="G97" s="19">
        <v>245.7</v>
      </c>
      <c r="H97" s="124">
        <v>19</v>
      </c>
      <c r="I97" s="162">
        <v>295</v>
      </c>
      <c r="J97" s="1580"/>
      <c r="K97" s="1581"/>
      <c r="L97" s="451">
        <v>81.263999999999996</v>
      </c>
      <c r="M97" s="452">
        <v>81.263999999999996</v>
      </c>
      <c r="N97" s="65">
        <f t="shared" si="29"/>
        <v>330.74481074481076</v>
      </c>
      <c r="O97" s="65">
        <f t="shared" si="30"/>
        <v>0.33074481074481077</v>
      </c>
      <c r="P97" s="65"/>
      <c r="Q97" s="65">
        <v>244</v>
      </c>
      <c r="R97" s="65">
        <v>4</v>
      </c>
      <c r="S97" s="65"/>
      <c r="T97" s="65">
        <v>429</v>
      </c>
      <c r="U97" s="65"/>
      <c r="V97" s="65">
        <v>305</v>
      </c>
      <c r="W97" s="65"/>
      <c r="X97" s="110">
        <f t="shared" si="31"/>
        <v>5079</v>
      </c>
      <c r="Y97" s="81"/>
      <c r="Z97" s="141" t="str">
        <f t="shared" si="32"/>
        <v/>
      </c>
      <c r="AA97" s="371">
        <f t="shared" si="33"/>
        <v>333.04918032786884</v>
      </c>
      <c r="AB97" s="54">
        <f t="shared" si="34"/>
        <v>0.26643934426229504</v>
      </c>
      <c r="AC97" s="281">
        <f t="shared" si="35"/>
        <v>1.4065573770491804</v>
      </c>
      <c r="AD97" s="191">
        <f t="shared" si="36"/>
        <v>2.81088</v>
      </c>
      <c r="AE97" s="197">
        <v>19</v>
      </c>
      <c r="AF97" s="198">
        <f t="shared" si="37"/>
        <v>49.804095294349281</v>
      </c>
      <c r="AG97" s="236"/>
    </row>
    <row r="98" spans="1:33" ht="13.5" thickBot="1" x14ac:dyDescent="0.25">
      <c r="A98" s="182" t="s">
        <v>94</v>
      </c>
      <c r="B98" s="21"/>
      <c r="C98" s="228"/>
      <c r="D98" s="214"/>
      <c r="E98" s="146" t="s">
        <v>493</v>
      </c>
      <c r="F98" s="22" t="s">
        <v>496</v>
      </c>
      <c r="G98" s="23">
        <v>387</v>
      </c>
      <c r="H98" s="125">
        <v>23</v>
      </c>
      <c r="I98" s="163">
        <v>283</v>
      </c>
      <c r="J98" s="1592" t="s">
        <v>497</v>
      </c>
      <c r="K98" s="1593">
        <v>387</v>
      </c>
      <c r="L98" s="453">
        <v>119.08799999999999</v>
      </c>
      <c r="M98" s="454">
        <v>119.08799999999999</v>
      </c>
      <c r="N98" s="65">
        <f t="shared" si="29"/>
        <v>307.72093023255815</v>
      </c>
      <c r="O98" s="68">
        <f t="shared" si="30"/>
        <v>0.30772093023255814</v>
      </c>
      <c r="P98" s="68"/>
      <c r="Q98" s="68">
        <v>288</v>
      </c>
      <c r="R98" s="68">
        <v>4</v>
      </c>
      <c r="S98" s="68"/>
      <c r="T98" s="68">
        <v>531</v>
      </c>
      <c r="U98" s="68"/>
      <c r="V98" s="68">
        <v>432</v>
      </c>
      <c r="W98" s="68"/>
      <c r="X98" s="110">
        <f t="shared" si="31"/>
        <v>7443</v>
      </c>
      <c r="Y98" s="82"/>
      <c r="Z98" s="141" t="str">
        <f t="shared" si="32"/>
        <v/>
      </c>
      <c r="AA98" s="371">
        <f t="shared" si="33"/>
        <v>413.5</v>
      </c>
      <c r="AB98" s="55">
        <f t="shared" si="34"/>
        <v>0.27566666666666667</v>
      </c>
      <c r="AC98" s="294">
        <f t="shared" si="35"/>
        <v>1.2291666666666667</v>
      </c>
      <c r="AD98" s="191">
        <f t="shared" si="36"/>
        <v>3.981312</v>
      </c>
      <c r="AE98" s="199">
        <v>27.2</v>
      </c>
      <c r="AF98" s="198">
        <f t="shared" si="37"/>
        <v>48.742711272336422</v>
      </c>
      <c r="AG98" s="236"/>
    </row>
    <row r="99" spans="1:33" ht="13.5" customHeight="1" thickBot="1" x14ac:dyDescent="0.25">
      <c r="A99" s="182"/>
      <c r="B99" s="48" t="s">
        <v>717</v>
      </c>
      <c r="C99" s="226"/>
      <c r="D99" s="212"/>
      <c r="E99" s="12" t="s">
        <v>505</v>
      </c>
      <c r="F99" s="13"/>
      <c r="G99" s="14" t="s">
        <v>22</v>
      </c>
      <c r="H99" s="132" t="s">
        <v>512</v>
      </c>
      <c r="I99" s="161"/>
      <c r="J99" s="1597"/>
      <c r="K99" s="1598" t="s">
        <v>22</v>
      </c>
      <c r="L99" s="248" t="s">
        <v>148</v>
      </c>
      <c r="M99" s="61" t="s">
        <v>149</v>
      </c>
      <c r="N99" s="61"/>
      <c r="O99" s="61"/>
      <c r="P99" s="61"/>
      <c r="Q99" s="61" t="s">
        <v>1737</v>
      </c>
      <c r="R99" s="61"/>
      <c r="S99" s="61" t="s">
        <v>506</v>
      </c>
      <c r="T99" s="61"/>
      <c r="U99" s="61" t="s">
        <v>104</v>
      </c>
      <c r="V99" s="62" t="s">
        <v>76</v>
      </c>
      <c r="W99" s="61" t="s">
        <v>105</v>
      </c>
      <c r="X99" s="109" t="s">
        <v>93</v>
      </c>
      <c r="Y99" s="215"/>
      <c r="Z99" s="164"/>
      <c r="AA99" s="380">
        <f>AVERAGE(AA100:AA104)</f>
        <v>208.20192057942057</v>
      </c>
      <c r="AB99" s="210">
        <f>AVERAGE(AB100:AB104)</f>
        <v>87.489977450045245</v>
      </c>
      <c r="AC99" s="1452">
        <f>AVERAGE(AC100:AC104)</f>
        <v>2.1668388552040323</v>
      </c>
      <c r="AD99" s="109" t="s">
        <v>650</v>
      </c>
      <c r="AE99" s="193"/>
      <c r="AF99" s="212"/>
      <c r="AG99" s="236"/>
    </row>
    <row r="100" spans="1:33" ht="13.5" thickBot="1" x14ac:dyDescent="0.25">
      <c r="A100" s="182"/>
      <c r="B100" s="17"/>
      <c r="C100" s="227"/>
      <c r="D100" s="213"/>
      <c r="E100" s="118" t="s">
        <v>508</v>
      </c>
      <c r="F100" s="18" t="s">
        <v>581</v>
      </c>
      <c r="G100" s="19">
        <v>84</v>
      </c>
      <c r="H100" s="124"/>
      <c r="I100" s="162"/>
      <c r="J100" s="1597"/>
      <c r="K100" s="1599"/>
      <c r="L100" s="249">
        <v>8632</v>
      </c>
      <c r="M100" s="65">
        <f>2*L100</f>
        <v>17264</v>
      </c>
      <c r="N100" s="65"/>
      <c r="O100" s="65"/>
      <c r="P100" s="65"/>
      <c r="Q100" s="65">
        <v>40</v>
      </c>
      <c r="R100" s="65">
        <v>4</v>
      </c>
      <c r="S100" s="65">
        <v>4</v>
      </c>
      <c r="T100" s="65">
        <v>341</v>
      </c>
      <c r="U100" s="65">
        <v>166</v>
      </c>
      <c r="V100" s="65">
        <v>118</v>
      </c>
      <c r="W100" s="65">
        <v>1</v>
      </c>
      <c r="X100" s="110"/>
      <c r="Y100" s="216"/>
      <c r="Z100" s="141"/>
      <c r="AA100" s="371">
        <f>L100/Q100</f>
        <v>215.8</v>
      </c>
      <c r="AB100" s="211">
        <f>L100/V100</f>
        <v>73.152542372881356</v>
      </c>
      <c r="AC100" s="281">
        <f>T100/V100</f>
        <v>2.8898305084745761</v>
      </c>
      <c r="AD100" s="191">
        <f>(U100*576+V100*4608+W100*589824)/1000000</f>
        <v>1.2291840000000001</v>
      </c>
      <c r="AE100" s="17"/>
      <c r="AF100" s="218"/>
      <c r="AG100" s="236"/>
    </row>
    <row r="101" spans="1:33" ht="13.5" thickBot="1" x14ac:dyDescent="0.25">
      <c r="A101" s="182"/>
      <c r="B101" s="17"/>
      <c r="C101" s="227"/>
      <c r="D101" s="213"/>
      <c r="E101" s="118" t="s">
        <v>509</v>
      </c>
      <c r="F101" s="18" t="s">
        <v>582</v>
      </c>
      <c r="G101" s="19">
        <v>122.5</v>
      </c>
      <c r="H101" s="124"/>
      <c r="I101" s="162"/>
      <c r="J101" s="1597"/>
      <c r="K101" s="1599"/>
      <c r="L101" s="249">
        <v>13408</v>
      </c>
      <c r="M101" s="65">
        <f>2*L101</f>
        <v>26816</v>
      </c>
      <c r="N101" s="65"/>
      <c r="O101" s="65"/>
      <c r="P101" s="65"/>
      <c r="Q101" s="65">
        <v>56</v>
      </c>
      <c r="R101" s="65">
        <v>4</v>
      </c>
      <c r="S101" s="65">
        <v>8</v>
      </c>
      <c r="T101" s="65">
        <v>341</v>
      </c>
      <c r="U101" s="65">
        <v>197</v>
      </c>
      <c r="V101" s="65">
        <v>140</v>
      </c>
      <c r="W101" s="65">
        <v>1</v>
      </c>
      <c r="X101" s="110"/>
      <c r="Y101" s="216"/>
      <c r="Z101" s="141"/>
      <c r="AA101" s="371">
        <f>L101/Q101</f>
        <v>239.42857142857142</v>
      </c>
      <c r="AB101" s="211">
        <f>L101/V101</f>
        <v>95.771428571428572</v>
      </c>
      <c r="AC101" s="281">
        <f>T101/V101</f>
        <v>2.4357142857142855</v>
      </c>
      <c r="AD101" s="191">
        <f>(U101*576+V101*4608+W101*589824)/1000000</f>
        <v>1.3484160000000001</v>
      </c>
      <c r="AE101" s="17"/>
      <c r="AF101" s="218"/>
      <c r="AG101" s="236"/>
    </row>
    <row r="102" spans="1:33" ht="13.5" thickBot="1" x14ac:dyDescent="0.25">
      <c r="A102" s="182"/>
      <c r="B102" s="17"/>
      <c r="C102" s="227"/>
      <c r="D102" s="213"/>
      <c r="E102" s="118" t="s">
        <v>510</v>
      </c>
      <c r="F102" s="18"/>
      <c r="G102" s="19"/>
      <c r="H102" s="124"/>
      <c r="I102" s="162"/>
      <c r="J102" s="1597"/>
      <c r="K102" s="1599"/>
      <c r="L102" s="249">
        <v>20064</v>
      </c>
      <c r="M102" s="65">
        <f>2*L102</f>
        <v>40128</v>
      </c>
      <c r="N102" s="65"/>
      <c r="O102" s="65"/>
      <c r="P102" s="65"/>
      <c r="Q102" s="65">
        <v>104</v>
      </c>
      <c r="R102" s="65">
        <v>8</v>
      </c>
      <c r="S102" s="65">
        <v>8</v>
      </c>
      <c r="T102" s="65">
        <v>514</v>
      </c>
      <c r="U102" s="65">
        <v>313</v>
      </c>
      <c r="V102" s="65">
        <v>242</v>
      </c>
      <c r="W102" s="65">
        <v>2</v>
      </c>
      <c r="X102" s="110"/>
      <c r="Y102" s="216"/>
      <c r="Z102" s="141"/>
      <c r="AA102" s="371">
        <f>L102/Q102</f>
        <v>192.92307692307693</v>
      </c>
      <c r="AB102" s="211">
        <f>L102/V102</f>
        <v>82.909090909090907</v>
      </c>
      <c r="AC102" s="281">
        <f>T102/V102</f>
        <v>2.1239669421487601</v>
      </c>
      <c r="AD102" s="191">
        <f>(U102*576+V102*4608+W102*589824)/1000000</f>
        <v>2.4750719999999999</v>
      </c>
      <c r="AE102" s="17"/>
      <c r="AF102" s="218"/>
      <c r="AG102" s="236"/>
    </row>
    <row r="103" spans="1:33" ht="13.5" thickBot="1" x14ac:dyDescent="0.25">
      <c r="A103" s="182"/>
      <c r="B103" s="17"/>
      <c r="C103" s="227"/>
      <c r="D103" s="213"/>
      <c r="E103" s="118" t="s">
        <v>511</v>
      </c>
      <c r="F103" s="18"/>
      <c r="G103" s="19"/>
      <c r="H103" s="124"/>
      <c r="I103" s="162"/>
      <c r="J103" s="1597"/>
      <c r="K103" s="1599"/>
      <c r="L103" s="249">
        <v>24040</v>
      </c>
      <c r="M103" s="65">
        <f>2*L103</f>
        <v>48080</v>
      </c>
      <c r="N103" s="65"/>
      <c r="O103" s="65"/>
      <c r="P103" s="65"/>
      <c r="Q103" s="65">
        <v>128</v>
      </c>
      <c r="R103" s="65">
        <v>8</v>
      </c>
      <c r="S103" s="65">
        <v>12</v>
      </c>
      <c r="T103" s="65">
        <v>514</v>
      </c>
      <c r="U103" s="65">
        <v>326</v>
      </c>
      <c r="V103" s="65">
        <v>252</v>
      </c>
      <c r="W103" s="65">
        <v>2</v>
      </c>
      <c r="X103" s="110"/>
      <c r="Y103" s="216"/>
      <c r="Z103" s="141"/>
      <c r="AA103" s="371">
        <f>L103/Q103</f>
        <v>187.8125</v>
      </c>
      <c r="AB103" s="211">
        <f>L103/V103</f>
        <v>95.396825396825392</v>
      </c>
      <c r="AC103" s="281">
        <f>T103/V103</f>
        <v>2.0396825396825395</v>
      </c>
      <c r="AD103" s="191">
        <f>(U103*576+V103*4608+W103*589824)/1000000</f>
        <v>2.5286400000000002</v>
      </c>
      <c r="AE103" s="17"/>
      <c r="AF103" s="218"/>
      <c r="AG103" s="236"/>
    </row>
    <row r="104" spans="1:33" ht="13.5" thickBot="1" x14ac:dyDescent="0.25">
      <c r="A104" s="182"/>
      <c r="B104" s="21"/>
      <c r="C104" s="228"/>
      <c r="D104" s="214"/>
      <c r="E104" s="146" t="s">
        <v>507</v>
      </c>
      <c r="F104" s="22"/>
      <c r="G104" s="23"/>
      <c r="H104" s="125"/>
      <c r="I104" s="163"/>
      <c r="J104" s="1597"/>
      <c r="K104" s="1599"/>
      <c r="L104" s="250">
        <v>36088</v>
      </c>
      <c r="M104" s="68">
        <f>2*L104</f>
        <v>72176</v>
      </c>
      <c r="N104" s="68"/>
      <c r="O104" s="68"/>
      <c r="P104" s="68"/>
      <c r="Q104" s="68">
        <v>176</v>
      </c>
      <c r="R104" s="68">
        <v>8</v>
      </c>
      <c r="S104" s="68">
        <v>12</v>
      </c>
      <c r="T104" s="68">
        <v>538</v>
      </c>
      <c r="U104" s="68">
        <v>478</v>
      </c>
      <c r="V104" s="68">
        <v>400</v>
      </c>
      <c r="W104" s="68">
        <v>4</v>
      </c>
      <c r="X104" s="111"/>
      <c r="Y104" s="217"/>
      <c r="Z104" s="142"/>
      <c r="AA104" s="371">
        <f>L104/Q104</f>
        <v>205.04545454545453</v>
      </c>
      <c r="AB104" s="202">
        <f>L104/V104</f>
        <v>90.22</v>
      </c>
      <c r="AC104" s="294">
        <f>T104/V104</f>
        <v>1.345</v>
      </c>
      <c r="AD104" s="191">
        <f>(U104*576+V104*4608+W104*589824)/1000000</f>
        <v>4.477824</v>
      </c>
      <c r="AE104" s="21"/>
      <c r="AF104" s="219"/>
      <c r="AG104" s="236"/>
    </row>
    <row r="105" spans="1:33" ht="13.5" customHeight="1" x14ac:dyDescent="0.2">
      <c r="A105" s="182"/>
      <c r="B105" s="48" t="s">
        <v>717</v>
      </c>
      <c r="C105" s="226"/>
      <c r="D105" s="212"/>
      <c r="E105" s="12" t="s">
        <v>446</v>
      </c>
      <c r="F105" s="466" t="s">
        <v>1012</v>
      </c>
      <c r="G105" s="14" t="s">
        <v>22</v>
      </c>
      <c r="H105" s="40" t="s">
        <v>513</v>
      </c>
      <c r="I105" s="161"/>
      <c r="J105" s="136"/>
      <c r="K105" s="16" t="s">
        <v>22</v>
      </c>
      <c r="L105" s="486" t="s">
        <v>1442</v>
      </c>
      <c r="M105" s="61" t="s">
        <v>989</v>
      </c>
      <c r="N105" s="380">
        <f>AVERAGE(N106:N113)</f>
        <v>95.763674695717128</v>
      </c>
      <c r="O105" s="61"/>
      <c r="P105" s="61"/>
      <c r="Q105" s="61" t="s">
        <v>1737</v>
      </c>
      <c r="R105" s="61"/>
      <c r="S105" s="61"/>
      <c r="T105" s="61"/>
      <c r="U105" s="61" t="s">
        <v>449</v>
      </c>
      <c r="V105" s="62" t="s">
        <v>157</v>
      </c>
      <c r="W105" s="62" t="s">
        <v>450</v>
      </c>
      <c r="X105" s="109" t="s">
        <v>25</v>
      </c>
      <c r="Y105" s="80"/>
      <c r="Z105" s="164"/>
      <c r="AA105" s="372">
        <f>AVERAGE(AA106:AA113)</f>
        <v>213.34830470816797</v>
      </c>
      <c r="AB105" s="92">
        <f>AVERAGE(AB106:AB113)</f>
        <v>0.17835016835016834</v>
      </c>
      <c r="AC105" s="1452">
        <f>AVERAGE(AC106:AC113)</f>
        <v>2.2254020158245513</v>
      </c>
      <c r="AD105" s="109" t="s">
        <v>650</v>
      </c>
      <c r="AE105" s="193"/>
      <c r="AF105" s="196">
        <f>AVERAGE(AF106:AF113)</f>
        <v>149.21662753485563</v>
      </c>
      <c r="AG105" s="236"/>
    </row>
    <row r="106" spans="1:33" x14ac:dyDescent="0.2">
      <c r="A106" s="182" t="s">
        <v>26</v>
      </c>
      <c r="B106" s="41" t="s">
        <v>702</v>
      </c>
      <c r="C106" s="230" t="s">
        <v>697</v>
      </c>
      <c r="D106" s="213" t="s">
        <v>811</v>
      </c>
      <c r="E106" s="118" t="s">
        <v>1958</v>
      </c>
      <c r="F106" s="18" t="s">
        <v>590</v>
      </c>
      <c r="G106" s="19">
        <v>354</v>
      </c>
      <c r="H106" s="126">
        <v>23</v>
      </c>
      <c r="I106" s="166">
        <v>288</v>
      </c>
      <c r="J106" s="138"/>
      <c r="K106" s="20"/>
      <c r="L106" s="456">
        <f>10*X106/1000</f>
        <v>23.75</v>
      </c>
      <c r="M106" s="457">
        <f t="shared" ref="M106:M113" si="38">26.5*X106/1000</f>
        <v>62.9375</v>
      </c>
      <c r="N106" s="65">
        <f t="shared" ref="N106:N113" si="39">IF(AND(G106&lt;&gt;"",M106&lt;&gt;""),1000*M106/G106,"")</f>
        <v>177.78954802259886</v>
      </c>
      <c r="O106" s="65">
        <f t="shared" ref="O106:O113" si="40">IF(AND(G106&lt;&gt;"",L106&lt;&gt;""),L106/G106,"")</f>
        <v>6.7090395480225995E-2</v>
      </c>
      <c r="P106" s="65"/>
      <c r="Q106" s="65">
        <v>216</v>
      </c>
      <c r="R106" s="65">
        <v>4</v>
      </c>
      <c r="S106" s="65"/>
      <c r="T106" s="65">
        <v>480</v>
      </c>
      <c r="U106" s="151">
        <v>928</v>
      </c>
      <c r="V106" s="65">
        <v>108</v>
      </c>
      <c r="W106" s="65">
        <v>6</v>
      </c>
      <c r="X106" s="388">
        <v>2375</v>
      </c>
      <c r="Y106" s="81"/>
      <c r="Z106" s="141"/>
      <c r="AA106" s="371">
        <f t="shared" ref="AA106:AA113" si="41">500*M106/Q106</f>
        <v>145.68865740740742</v>
      </c>
      <c r="AB106" s="54">
        <f t="shared" ref="AB106:AB113" si="42">L106/V106</f>
        <v>0.21990740740740741</v>
      </c>
      <c r="AC106" s="281">
        <f t="shared" ref="AC106:AC113" si="43">T106/V106</f>
        <v>4.4444444444444446</v>
      </c>
      <c r="AD106" s="191">
        <f t="shared" ref="AD106:AD113" si="44">(U106*640+V106*9216+W106*147456)/1000000</f>
        <v>2.4739840000000002</v>
      </c>
      <c r="AE106" s="17">
        <v>22</v>
      </c>
      <c r="AF106" s="198">
        <f t="shared" ref="AF106:AF113" si="45">(AE106*1000000-V106*36*256)/(5000*L106)</f>
        <v>176.88144842105262</v>
      </c>
      <c r="AG106" s="236" t="s">
        <v>709</v>
      </c>
    </row>
    <row r="107" spans="1:33" x14ac:dyDescent="0.2">
      <c r="A107" s="182" t="s">
        <v>26</v>
      </c>
      <c r="B107" s="41" t="s">
        <v>702</v>
      </c>
      <c r="C107" s="230" t="s">
        <v>697</v>
      </c>
      <c r="D107" s="213" t="s">
        <v>811</v>
      </c>
      <c r="E107" s="118" t="s">
        <v>498</v>
      </c>
      <c r="F107" s="30" t="s">
        <v>576</v>
      </c>
      <c r="G107" s="31">
        <v>586</v>
      </c>
      <c r="H107" s="126">
        <v>23</v>
      </c>
      <c r="I107" s="166">
        <v>288</v>
      </c>
      <c r="J107" s="137"/>
      <c r="K107" s="32"/>
      <c r="L107" s="456">
        <f t="shared" ref="L107:L113" si="46">10*X107/1000</f>
        <v>33.75</v>
      </c>
      <c r="M107" s="457">
        <f t="shared" si="38"/>
        <v>89.4375</v>
      </c>
      <c r="N107" s="65">
        <f t="shared" si="39"/>
        <v>152.62372013651878</v>
      </c>
      <c r="O107" s="65">
        <f t="shared" si="40"/>
        <v>5.7593856655290106E-2</v>
      </c>
      <c r="P107" s="65"/>
      <c r="Q107" s="65">
        <v>288</v>
      </c>
      <c r="R107" s="65">
        <v>4</v>
      </c>
      <c r="S107" s="65"/>
      <c r="T107" s="65">
        <v>480</v>
      </c>
      <c r="U107" s="151">
        <v>1318</v>
      </c>
      <c r="V107" s="65">
        <v>150</v>
      </c>
      <c r="W107" s="65">
        <v>6</v>
      </c>
      <c r="X107" s="388">
        <v>3375</v>
      </c>
      <c r="Y107" s="83"/>
      <c r="Z107" s="172"/>
      <c r="AA107" s="371">
        <f t="shared" si="41"/>
        <v>155.2734375</v>
      </c>
      <c r="AB107" s="54">
        <f t="shared" si="42"/>
        <v>0.22500000000000001</v>
      </c>
      <c r="AC107" s="281">
        <f t="shared" si="43"/>
        <v>3.2</v>
      </c>
      <c r="AD107" s="191">
        <f t="shared" si="44"/>
        <v>3.1106560000000001</v>
      </c>
      <c r="AE107" s="17">
        <v>22</v>
      </c>
      <c r="AF107" s="198">
        <f t="shared" si="45"/>
        <v>122.17837037037037</v>
      </c>
      <c r="AG107" s="236" t="s">
        <v>723</v>
      </c>
    </row>
    <row r="108" spans="1:33" x14ac:dyDescent="0.2">
      <c r="A108" s="182" t="s">
        <v>26</v>
      </c>
      <c r="B108" s="41" t="s">
        <v>702</v>
      </c>
      <c r="C108" s="230" t="s">
        <v>697</v>
      </c>
      <c r="D108" s="213" t="s">
        <v>811</v>
      </c>
      <c r="E108" s="17" t="s">
        <v>1959</v>
      </c>
      <c r="F108" s="30" t="s">
        <v>591</v>
      </c>
      <c r="G108" s="31">
        <v>1204</v>
      </c>
      <c r="H108" s="126">
        <v>29</v>
      </c>
      <c r="I108" s="166">
        <v>480</v>
      </c>
      <c r="J108" s="137"/>
      <c r="K108" s="32"/>
      <c r="L108" s="456">
        <f t="shared" si="46"/>
        <v>53.25</v>
      </c>
      <c r="M108" s="457">
        <f t="shared" si="38"/>
        <v>141.11250000000001</v>
      </c>
      <c r="N108" s="65">
        <f t="shared" si="39"/>
        <v>117.20307308970099</v>
      </c>
      <c r="O108" s="65">
        <f t="shared" si="40"/>
        <v>4.4227574750830563E-2</v>
      </c>
      <c r="P108" s="65"/>
      <c r="Q108" s="65">
        <v>288</v>
      </c>
      <c r="R108" s="65">
        <v>8</v>
      </c>
      <c r="S108" s="65"/>
      <c r="T108" s="65">
        <v>736</v>
      </c>
      <c r="U108" s="151">
        <v>2080</v>
      </c>
      <c r="V108" s="65">
        <v>275</v>
      </c>
      <c r="W108" s="65">
        <v>12</v>
      </c>
      <c r="X108" s="388">
        <v>5325</v>
      </c>
      <c r="Y108" s="83"/>
      <c r="Z108" s="172"/>
      <c r="AA108" s="371">
        <f t="shared" si="41"/>
        <v>244.98697916666666</v>
      </c>
      <c r="AB108" s="54">
        <f t="shared" si="42"/>
        <v>0.19363636363636363</v>
      </c>
      <c r="AC108" s="281">
        <f t="shared" si="43"/>
        <v>2.6763636363636363</v>
      </c>
      <c r="AD108" s="191">
        <f t="shared" si="44"/>
        <v>5.6350720000000001</v>
      </c>
      <c r="AE108" s="17">
        <v>47</v>
      </c>
      <c r="AF108" s="198">
        <f t="shared" si="45"/>
        <v>167.0069483568075</v>
      </c>
      <c r="AG108" s="6" t="s">
        <v>724</v>
      </c>
    </row>
    <row r="109" spans="1:33" x14ac:dyDescent="0.2">
      <c r="A109" s="182" t="s">
        <v>26</v>
      </c>
      <c r="B109" s="41" t="s">
        <v>702</v>
      </c>
      <c r="C109" s="230" t="s">
        <v>697</v>
      </c>
      <c r="D109" s="213" t="s">
        <v>811</v>
      </c>
      <c r="E109" s="17" t="s">
        <v>499</v>
      </c>
      <c r="F109" s="30" t="s">
        <v>577</v>
      </c>
      <c r="G109" s="31">
        <v>2458</v>
      </c>
      <c r="H109" s="126">
        <v>29</v>
      </c>
      <c r="I109" s="166">
        <v>480</v>
      </c>
      <c r="J109" s="137"/>
      <c r="K109" s="32"/>
      <c r="L109" s="456">
        <f t="shared" si="46"/>
        <v>71</v>
      </c>
      <c r="M109" s="457">
        <f t="shared" si="38"/>
        <v>188.15</v>
      </c>
      <c r="N109" s="65">
        <f t="shared" si="39"/>
        <v>76.545972335231895</v>
      </c>
      <c r="O109" s="65">
        <f t="shared" si="40"/>
        <v>2.888527257933279E-2</v>
      </c>
      <c r="P109" s="65"/>
      <c r="Q109" s="65">
        <v>384</v>
      </c>
      <c r="R109" s="65">
        <v>8</v>
      </c>
      <c r="S109" s="65"/>
      <c r="T109" s="151">
        <v>736</v>
      </c>
      <c r="U109" s="151">
        <v>2774</v>
      </c>
      <c r="V109" s="65">
        <v>355</v>
      </c>
      <c r="W109" s="65">
        <v>16</v>
      </c>
      <c r="X109" s="388">
        <v>7100</v>
      </c>
      <c r="Y109" s="83"/>
      <c r="Z109" s="172"/>
      <c r="AA109" s="371">
        <f t="shared" si="41"/>
        <v>244.98697916666666</v>
      </c>
      <c r="AB109" s="54">
        <f t="shared" si="42"/>
        <v>0.2</v>
      </c>
      <c r="AC109" s="281">
        <f t="shared" si="43"/>
        <v>2.0732394366197182</v>
      </c>
      <c r="AD109" s="191">
        <f t="shared" si="44"/>
        <v>7.4063359999999996</v>
      </c>
      <c r="AE109" s="17">
        <v>47</v>
      </c>
      <c r="AF109" s="198">
        <f t="shared" si="45"/>
        <v>123.1783661971831</v>
      </c>
      <c r="AG109" s="6" t="s">
        <v>1009</v>
      </c>
    </row>
    <row r="110" spans="1:33" x14ac:dyDescent="0.2">
      <c r="A110" s="182" t="s">
        <v>26</v>
      </c>
      <c r="B110" s="41" t="s">
        <v>702</v>
      </c>
      <c r="C110" s="230" t="s">
        <v>697</v>
      </c>
      <c r="D110" s="213" t="s">
        <v>708</v>
      </c>
      <c r="E110" s="17" t="s">
        <v>500</v>
      </c>
      <c r="F110" s="30" t="s">
        <v>592</v>
      </c>
      <c r="G110" s="31">
        <v>3956</v>
      </c>
      <c r="H110" s="126">
        <v>35</v>
      </c>
      <c r="I110" s="166">
        <v>736</v>
      </c>
      <c r="J110" s="137"/>
      <c r="K110" s="32"/>
      <c r="L110" s="456">
        <f t="shared" si="46"/>
        <v>99.45</v>
      </c>
      <c r="M110" s="457">
        <f t="shared" si="38"/>
        <v>263.54250000000002</v>
      </c>
      <c r="N110" s="65">
        <f t="shared" si="39"/>
        <v>66.618427704752278</v>
      </c>
      <c r="O110" s="65">
        <f t="shared" si="40"/>
        <v>2.513902932254803E-2</v>
      </c>
      <c r="P110" s="65"/>
      <c r="Q110" s="65">
        <v>576</v>
      </c>
      <c r="R110" s="65">
        <v>12</v>
      </c>
      <c r="S110" s="65"/>
      <c r="T110" s="65">
        <v>864</v>
      </c>
      <c r="U110" s="151">
        <v>3884</v>
      </c>
      <c r="V110" s="65">
        <v>468</v>
      </c>
      <c r="W110" s="65">
        <v>24</v>
      </c>
      <c r="X110" s="388">
        <v>9945</v>
      </c>
      <c r="Y110" s="83"/>
      <c r="Z110" s="172"/>
      <c r="AA110" s="371">
        <f t="shared" si="41"/>
        <v>228.76953125</v>
      </c>
      <c r="AB110" s="54">
        <f t="shared" si="42"/>
        <v>0.21249999999999999</v>
      </c>
      <c r="AC110" s="281">
        <f t="shared" si="43"/>
        <v>1.8461538461538463</v>
      </c>
      <c r="AD110" s="191">
        <f t="shared" si="44"/>
        <v>10.337792</v>
      </c>
      <c r="AE110" s="17">
        <v>66</v>
      </c>
      <c r="AF110" s="198">
        <f t="shared" si="45"/>
        <v>124.05613273001508</v>
      </c>
      <c r="AG110" s="236"/>
    </row>
    <row r="111" spans="1:33" x14ac:dyDescent="0.2">
      <c r="A111" s="182" t="s">
        <v>26</v>
      </c>
      <c r="B111" s="41" t="s">
        <v>702</v>
      </c>
      <c r="C111" s="230" t="s">
        <v>697</v>
      </c>
      <c r="D111" s="213" t="s">
        <v>708</v>
      </c>
      <c r="E111" s="17" t="s">
        <v>501</v>
      </c>
      <c r="F111" s="30" t="s">
        <v>579</v>
      </c>
      <c r="G111" s="31">
        <v>8591</v>
      </c>
      <c r="H111" s="126">
        <v>40</v>
      </c>
      <c r="I111" s="166">
        <v>960</v>
      </c>
      <c r="J111" s="137"/>
      <c r="K111" s="32"/>
      <c r="L111" s="456">
        <f t="shared" si="46"/>
        <v>169</v>
      </c>
      <c r="M111" s="457">
        <f t="shared" si="38"/>
        <v>447.85</v>
      </c>
      <c r="N111" s="65">
        <f t="shared" si="39"/>
        <v>52.130136189035035</v>
      </c>
      <c r="O111" s="65">
        <f t="shared" si="40"/>
        <v>1.9671749505296241E-2</v>
      </c>
      <c r="P111" s="65"/>
      <c r="Q111" s="65">
        <v>576</v>
      </c>
      <c r="R111" s="65">
        <v>12</v>
      </c>
      <c r="S111" s="65"/>
      <c r="T111" s="65">
        <v>1104</v>
      </c>
      <c r="U111" s="151">
        <v>6600</v>
      </c>
      <c r="V111" s="65">
        <v>1144</v>
      </c>
      <c r="W111" s="65">
        <v>48</v>
      </c>
      <c r="X111" s="388">
        <v>16900</v>
      </c>
      <c r="Y111" s="83"/>
      <c r="Z111" s="172"/>
      <c r="AA111" s="371">
        <f t="shared" si="41"/>
        <v>388.75868055555554</v>
      </c>
      <c r="AB111" s="54">
        <f t="shared" si="42"/>
        <v>0.14772727272727273</v>
      </c>
      <c r="AC111" s="281">
        <f t="shared" si="43"/>
        <v>0.965034965034965</v>
      </c>
      <c r="AD111" s="191">
        <f t="shared" si="44"/>
        <v>21.844992000000001</v>
      </c>
      <c r="AE111" s="17">
        <v>120</v>
      </c>
      <c r="AF111" s="198">
        <f t="shared" si="45"/>
        <v>129.53478816568048</v>
      </c>
      <c r="AG111" s="236"/>
    </row>
    <row r="112" spans="1:33" x14ac:dyDescent="0.2">
      <c r="A112" s="182" t="s">
        <v>26</v>
      </c>
      <c r="B112" s="41" t="s">
        <v>702</v>
      </c>
      <c r="C112" s="230" t="s">
        <v>697</v>
      </c>
      <c r="D112" s="213" t="s">
        <v>811</v>
      </c>
      <c r="E112" s="17" t="s">
        <v>447</v>
      </c>
      <c r="F112" s="30" t="s">
        <v>592</v>
      </c>
      <c r="G112" s="31">
        <v>1381</v>
      </c>
      <c r="H112" s="126">
        <v>29</v>
      </c>
      <c r="I112" s="166">
        <v>480</v>
      </c>
      <c r="J112" s="137"/>
      <c r="K112" s="32"/>
      <c r="L112" s="456">
        <f t="shared" si="46"/>
        <v>40</v>
      </c>
      <c r="M112" s="457">
        <f t="shared" si="38"/>
        <v>106</v>
      </c>
      <c r="N112" s="65">
        <f t="shared" si="39"/>
        <v>76.755973931933383</v>
      </c>
      <c r="O112" s="65">
        <f t="shared" si="40"/>
        <v>2.8964518464880521E-2</v>
      </c>
      <c r="P112" s="65"/>
      <c r="Q112" s="65">
        <v>672</v>
      </c>
      <c r="R112" s="65">
        <v>12</v>
      </c>
      <c r="S112" s="65"/>
      <c r="T112" s="65">
        <v>736</v>
      </c>
      <c r="U112" s="151">
        <v>2080</v>
      </c>
      <c r="V112" s="65">
        <v>495</v>
      </c>
      <c r="W112" s="65">
        <v>12</v>
      </c>
      <c r="X112" s="388">
        <v>4000</v>
      </c>
      <c r="Y112" s="83"/>
      <c r="Z112" s="172"/>
      <c r="AA112" s="371">
        <f t="shared" si="41"/>
        <v>78.86904761904762</v>
      </c>
      <c r="AB112" s="54">
        <f t="shared" si="42"/>
        <v>8.0808080808080815E-2</v>
      </c>
      <c r="AC112" s="281">
        <f t="shared" si="43"/>
        <v>1.4868686868686869</v>
      </c>
      <c r="AD112" s="191">
        <f t="shared" si="44"/>
        <v>7.6625920000000001</v>
      </c>
      <c r="AE112" s="17">
        <v>48</v>
      </c>
      <c r="AF112" s="198">
        <f t="shared" si="45"/>
        <v>217.19040000000001</v>
      </c>
      <c r="AG112" s="236"/>
    </row>
    <row r="113" spans="1:33" ht="13.5" thickBot="1" x14ac:dyDescent="0.25">
      <c r="A113" s="182" t="s">
        <v>26</v>
      </c>
      <c r="B113" s="33" t="s">
        <v>702</v>
      </c>
      <c r="C113" s="232" t="s">
        <v>697</v>
      </c>
      <c r="D113" s="213" t="s">
        <v>708</v>
      </c>
      <c r="E113" s="21" t="s">
        <v>448</v>
      </c>
      <c r="F113" s="22" t="s">
        <v>578</v>
      </c>
      <c r="G113" s="23">
        <v>7258</v>
      </c>
      <c r="H113" s="126">
        <v>35</v>
      </c>
      <c r="I113" s="166">
        <v>736</v>
      </c>
      <c r="J113" s="150"/>
      <c r="K113" s="24"/>
      <c r="L113" s="456">
        <f t="shared" si="46"/>
        <v>127.2</v>
      </c>
      <c r="M113" s="457">
        <f t="shared" si="38"/>
        <v>337.08</v>
      </c>
      <c r="N113" s="65">
        <f t="shared" si="39"/>
        <v>46.442546155965829</v>
      </c>
      <c r="O113" s="68">
        <f t="shared" si="40"/>
        <v>1.7525489115458804E-2</v>
      </c>
      <c r="P113" s="68"/>
      <c r="Q113" s="68">
        <v>768</v>
      </c>
      <c r="R113" s="68">
        <v>12</v>
      </c>
      <c r="S113" s="68"/>
      <c r="T113" s="68">
        <v>960</v>
      </c>
      <c r="U113" s="152">
        <v>4968</v>
      </c>
      <c r="V113" s="68">
        <v>864</v>
      </c>
      <c r="W113" s="68">
        <v>48</v>
      </c>
      <c r="X113" s="278">
        <v>12720</v>
      </c>
      <c r="Y113" s="82"/>
      <c r="Z113" s="142"/>
      <c r="AA113" s="371">
        <f t="shared" si="41"/>
        <v>219.453125</v>
      </c>
      <c r="AB113" s="55">
        <f t="shared" si="42"/>
        <v>0.14722222222222223</v>
      </c>
      <c r="AC113" s="294">
        <f t="shared" si="43"/>
        <v>1.1111111111111112</v>
      </c>
      <c r="AD113" s="191">
        <f t="shared" si="44"/>
        <v>18.220032</v>
      </c>
      <c r="AE113" s="21">
        <v>93</v>
      </c>
      <c r="AF113" s="198">
        <f t="shared" si="45"/>
        <v>133.70656603773585</v>
      </c>
      <c r="AG113" s="236"/>
    </row>
    <row r="114" spans="1:33" x14ac:dyDescent="0.2">
      <c r="A114" s="182"/>
      <c r="B114" s="48" t="s">
        <v>717</v>
      </c>
      <c r="C114" s="226"/>
      <c r="D114" s="212"/>
      <c r="E114" s="12" t="s">
        <v>835</v>
      </c>
      <c r="F114" s="466" t="s">
        <v>1017</v>
      </c>
      <c r="G114" s="14" t="s">
        <v>22</v>
      </c>
      <c r="H114" s="132" t="s">
        <v>528</v>
      </c>
      <c r="I114" s="161"/>
      <c r="J114" s="136"/>
      <c r="K114" s="16" t="s">
        <v>22</v>
      </c>
      <c r="L114" s="486" t="s">
        <v>23</v>
      </c>
      <c r="M114" s="61"/>
      <c r="N114" s="380">
        <f>AVERAGE(N115:N121)</f>
        <v>515.52886984669544</v>
      </c>
      <c r="O114" s="61"/>
      <c r="P114" s="61"/>
      <c r="Q114" s="61" t="s">
        <v>1737</v>
      </c>
      <c r="R114" s="61"/>
      <c r="S114" s="399" t="s">
        <v>850</v>
      </c>
      <c r="T114" s="61"/>
      <c r="U114" s="61" t="s">
        <v>634</v>
      </c>
      <c r="V114" s="62" t="s">
        <v>157</v>
      </c>
      <c r="W114" s="61"/>
      <c r="X114" s="109" t="s">
        <v>93</v>
      </c>
      <c r="Y114" s="215"/>
      <c r="Z114" s="164"/>
      <c r="AA114" s="210">
        <f>AVERAGE(AA115:AA121)</f>
        <v>374.47502556699385</v>
      </c>
      <c r="AB114" s="395" t="e">
        <f>AVERAGE(AB115:AB121)</f>
        <v>#DIV/0!</v>
      </c>
      <c r="AC114" s="907">
        <f>AVERAGE(AC115:AC121)</f>
        <v>4.6371211032928352</v>
      </c>
      <c r="AD114" s="109" t="s">
        <v>650</v>
      </c>
      <c r="AE114" s="201"/>
      <c r="AF114" s="196">
        <f>AVERAGE(AF115:AF130)</f>
        <v>74.689508027424822</v>
      </c>
    </row>
    <row r="115" spans="1:33" x14ac:dyDescent="0.2">
      <c r="A115" s="523" t="s">
        <v>929</v>
      </c>
      <c r="B115" s="17"/>
      <c r="C115" s="227"/>
      <c r="D115" s="213"/>
      <c r="E115" s="118" t="s">
        <v>836</v>
      </c>
      <c r="F115" s="45" t="s">
        <v>1241</v>
      </c>
      <c r="G115" s="19">
        <v>12.57</v>
      </c>
      <c r="H115" s="124">
        <v>11</v>
      </c>
      <c r="I115" s="162">
        <v>94</v>
      </c>
      <c r="J115" s="140"/>
      <c r="K115" s="153"/>
      <c r="L115" s="451">
        <v>6.2720000000000002</v>
      </c>
      <c r="M115" s="452">
        <v>6.2720000000000002</v>
      </c>
      <c r="N115" s="65">
        <f t="shared" ref="N115:N130" si="47">IF(AND(G115&lt;&gt;"",M115&lt;&gt;""),1000*M115/G115,"")</f>
        <v>498.96579156722356</v>
      </c>
      <c r="O115" s="65"/>
      <c r="P115" s="65"/>
      <c r="Q115" s="65">
        <v>15</v>
      </c>
      <c r="R115" s="65">
        <v>2</v>
      </c>
      <c r="S115" s="65"/>
      <c r="T115" s="65">
        <v>182</v>
      </c>
      <c r="U115" s="65"/>
      <c r="V115" s="65">
        <v>30</v>
      </c>
      <c r="W115" s="65"/>
      <c r="X115" s="110">
        <f t="shared" ref="X115:X130" si="48">1000*L115/16</f>
        <v>392</v>
      </c>
      <c r="Y115" s="216">
        <v>3</v>
      </c>
      <c r="Z115" s="141">
        <f t="shared" ref="Z115:Z130" si="49">IF(AND(L115&lt;&gt;"",Y115&lt;&gt;""),1000*L115/Y115,"")</f>
        <v>2090.6666666666665</v>
      </c>
      <c r="AA115" s="371">
        <f t="shared" ref="AA115:AA130" si="50">1000*M115/Q115</f>
        <v>418.13333333333333</v>
      </c>
      <c r="AB115" s="390"/>
      <c r="AC115" s="281">
        <f t="shared" ref="AC115:AC130" si="51">T115/V115</f>
        <v>6.0666666666666664</v>
      </c>
      <c r="AD115" s="191">
        <f t="shared" ref="AD115:AD130" si="52">256*36*V115/1000000</f>
        <v>0.27648</v>
      </c>
      <c r="AE115" s="197"/>
      <c r="AF115" s="198"/>
      <c r="AG115" s="236"/>
    </row>
    <row r="116" spans="1:33" x14ac:dyDescent="0.2">
      <c r="A116" s="523" t="s">
        <v>929</v>
      </c>
      <c r="B116" s="17"/>
      <c r="C116" s="227"/>
      <c r="D116" s="213"/>
      <c r="E116" s="118" t="s">
        <v>837</v>
      </c>
      <c r="F116" s="45" t="s">
        <v>1241</v>
      </c>
      <c r="G116" s="19">
        <v>22.45</v>
      </c>
      <c r="H116" s="124">
        <v>11</v>
      </c>
      <c r="I116" s="162">
        <v>94</v>
      </c>
      <c r="J116" s="140"/>
      <c r="K116" s="153"/>
      <c r="L116" s="451">
        <v>10.32</v>
      </c>
      <c r="M116" s="452">
        <v>10.32</v>
      </c>
      <c r="N116" s="65">
        <f t="shared" si="47"/>
        <v>459.68819599109133</v>
      </c>
      <c r="O116" s="65"/>
      <c r="P116" s="65"/>
      <c r="Q116" s="65">
        <v>23</v>
      </c>
      <c r="R116" s="65">
        <v>2</v>
      </c>
      <c r="S116" s="65"/>
      <c r="T116" s="65">
        <v>182</v>
      </c>
      <c r="U116" s="65"/>
      <c r="V116" s="65">
        <v>46</v>
      </c>
      <c r="W116" s="65"/>
      <c r="X116" s="110">
        <f t="shared" si="48"/>
        <v>645</v>
      </c>
      <c r="Y116" s="216"/>
      <c r="Z116" s="141" t="str">
        <f t="shared" si="49"/>
        <v/>
      </c>
      <c r="AA116" s="371">
        <f t="shared" si="50"/>
        <v>448.69565217391306</v>
      </c>
      <c r="AB116" s="390"/>
      <c r="AC116" s="281">
        <f t="shared" si="51"/>
        <v>3.9565217391304346</v>
      </c>
      <c r="AD116" s="191">
        <f t="shared" si="52"/>
        <v>0.42393599999999998</v>
      </c>
      <c r="AE116" s="197"/>
      <c r="AF116" s="198"/>
      <c r="AG116" s="236"/>
    </row>
    <row r="117" spans="1:33" x14ac:dyDescent="0.2">
      <c r="A117" s="523" t="s">
        <v>929</v>
      </c>
      <c r="B117" s="17"/>
      <c r="C117" s="227"/>
      <c r="D117" s="213"/>
      <c r="E117" s="118" t="s">
        <v>838</v>
      </c>
      <c r="F117" s="45" t="s">
        <v>1242</v>
      </c>
      <c r="G117" s="19">
        <v>23.14</v>
      </c>
      <c r="H117" s="124">
        <v>17</v>
      </c>
      <c r="I117" s="162">
        <v>168</v>
      </c>
      <c r="J117" s="140"/>
      <c r="K117" s="153"/>
      <c r="L117" s="451">
        <v>15.407999999999999</v>
      </c>
      <c r="M117" s="452">
        <v>15.407999999999999</v>
      </c>
      <c r="N117" s="65">
        <f t="shared" si="47"/>
        <v>665.85998271391531</v>
      </c>
      <c r="O117" s="65"/>
      <c r="P117" s="65"/>
      <c r="Q117" s="65">
        <v>56</v>
      </c>
      <c r="R117" s="65">
        <v>4</v>
      </c>
      <c r="S117" s="65"/>
      <c r="T117" s="65">
        <v>346</v>
      </c>
      <c r="U117" s="65"/>
      <c r="V117" s="65">
        <v>56</v>
      </c>
      <c r="W117" s="65"/>
      <c r="X117" s="110">
        <f t="shared" si="48"/>
        <v>963</v>
      </c>
      <c r="Y117" s="216"/>
      <c r="Z117" s="141" t="str">
        <f t="shared" si="49"/>
        <v/>
      </c>
      <c r="AA117" s="371">
        <f t="shared" si="50"/>
        <v>275.14285714285717</v>
      </c>
      <c r="AB117" s="390"/>
      <c r="AC117" s="281">
        <f t="shared" si="51"/>
        <v>6.1785714285714288</v>
      </c>
      <c r="AD117" s="191">
        <f t="shared" si="52"/>
        <v>0.516096</v>
      </c>
      <c r="AE117" s="197">
        <v>3.8055699999999999</v>
      </c>
      <c r="AF117" s="198">
        <f>(AE117*1000000-V117*36*256)/(4000*L117)</f>
        <v>53.372825804776738</v>
      </c>
      <c r="AG117" s="236"/>
    </row>
    <row r="118" spans="1:33" x14ac:dyDescent="0.2">
      <c r="A118" s="523" t="s">
        <v>929</v>
      </c>
      <c r="B118" s="17"/>
      <c r="C118" s="227"/>
      <c r="D118" s="213"/>
      <c r="E118" s="118" t="s">
        <v>1537</v>
      </c>
      <c r="F118" s="18" t="s">
        <v>1139</v>
      </c>
      <c r="G118" s="19">
        <v>44.4</v>
      </c>
      <c r="H118" s="124">
        <v>14</v>
      </c>
      <c r="I118" s="162">
        <v>72</v>
      </c>
      <c r="J118" s="140"/>
      <c r="K118" s="153"/>
      <c r="L118" s="451">
        <v>22.32</v>
      </c>
      <c r="M118" s="452">
        <v>22.32</v>
      </c>
      <c r="N118" s="65">
        <f>IF(AND(G118&lt;&gt;"",M118&lt;&gt;""),1000*M118/G118,"")</f>
        <v>502.70270270270271</v>
      </c>
      <c r="O118" s="65"/>
      <c r="P118" s="65"/>
      <c r="Q118" s="65">
        <v>66</v>
      </c>
      <c r="R118" s="65">
        <v>3</v>
      </c>
      <c r="S118" s="65"/>
      <c r="T118" s="65">
        <v>153</v>
      </c>
      <c r="U118" s="65"/>
      <c r="V118" s="65">
        <v>66</v>
      </c>
      <c r="W118" s="65"/>
      <c r="X118" s="110">
        <f>1000*L118/16</f>
        <v>1395</v>
      </c>
      <c r="Y118" s="216"/>
      <c r="Z118" s="141" t="str">
        <f>IF(AND(L118&lt;&gt;"",Y118&lt;&gt;""),1000*L118/Y118,"")</f>
        <v/>
      </c>
      <c r="AA118" s="371">
        <f>1000*M118/Q118</f>
        <v>338.18181818181819</v>
      </c>
      <c r="AB118" s="390"/>
      <c r="AC118" s="281">
        <f>T118/V118</f>
        <v>2.3181818181818183</v>
      </c>
      <c r="AD118" s="191">
        <f>256*36*V118/1000000</f>
        <v>0.60825600000000002</v>
      </c>
      <c r="AE118" s="197">
        <v>7.6000420000000002</v>
      </c>
      <c r="AF118" s="198">
        <f>(AE118*1000000-V118*36*256)/(4000*L118)</f>
        <v>78.313015232974905</v>
      </c>
      <c r="AG118" s="236"/>
    </row>
    <row r="119" spans="1:33" x14ac:dyDescent="0.2">
      <c r="A119" s="523" t="s">
        <v>929</v>
      </c>
      <c r="B119" s="17"/>
      <c r="C119" s="227"/>
      <c r="D119" s="213"/>
      <c r="E119" s="118" t="s">
        <v>839</v>
      </c>
      <c r="F119" s="45" t="s">
        <v>993</v>
      </c>
      <c r="G119" s="19">
        <v>42.01</v>
      </c>
      <c r="H119" s="124">
        <v>23</v>
      </c>
      <c r="I119" s="162">
        <v>331</v>
      </c>
      <c r="J119" s="140"/>
      <c r="K119" s="153"/>
      <c r="L119" s="451">
        <v>28.847999999999999</v>
      </c>
      <c r="M119" s="452">
        <v>28.847999999999999</v>
      </c>
      <c r="N119" s="65">
        <f t="shared" si="47"/>
        <v>686.69364437038803</v>
      </c>
      <c r="O119" s="65"/>
      <c r="P119" s="65"/>
      <c r="Q119" s="65">
        <v>66</v>
      </c>
      <c r="R119" s="65">
        <v>4</v>
      </c>
      <c r="S119" s="65"/>
      <c r="T119" s="65">
        <v>535</v>
      </c>
      <c r="U119" s="65"/>
      <c r="V119" s="65">
        <v>66</v>
      </c>
      <c r="W119" s="65"/>
      <c r="X119" s="110">
        <f t="shared" si="48"/>
        <v>1803</v>
      </c>
      <c r="Y119" s="216"/>
      <c r="Z119" s="141" t="str">
        <f t="shared" si="49"/>
        <v/>
      </c>
      <c r="AA119" s="371">
        <f t="shared" si="50"/>
        <v>437.09090909090907</v>
      </c>
      <c r="AB119" s="390"/>
      <c r="AC119" s="281">
        <f t="shared" si="51"/>
        <v>8.1060606060606055</v>
      </c>
      <c r="AD119" s="191">
        <f t="shared" si="52"/>
        <v>0.60825600000000002</v>
      </c>
      <c r="AE119" s="197">
        <v>7.6000420000000002</v>
      </c>
      <c r="AF119" s="198">
        <f>(AE119*1000000-V119*36*256)/(4000*L119)</f>
        <v>60.591600804215197</v>
      </c>
      <c r="AG119" s="236"/>
    </row>
    <row r="120" spans="1:33" x14ac:dyDescent="0.2">
      <c r="A120" s="523" t="s">
        <v>929</v>
      </c>
      <c r="B120" s="17"/>
      <c r="C120" s="227"/>
      <c r="D120" s="213"/>
      <c r="E120" s="118" t="s">
        <v>840</v>
      </c>
      <c r="F120" s="45" t="s">
        <v>1138</v>
      </c>
      <c r="G120" s="19">
        <v>97.16</v>
      </c>
      <c r="H120" s="124">
        <v>23</v>
      </c>
      <c r="I120" s="162">
        <v>331</v>
      </c>
      <c r="J120" s="140"/>
      <c r="K120" s="153"/>
      <c r="L120" s="451">
        <v>39.6</v>
      </c>
      <c r="M120" s="452">
        <v>39.6</v>
      </c>
      <c r="N120" s="65">
        <f t="shared" si="47"/>
        <v>407.57513379991769</v>
      </c>
      <c r="O120" s="65"/>
      <c r="P120" s="65"/>
      <c r="Q120" s="65">
        <v>116</v>
      </c>
      <c r="R120" s="65">
        <v>4</v>
      </c>
      <c r="S120" s="65"/>
      <c r="T120" s="65">
        <v>535</v>
      </c>
      <c r="U120" s="65"/>
      <c r="V120" s="65">
        <v>123</v>
      </c>
      <c r="W120" s="65"/>
      <c r="X120" s="110">
        <f t="shared" si="48"/>
        <v>2475</v>
      </c>
      <c r="Y120" s="216"/>
      <c r="Z120" s="141" t="str">
        <f t="shared" si="49"/>
        <v/>
      </c>
      <c r="AA120" s="371">
        <f t="shared" si="50"/>
        <v>341.37931034482756</v>
      </c>
      <c r="AB120" s="390"/>
      <c r="AC120" s="281">
        <f t="shared" si="51"/>
        <v>4.3495934959349594</v>
      </c>
      <c r="AD120" s="191">
        <f t="shared" si="52"/>
        <v>1.1335679999999999</v>
      </c>
      <c r="AE120" s="197"/>
      <c r="AF120" s="198"/>
      <c r="AG120" s="236"/>
    </row>
    <row r="121" spans="1:33" x14ac:dyDescent="0.2">
      <c r="A121" s="523" t="s">
        <v>929</v>
      </c>
      <c r="B121" s="17"/>
      <c r="C121" s="227"/>
      <c r="D121" s="213"/>
      <c r="E121" s="118" t="s">
        <v>841</v>
      </c>
      <c r="F121" s="45" t="s">
        <v>1135</v>
      </c>
      <c r="G121" s="19">
        <v>144.25</v>
      </c>
      <c r="H121" s="124">
        <v>23</v>
      </c>
      <c r="I121" s="162">
        <v>327</v>
      </c>
      <c r="J121" s="140"/>
      <c r="K121" s="153"/>
      <c r="L121" s="451">
        <v>55.856000000000002</v>
      </c>
      <c r="M121" s="452">
        <v>55.856000000000002</v>
      </c>
      <c r="N121" s="65">
        <f t="shared" si="47"/>
        <v>387.21663778162912</v>
      </c>
      <c r="O121" s="65"/>
      <c r="P121" s="65"/>
      <c r="Q121" s="65">
        <v>154</v>
      </c>
      <c r="R121" s="65">
        <v>4</v>
      </c>
      <c r="S121" s="65"/>
      <c r="T121" s="65">
        <v>377</v>
      </c>
      <c r="U121" s="65"/>
      <c r="V121" s="65">
        <v>254</v>
      </c>
      <c r="W121" s="65"/>
      <c r="X121" s="110">
        <f t="shared" si="48"/>
        <v>3491</v>
      </c>
      <c r="Y121" s="216"/>
      <c r="Z121" s="141" t="str">
        <f t="shared" si="49"/>
        <v/>
      </c>
      <c r="AA121" s="371">
        <f t="shared" si="50"/>
        <v>362.7012987012987</v>
      </c>
      <c r="AB121" s="390"/>
      <c r="AC121" s="281">
        <f t="shared" si="51"/>
        <v>1.484251968503937</v>
      </c>
      <c r="AD121" s="191">
        <f t="shared" si="52"/>
        <v>2.3408639999999998</v>
      </c>
      <c r="AE121" s="197"/>
      <c r="AF121" s="198"/>
      <c r="AG121" s="236"/>
    </row>
    <row r="122" spans="1:33" x14ac:dyDescent="0.2">
      <c r="A122" s="523" t="s">
        <v>929</v>
      </c>
      <c r="B122" s="17"/>
      <c r="C122" s="227"/>
      <c r="D122" s="213"/>
      <c r="E122" s="118" t="s">
        <v>842</v>
      </c>
      <c r="F122" s="45" t="s">
        <v>1135</v>
      </c>
      <c r="G122" s="19">
        <v>227.46</v>
      </c>
      <c r="H122" s="124">
        <v>23</v>
      </c>
      <c r="I122" s="162">
        <v>295</v>
      </c>
      <c r="J122" s="140"/>
      <c r="K122" s="153"/>
      <c r="L122" s="451">
        <v>75.408000000000001</v>
      </c>
      <c r="M122" s="452">
        <v>75.408000000000001</v>
      </c>
      <c r="N122" s="65">
        <f t="shared" si="47"/>
        <v>331.52202585069904</v>
      </c>
      <c r="O122" s="65"/>
      <c r="P122" s="65"/>
      <c r="Q122" s="65">
        <v>200</v>
      </c>
      <c r="R122" s="65">
        <v>4</v>
      </c>
      <c r="S122" s="65"/>
      <c r="T122" s="65">
        <v>429</v>
      </c>
      <c r="U122" s="65"/>
      <c r="V122" s="65">
        <v>298</v>
      </c>
      <c r="W122" s="65"/>
      <c r="X122" s="110">
        <f t="shared" si="48"/>
        <v>4713</v>
      </c>
      <c r="Y122" s="216"/>
      <c r="Z122" s="141" t="str">
        <f t="shared" si="49"/>
        <v/>
      </c>
      <c r="AA122" s="371">
        <f t="shared" si="50"/>
        <v>377.04</v>
      </c>
      <c r="AB122" s="390"/>
      <c r="AC122" s="281">
        <f t="shared" si="51"/>
        <v>1.4395973154362416</v>
      </c>
      <c r="AD122" s="191">
        <f t="shared" si="52"/>
        <v>2.7463679999999999</v>
      </c>
      <c r="AE122" s="197">
        <v>24.5</v>
      </c>
      <c r="AF122" s="198">
        <f t="shared" ref="AF122:AF130" si="53">(AE122*1000000-V122*36*256)/(4000*L122)</f>
        <v>72.119775090176105</v>
      </c>
      <c r="AG122" s="236"/>
    </row>
    <row r="123" spans="1:33" x14ac:dyDescent="0.2">
      <c r="A123" s="523" t="s">
        <v>929</v>
      </c>
      <c r="B123" s="17"/>
      <c r="C123" s="227"/>
      <c r="D123" s="213"/>
      <c r="E123" s="118" t="s">
        <v>843</v>
      </c>
      <c r="F123" s="45" t="s">
        <v>993</v>
      </c>
      <c r="G123" s="19">
        <v>315.52</v>
      </c>
      <c r="H123" s="124">
        <v>23</v>
      </c>
      <c r="I123" s="162">
        <v>283</v>
      </c>
      <c r="J123" s="140"/>
      <c r="K123" s="153"/>
      <c r="L123" s="451">
        <v>114.48</v>
      </c>
      <c r="M123" s="452">
        <v>114.48</v>
      </c>
      <c r="N123" s="65">
        <f t="shared" si="47"/>
        <v>362.82961460446251</v>
      </c>
      <c r="O123" s="65"/>
      <c r="P123" s="65"/>
      <c r="Q123" s="65">
        <v>266</v>
      </c>
      <c r="R123" s="65">
        <v>4</v>
      </c>
      <c r="S123" s="65"/>
      <c r="T123" s="65">
        <v>531</v>
      </c>
      <c r="U123" s="65"/>
      <c r="V123" s="65">
        <v>423</v>
      </c>
      <c r="W123" s="65"/>
      <c r="X123" s="110">
        <f t="shared" si="48"/>
        <v>7155</v>
      </c>
      <c r="Y123" s="216"/>
      <c r="Z123" s="141" t="str">
        <f t="shared" si="49"/>
        <v/>
      </c>
      <c r="AA123" s="371">
        <f t="shared" si="50"/>
        <v>430.37593984962405</v>
      </c>
      <c r="AB123" s="390"/>
      <c r="AC123" s="281">
        <f t="shared" si="51"/>
        <v>1.2553191489361701</v>
      </c>
      <c r="AD123" s="191">
        <f t="shared" si="52"/>
        <v>3.8983680000000001</v>
      </c>
      <c r="AE123" s="197">
        <v>47.6</v>
      </c>
      <c r="AF123" s="198">
        <f t="shared" si="53"/>
        <v>95.435080363382255</v>
      </c>
      <c r="AG123" s="236"/>
    </row>
    <row r="124" spans="1:33" x14ac:dyDescent="0.2">
      <c r="A124" s="523" t="s">
        <v>929</v>
      </c>
      <c r="B124" s="17"/>
      <c r="C124" s="227"/>
      <c r="D124" s="213"/>
      <c r="E124" s="118" t="s">
        <v>844</v>
      </c>
      <c r="F124" s="18" t="s">
        <v>994</v>
      </c>
      <c r="G124" s="19">
        <v>23.96</v>
      </c>
      <c r="H124" s="124">
        <v>11</v>
      </c>
      <c r="I124" s="162">
        <v>72</v>
      </c>
      <c r="J124" s="140"/>
      <c r="K124" s="153"/>
      <c r="L124" s="451">
        <v>14.4</v>
      </c>
      <c r="M124" s="452">
        <v>14.4</v>
      </c>
      <c r="N124" s="65">
        <f t="shared" si="47"/>
        <v>601.00166944908176</v>
      </c>
      <c r="O124" s="65"/>
      <c r="P124" s="65"/>
      <c r="Q124" s="65">
        <v>0</v>
      </c>
      <c r="R124" s="65">
        <v>4</v>
      </c>
      <c r="S124" s="65">
        <v>2</v>
      </c>
      <c r="T124" s="65">
        <v>72</v>
      </c>
      <c r="U124" s="65">
        <v>1</v>
      </c>
      <c r="V124" s="65">
        <v>58</v>
      </c>
      <c r="W124" s="65"/>
      <c r="X124" s="110">
        <f t="shared" si="48"/>
        <v>900</v>
      </c>
      <c r="Y124" s="216">
        <v>6</v>
      </c>
      <c r="Z124" s="141">
        <f t="shared" si="49"/>
        <v>2400</v>
      </c>
      <c r="AA124" s="371" t="e">
        <f t="shared" si="50"/>
        <v>#DIV/0!</v>
      </c>
      <c r="AB124" s="390"/>
      <c r="AC124" s="281">
        <f t="shared" si="51"/>
        <v>1.2413793103448276</v>
      </c>
      <c r="AD124" s="191">
        <f t="shared" si="52"/>
        <v>0.534528</v>
      </c>
      <c r="AE124" s="197">
        <v>3.8055699999999999</v>
      </c>
      <c r="AF124" s="198">
        <f t="shared" si="53"/>
        <v>56.788923611111109</v>
      </c>
      <c r="AG124" s="236"/>
    </row>
    <row r="125" spans="1:33" x14ac:dyDescent="0.2">
      <c r="A125" s="523" t="s">
        <v>929</v>
      </c>
      <c r="B125" s="17"/>
      <c r="C125" s="227"/>
      <c r="D125" s="213"/>
      <c r="E125" s="118" t="s">
        <v>845</v>
      </c>
      <c r="F125" s="18" t="s">
        <v>992</v>
      </c>
      <c r="G125" s="19">
        <v>50.95</v>
      </c>
      <c r="H125" s="124">
        <v>14</v>
      </c>
      <c r="I125" s="162">
        <v>72</v>
      </c>
      <c r="J125" s="140"/>
      <c r="K125" s="153"/>
      <c r="L125" s="451">
        <v>21.28</v>
      </c>
      <c r="M125" s="452">
        <v>21.28</v>
      </c>
      <c r="N125" s="65">
        <f t="shared" si="47"/>
        <v>417.66437684003921</v>
      </c>
      <c r="O125" s="65"/>
      <c r="P125" s="65"/>
      <c r="Q125" s="65">
        <v>40</v>
      </c>
      <c r="R125" s="65">
        <v>3</v>
      </c>
      <c r="S125" s="65">
        <v>4</v>
      </c>
      <c r="T125" s="65">
        <v>150</v>
      </c>
      <c r="U125" s="65">
        <v>1</v>
      </c>
      <c r="V125" s="65">
        <v>82</v>
      </c>
      <c r="W125" s="65"/>
      <c r="X125" s="110">
        <f t="shared" si="48"/>
        <v>1330</v>
      </c>
      <c r="Y125" s="216"/>
      <c r="Z125" s="141" t="str">
        <f t="shared" si="49"/>
        <v/>
      </c>
      <c r="AA125" s="371">
        <f t="shared" si="50"/>
        <v>532</v>
      </c>
      <c r="AB125" s="390"/>
      <c r="AC125" s="281">
        <f t="shared" si="51"/>
        <v>1.8292682926829269</v>
      </c>
      <c r="AD125" s="191">
        <f t="shared" si="52"/>
        <v>0.75571200000000005</v>
      </c>
      <c r="AE125" s="197">
        <v>7.6000420000000002</v>
      </c>
      <c r="AF125" s="198">
        <f t="shared" si="53"/>
        <v>80.408012218045116</v>
      </c>
      <c r="AG125" s="236"/>
    </row>
    <row r="126" spans="1:33" x14ac:dyDescent="0.2">
      <c r="A126" s="523" t="s">
        <v>929</v>
      </c>
      <c r="B126" s="17"/>
      <c r="C126" s="227"/>
      <c r="D126" s="213"/>
      <c r="E126" s="118" t="s">
        <v>846</v>
      </c>
      <c r="F126" s="45" t="s">
        <v>1140</v>
      </c>
      <c r="G126" s="19">
        <v>78.900000000000006</v>
      </c>
      <c r="H126" s="124">
        <v>14</v>
      </c>
      <c r="I126" s="162">
        <v>72</v>
      </c>
      <c r="J126" s="140"/>
      <c r="K126" s="153"/>
      <c r="L126" s="451">
        <v>29.44</v>
      </c>
      <c r="M126" s="452">
        <v>29.44</v>
      </c>
      <c r="N126" s="65">
        <f t="shared" si="47"/>
        <v>373.13054499366285</v>
      </c>
      <c r="O126" s="65"/>
      <c r="P126" s="65"/>
      <c r="Q126" s="65">
        <v>80</v>
      </c>
      <c r="R126" s="65">
        <v>4</v>
      </c>
      <c r="S126" s="65">
        <v>4</v>
      </c>
      <c r="T126" s="65">
        <v>150</v>
      </c>
      <c r="U126" s="65">
        <v>1</v>
      </c>
      <c r="V126" s="65">
        <v>117</v>
      </c>
      <c r="W126" s="65"/>
      <c r="X126" s="110">
        <f t="shared" si="48"/>
        <v>1840</v>
      </c>
      <c r="Y126" s="216"/>
      <c r="Z126" s="141" t="str">
        <f t="shared" si="49"/>
        <v/>
      </c>
      <c r="AA126" s="371">
        <f t="shared" si="50"/>
        <v>368</v>
      </c>
      <c r="AB126" s="390"/>
      <c r="AC126" s="281">
        <f t="shared" si="51"/>
        <v>1.2820512820512822</v>
      </c>
      <c r="AD126" s="191">
        <f t="shared" si="52"/>
        <v>1.0782719999999999</v>
      </c>
      <c r="AE126" s="197">
        <v>7.6000420000000002</v>
      </c>
      <c r="AF126" s="198">
        <f t="shared" si="53"/>
        <v>55.381878396739133</v>
      </c>
      <c r="AG126" s="236"/>
    </row>
    <row r="127" spans="1:33" x14ac:dyDescent="0.2">
      <c r="A127" s="523" t="s">
        <v>929</v>
      </c>
      <c r="B127" s="17"/>
      <c r="C127" s="227"/>
      <c r="D127" s="213"/>
      <c r="E127" s="118" t="s">
        <v>847</v>
      </c>
      <c r="F127" s="45" t="s">
        <v>1136</v>
      </c>
      <c r="G127" s="19">
        <v>161.6</v>
      </c>
      <c r="H127" s="124">
        <v>23</v>
      </c>
      <c r="I127" s="162">
        <v>290</v>
      </c>
      <c r="J127" s="140"/>
      <c r="K127" s="153"/>
      <c r="L127" s="451">
        <v>49.887999999999998</v>
      </c>
      <c r="M127" s="452">
        <v>49.887999999999998</v>
      </c>
      <c r="N127" s="65">
        <f t="shared" si="47"/>
        <v>308.71287128712873</v>
      </c>
      <c r="O127" s="65"/>
      <c r="P127" s="65"/>
      <c r="Q127" s="65">
        <v>140</v>
      </c>
      <c r="R127" s="65">
        <v>4</v>
      </c>
      <c r="S127" s="65">
        <v>8</v>
      </c>
      <c r="T127" s="65">
        <v>310</v>
      </c>
      <c r="U127" s="65">
        <v>1</v>
      </c>
      <c r="V127" s="65">
        <v>272</v>
      </c>
      <c r="W127" s="65"/>
      <c r="X127" s="110">
        <f t="shared" si="48"/>
        <v>3118</v>
      </c>
      <c r="Y127" s="216"/>
      <c r="Z127" s="141" t="str">
        <f t="shared" si="49"/>
        <v/>
      </c>
      <c r="AA127" s="371">
        <f t="shared" si="50"/>
        <v>356.34285714285716</v>
      </c>
      <c r="AB127" s="390"/>
      <c r="AC127" s="281">
        <f t="shared" si="51"/>
        <v>1.1397058823529411</v>
      </c>
      <c r="AD127" s="191">
        <f t="shared" si="52"/>
        <v>2.5067520000000001</v>
      </c>
      <c r="AE127" s="197">
        <v>24.5</v>
      </c>
      <c r="AF127" s="198">
        <f t="shared" si="53"/>
        <v>110.21311738293778</v>
      </c>
      <c r="AG127" s="236"/>
    </row>
    <row r="128" spans="1:33" x14ac:dyDescent="0.2">
      <c r="A128" s="523" t="s">
        <v>929</v>
      </c>
      <c r="B128" s="17"/>
      <c r="C128" s="227"/>
      <c r="D128" s="213"/>
      <c r="E128" s="118" t="s">
        <v>848</v>
      </c>
      <c r="F128" s="45" t="s">
        <v>996</v>
      </c>
      <c r="G128" s="19">
        <v>198.5</v>
      </c>
      <c r="H128" s="124">
        <v>23</v>
      </c>
      <c r="I128" s="162">
        <v>290</v>
      </c>
      <c r="J128" s="140"/>
      <c r="K128" s="153"/>
      <c r="L128" s="451">
        <v>73.92</v>
      </c>
      <c r="M128" s="452">
        <v>73.92</v>
      </c>
      <c r="N128" s="65">
        <f t="shared" si="47"/>
        <v>372.39294710327454</v>
      </c>
      <c r="O128" s="65"/>
      <c r="P128" s="65"/>
      <c r="Q128" s="65">
        <v>198</v>
      </c>
      <c r="R128" s="65">
        <v>8</v>
      </c>
      <c r="S128" s="65">
        <v>8</v>
      </c>
      <c r="T128" s="65">
        <v>310</v>
      </c>
      <c r="U128" s="65">
        <v>1</v>
      </c>
      <c r="V128" s="65">
        <v>451</v>
      </c>
      <c r="W128" s="65"/>
      <c r="X128" s="110">
        <f t="shared" si="48"/>
        <v>4620</v>
      </c>
      <c r="Y128" s="216"/>
      <c r="Z128" s="141" t="str">
        <f t="shared" si="49"/>
        <v/>
      </c>
      <c r="AA128" s="371">
        <f t="shared" si="50"/>
        <v>373.33333333333331</v>
      </c>
      <c r="AB128" s="390"/>
      <c r="AC128" s="281">
        <f t="shared" si="51"/>
        <v>0.68736141906873616</v>
      </c>
      <c r="AD128" s="191">
        <f t="shared" si="52"/>
        <v>4.1564160000000001</v>
      </c>
      <c r="AE128" s="197">
        <v>24.5</v>
      </c>
      <c r="AF128" s="198">
        <f t="shared" si="53"/>
        <v>68.802705627705635</v>
      </c>
      <c r="AG128" s="236"/>
    </row>
    <row r="129" spans="1:33" x14ac:dyDescent="0.2">
      <c r="A129" s="523" t="s">
        <v>929</v>
      </c>
      <c r="B129" s="17"/>
      <c r="C129" s="227"/>
      <c r="D129" s="213"/>
      <c r="E129" s="118" t="s">
        <v>849</v>
      </c>
      <c r="F129" s="45" t="s">
        <v>1137</v>
      </c>
      <c r="G129" s="19">
        <v>278.5</v>
      </c>
      <c r="H129" s="124">
        <v>23</v>
      </c>
      <c r="I129" s="162">
        <v>270</v>
      </c>
      <c r="J129" s="140"/>
      <c r="K129" s="153"/>
      <c r="L129" s="451">
        <v>109.42400000000001</v>
      </c>
      <c r="M129" s="452">
        <v>109.42400000000001</v>
      </c>
      <c r="N129" s="65">
        <f t="shared" si="47"/>
        <v>392.90484739676839</v>
      </c>
      <c r="O129" s="65"/>
      <c r="P129" s="65"/>
      <c r="Q129" s="65">
        <v>280</v>
      </c>
      <c r="R129" s="65">
        <v>8</v>
      </c>
      <c r="S129" s="65">
        <v>8</v>
      </c>
      <c r="T129" s="65">
        <v>475</v>
      </c>
      <c r="U129" s="65">
        <v>1</v>
      </c>
      <c r="V129" s="65">
        <v>596</v>
      </c>
      <c r="W129" s="65"/>
      <c r="X129" s="110">
        <f t="shared" si="48"/>
        <v>6839</v>
      </c>
      <c r="Y129" s="216"/>
      <c r="Z129" s="141" t="str">
        <f t="shared" si="49"/>
        <v/>
      </c>
      <c r="AA129" s="371">
        <f t="shared" si="50"/>
        <v>390.8</v>
      </c>
      <c r="AB129" s="390"/>
      <c r="AC129" s="281">
        <f t="shared" si="51"/>
        <v>0.79697986577181212</v>
      </c>
      <c r="AD129" s="191">
        <f t="shared" si="52"/>
        <v>5.4927359999999998</v>
      </c>
      <c r="AE129" s="197">
        <v>47.6</v>
      </c>
      <c r="AF129" s="198">
        <f t="shared" si="53"/>
        <v>96.202076326948387</v>
      </c>
      <c r="AG129" s="236"/>
    </row>
    <row r="130" spans="1:33" ht="13.5" thickBot="1" x14ac:dyDescent="0.25">
      <c r="A130" s="523" t="s">
        <v>929</v>
      </c>
      <c r="B130" s="21"/>
      <c r="C130" s="228"/>
      <c r="D130" s="214"/>
      <c r="E130" s="146" t="s">
        <v>995</v>
      </c>
      <c r="F130" s="22" t="s">
        <v>996</v>
      </c>
      <c r="G130" s="23">
        <v>369.5</v>
      </c>
      <c r="H130" s="125">
        <v>23</v>
      </c>
      <c r="I130" s="163">
        <v>270</v>
      </c>
      <c r="J130" s="140"/>
      <c r="K130" s="153"/>
      <c r="L130" s="453">
        <v>149.76</v>
      </c>
      <c r="M130" s="454">
        <v>149.76</v>
      </c>
      <c r="N130" s="65">
        <f t="shared" si="47"/>
        <v>405.3044654939107</v>
      </c>
      <c r="O130" s="68"/>
      <c r="P130" s="68"/>
      <c r="Q130" s="68">
        <v>360</v>
      </c>
      <c r="R130" s="68">
        <v>8</v>
      </c>
      <c r="S130" s="68">
        <v>8</v>
      </c>
      <c r="T130" s="68">
        <v>475</v>
      </c>
      <c r="U130" s="68">
        <v>1</v>
      </c>
      <c r="V130" s="68">
        <v>703</v>
      </c>
      <c r="W130" s="68"/>
      <c r="X130" s="110">
        <f t="shared" si="48"/>
        <v>9360</v>
      </c>
      <c r="Y130" s="217"/>
      <c r="Z130" s="141" t="str">
        <f t="shared" si="49"/>
        <v/>
      </c>
      <c r="AA130" s="371">
        <f t="shared" si="50"/>
        <v>416</v>
      </c>
      <c r="AB130" s="396"/>
      <c r="AC130" s="281">
        <f t="shared" si="51"/>
        <v>0.67567567567567566</v>
      </c>
      <c r="AD130" s="191">
        <f t="shared" si="52"/>
        <v>6.4788480000000002</v>
      </c>
      <c r="AE130" s="199">
        <v>47.6</v>
      </c>
      <c r="AF130" s="198">
        <f t="shared" si="53"/>
        <v>68.645085470085476</v>
      </c>
      <c r="AG130" s="236"/>
    </row>
    <row r="131" spans="1:33" ht="13.5" customHeight="1" x14ac:dyDescent="0.2">
      <c r="A131" s="182"/>
      <c r="B131" s="48" t="s">
        <v>717</v>
      </c>
      <c r="C131" s="226"/>
      <c r="D131" s="212"/>
      <c r="E131" s="12" t="s">
        <v>685</v>
      </c>
      <c r="F131" s="466" t="s">
        <v>1017</v>
      </c>
      <c r="G131" s="14" t="s">
        <v>22</v>
      </c>
      <c r="H131" s="132" t="s">
        <v>512</v>
      </c>
      <c r="I131" s="161"/>
      <c r="J131" s="136"/>
      <c r="K131" s="16" t="s">
        <v>22</v>
      </c>
      <c r="L131" s="486" t="s">
        <v>1442</v>
      </c>
      <c r="M131" s="860" t="s">
        <v>1549</v>
      </c>
      <c r="N131" s="380">
        <f>AVERAGE(N132:N139)</f>
        <v>131.95707256323922</v>
      </c>
      <c r="O131" s="61"/>
      <c r="P131" s="61"/>
      <c r="Q131" s="61" t="s">
        <v>1737</v>
      </c>
      <c r="R131" s="61"/>
      <c r="S131" s="61" t="s">
        <v>694</v>
      </c>
      <c r="T131" s="61"/>
      <c r="U131" s="61" t="s">
        <v>449</v>
      </c>
      <c r="V131" s="62" t="s">
        <v>157</v>
      </c>
      <c r="W131" s="62" t="s">
        <v>450</v>
      </c>
      <c r="X131" s="109" t="s">
        <v>25</v>
      </c>
      <c r="Y131" s="215"/>
      <c r="Z131" s="164"/>
      <c r="AA131" s="370">
        <f>AVERAGE(AA132:AA136)</f>
        <v>209.83671363837311</v>
      </c>
      <c r="AB131" s="210">
        <f>AVERAGE(AB132:AB136)</f>
        <v>6.3450601348167282E-2</v>
      </c>
      <c r="AC131" s="1452">
        <f>AVERAGE(AC132:AC136)</f>
        <v>1.4523066363431476</v>
      </c>
      <c r="AD131" s="109" t="s">
        <v>650</v>
      </c>
      <c r="AE131" s="193"/>
      <c r="AF131" s="212"/>
      <c r="AG131" s="236" t="s">
        <v>724</v>
      </c>
    </row>
    <row r="132" spans="1:33" s="751" customFormat="1" x14ac:dyDescent="0.2">
      <c r="A132" s="769" t="s">
        <v>26</v>
      </c>
      <c r="B132" s="573"/>
      <c r="C132" s="574" t="s">
        <v>697</v>
      </c>
      <c r="D132" s="554"/>
      <c r="E132" s="1070" t="s">
        <v>686</v>
      </c>
      <c r="F132" s="790"/>
      <c r="G132" s="791"/>
      <c r="H132" s="792">
        <v>17</v>
      </c>
      <c r="I132" s="877">
        <v>156</v>
      </c>
      <c r="J132" s="1071"/>
      <c r="K132" s="1072"/>
      <c r="L132" s="817">
        <v>6.38</v>
      </c>
      <c r="M132" s="583">
        <f t="shared" ref="M132:M142" si="54">23.8*X132/1000</f>
        <v>15.1844</v>
      </c>
      <c r="N132" s="564" t="str">
        <f t="shared" ref="N132:N139" si="55">IF(AND(G132&lt;&gt;"",M132&lt;&gt;""),1000*M132/G132,"")</f>
        <v/>
      </c>
      <c r="O132" s="564"/>
      <c r="P132" s="564"/>
      <c r="Q132" s="564">
        <v>56</v>
      </c>
      <c r="R132" s="564">
        <v>4</v>
      </c>
      <c r="S132" s="564">
        <v>4</v>
      </c>
      <c r="T132" s="564">
        <v>252</v>
      </c>
      <c r="U132" s="564">
        <v>319</v>
      </c>
      <c r="V132" s="564">
        <v>87</v>
      </c>
      <c r="W132" s="564"/>
      <c r="X132" s="110">
        <f t="shared" ref="X132:X142" si="56">1000*L132/10</f>
        <v>638</v>
      </c>
      <c r="Y132" s="1015"/>
      <c r="Z132" s="568"/>
      <c r="AA132" s="601">
        <f t="shared" ref="AA132:AA139" si="57">1000*M132/Q132</f>
        <v>271.14999999999998</v>
      </c>
      <c r="AB132" s="1073">
        <f t="shared" ref="AB132:AB139" si="58">L132/V132</f>
        <v>7.3333333333333334E-2</v>
      </c>
      <c r="AC132" s="1453">
        <f t="shared" ref="AC132:AC139" si="59">T132/V132</f>
        <v>2.896551724137931</v>
      </c>
      <c r="AD132" s="572">
        <f>(U132*640+V132*9216)/1000000</f>
        <v>1.005952</v>
      </c>
      <c r="AE132" s="573"/>
      <c r="AF132" s="1074"/>
      <c r="AG132" s="492" t="s">
        <v>1552</v>
      </c>
    </row>
    <row r="133" spans="1:33" s="751" customFormat="1" x14ac:dyDescent="0.2">
      <c r="A133" s="769" t="s">
        <v>26</v>
      </c>
      <c r="B133" s="573"/>
      <c r="C133" s="574" t="s">
        <v>697</v>
      </c>
      <c r="D133" s="554"/>
      <c r="E133" s="1070" t="s">
        <v>687</v>
      </c>
      <c r="F133" s="790"/>
      <c r="G133" s="791"/>
      <c r="H133" s="792">
        <v>17</v>
      </c>
      <c r="I133" s="877">
        <v>156</v>
      </c>
      <c r="J133" s="1071"/>
      <c r="K133" s="1072"/>
      <c r="L133" s="817">
        <v>10.8</v>
      </c>
      <c r="M133" s="583">
        <f t="shared" si="54"/>
        <v>25.704000000000001</v>
      </c>
      <c r="N133" s="564" t="str">
        <f t="shared" si="55"/>
        <v/>
      </c>
      <c r="O133" s="564"/>
      <c r="P133" s="564"/>
      <c r="Q133" s="564">
        <v>128</v>
      </c>
      <c r="R133" s="564">
        <v>4</v>
      </c>
      <c r="S133" s="564">
        <v>4</v>
      </c>
      <c r="T133" s="564">
        <v>252</v>
      </c>
      <c r="U133" s="564">
        <v>540</v>
      </c>
      <c r="V133" s="564">
        <v>144</v>
      </c>
      <c r="W133" s="564"/>
      <c r="X133" s="110">
        <f t="shared" si="56"/>
        <v>1080</v>
      </c>
      <c r="Y133" s="1015"/>
      <c r="Z133" s="568"/>
      <c r="AA133" s="601">
        <f t="shared" si="57"/>
        <v>200.8125</v>
      </c>
      <c r="AB133" s="1073">
        <f t="shared" si="58"/>
        <v>7.5000000000000011E-2</v>
      </c>
      <c r="AC133" s="1453">
        <f t="shared" si="59"/>
        <v>1.75</v>
      </c>
      <c r="AD133" s="572">
        <f t="shared" ref="AD133:AD139" si="60">(U133*640+V133*9216+W133*147456)/1000000</f>
        <v>1.672704</v>
      </c>
      <c r="AE133" s="573"/>
      <c r="AF133" s="1074"/>
      <c r="AG133" s="6" t="s">
        <v>1070</v>
      </c>
    </row>
    <row r="134" spans="1:33" x14ac:dyDescent="0.2">
      <c r="A134" s="182" t="s">
        <v>26</v>
      </c>
      <c r="B134" s="17"/>
      <c r="C134" s="230" t="s">
        <v>697</v>
      </c>
      <c r="D134" s="213"/>
      <c r="E134" s="118" t="s">
        <v>688</v>
      </c>
      <c r="F134" s="45" t="s">
        <v>1243</v>
      </c>
      <c r="G134" s="19">
        <v>300</v>
      </c>
      <c r="H134" s="124">
        <v>17</v>
      </c>
      <c r="I134" s="162">
        <v>156</v>
      </c>
      <c r="J134" s="140"/>
      <c r="K134" s="153"/>
      <c r="L134" s="451">
        <v>18.05</v>
      </c>
      <c r="M134" s="457">
        <f t="shared" si="54"/>
        <v>42.959000000000003</v>
      </c>
      <c r="N134" s="65">
        <f t="shared" si="55"/>
        <v>143.19666666666666</v>
      </c>
      <c r="O134" s="65"/>
      <c r="P134" s="65"/>
      <c r="Q134" s="65">
        <v>232</v>
      </c>
      <c r="R134" s="65">
        <v>4</v>
      </c>
      <c r="S134" s="65">
        <v>8</v>
      </c>
      <c r="T134" s="65">
        <v>364</v>
      </c>
      <c r="U134" s="65">
        <v>903</v>
      </c>
      <c r="V134" s="65">
        <v>319</v>
      </c>
      <c r="W134" s="65"/>
      <c r="X134" s="110">
        <f t="shared" si="56"/>
        <v>1805</v>
      </c>
      <c r="Y134" s="216"/>
      <c r="Z134" s="141"/>
      <c r="AA134" s="371">
        <f t="shared" si="57"/>
        <v>185.16810344827587</v>
      </c>
      <c r="AB134" s="211">
        <f t="shared" si="58"/>
        <v>5.6583072100313485E-2</v>
      </c>
      <c r="AC134" s="281">
        <f t="shared" si="59"/>
        <v>1.1410658307210031</v>
      </c>
      <c r="AD134" s="191">
        <f t="shared" si="60"/>
        <v>3.5178240000000001</v>
      </c>
      <c r="AE134" s="17"/>
      <c r="AF134" s="218"/>
      <c r="AG134" s="516" t="s">
        <v>723</v>
      </c>
    </row>
    <row r="135" spans="1:33" x14ac:dyDescent="0.2">
      <c r="A135" s="182" t="s">
        <v>26</v>
      </c>
      <c r="B135" s="17"/>
      <c r="C135" s="230" t="s">
        <v>697</v>
      </c>
      <c r="D135" s="213"/>
      <c r="E135" s="119" t="s">
        <v>689</v>
      </c>
      <c r="F135" s="45" t="s">
        <v>1255</v>
      </c>
      <c r="G135" s="19">
        <v>450</v>
      </c>
      <c r="H135" s="124">
        <v>17</v>
      </c>
      <c r="I135" s="162">
        <v>156</v>
      </c>
      <c r="J135" s="140"/>
      <c r="K135" s="153"/>
      <c r="L135" s="451">
        <v>25.3</v>
      </c>
      <c r="M135" s="457">
        <f t="shared" si="54"/>
        <v>60.213999999999999</v>
      </c>
      <c r="N135" s="65">
        <f t="shared" si="55"/>
        <v>133.8088888888889</v>
      </c>
      <c r="O135" s="65"/>
      <c r="P135" s="65"/>
      <c r="Q135" s="65">
        <v>312</v>
      </c>
      <c r="R135" s="65">
        <v>4</v>
      </c>
      <c r="S135" s="65">
        <v>8</v>
      </c>
      <c r="T135" s="65">
        <v>364</v>
      </c>
      <c r="U135" s="65">
        <v>1265</v>
      </c>
      <c r="V135" s="65">
        <v>495</v>
      </c>
      <c r="W135" s="65"/>
      <c r="X135" s="110">
        <f t="shared" si="56"/>
        <v>2530</v>
      </c>
      <c r="Y135" s="216"/>
      <c r="Z135" s="141"/>
      <c r="AA135" s="371">
        <f t="shared" si="57"/>
        <v>192.99358974358975</v>
      </c>
      <c r="AB135" s="211">
        <f t="shared" si="58"/>
        <v>5.1111111111111114E-2</v>
      </c>
      <c r="AC135" s="281">
        <f t="shared" si="59"/>
        <v>0.73535353535353531</v>
      </c>
      <c r="AD135" s="191">
        <f t="shared" si="60"/>
        <v>5.3715200000000003</v>
      </c>
      <c r="AE135" s="17"/>
      <c r="AF135" s="218"/>
      <c r="AG135" s="492" t="s">
        <v>1545</v>
      </c>
    </row>
    <row r="136" spans="1:33" x14ac:dyDescent="0.2">
      <c r="A136" s="182" t="s">
        <v>26</v>
      </c>
      <c r="B136" s="17"/>
      <c r="C136" s="230" t="s">
        <v>697</v>
      </c>
      <c r="D136" s="213"/>
      <c r="E136" s="17" t="s">
        <v>690</v>
      </c>
      <c r="F136" s="45" t="s">
        <v>1255</v>
      </c>
      <c r="G136" s="19">
        <v>650</v>
      </c>
      <c r="H136" s="124">
        <v>25</v>
      </c>
      <c r="I136" s="162">
        <v>260</v>
      </c>
      <c r="J136" s="140"/>
      <c r="K136" s="153"/>
      <c r="L136" s="451">
        <v>37.47</v>
      </c>
      <c r="M136" s="457">
        <f t="shared" si="54"/>
        <v>89.178600000000003</v>
      </c>
      <c r="N136" s="65">
        <f t="shared" si="55"/>
        <v>137.19784615384617</v>
      </c>
      <c r="O136" s="65"/>
      <c r="P136" s="65"/>
      <c r="Q136" s="65">
        <v>448</v>
      </c>
      <c r="R136" s="65">
        <v>6</v>
      </c>
      <c r="S136" s="65">
        <v>12</v>
      </c>
      <c r="T136" s="65">
        <v>452</v>
      </c>
      <c r="U136" s="65">
        <v>1874</v>
      </c>
      <c r="V136" s="65">
        <v>612</v>
      </c>
      <c r="W136" s="65"/>
      <c r="X136" s="110">
        <f t="shared" si="56"/>
        <v>3747</v>
      </c>
      <c r="Y136" s="216"/>
      <c r="Z136" s="141"/>
      <c r="AA136" s="371">
        <f t="shared" si="57"/>
        <v>199.05937500000002</v>
      </c>
      <c r="AB136" s="211">
        <f t="shared" si="58"/>
        <v>6.1225490196078432E-2</v>
      </c>
      <c r="AC136" s="281">
        <f t="shared" si="59"/>
        <v>0.73856209150326801</v>
      </c>
      <c r="AD136" s="191">
        <f t="shared" si="60"/>
        <v>6.8395520000000003</v>
      </c>
      <c r="AE136" s="17"/>
      <c r="AF136" s="218"/>
      <c r="AG136" s="236"/>
    </row>
    <row r="137" spans="1:33" x14ac:dyDescent="0.2">
      <c r="A137" s="182" t="s">
        <v>26</v>
      </c>
      <c r="B137" s="17"/>
      <c r="C137" s="230" t="s">
        <v>697</v>
      </c>
      <c r="D137" s="213"/>
      <c r="E137" s="17" t="s">
        <v>691</v>
      </c>
      <c r="F137" s="45" t="s">
        <v>1256</v>
      </c>
      <c r="G137" s="19">
        <v>1080</v>
      </c>
      <c r="H137" s="124">
        <v>25</v>
      </c>
      <c r="I137" s="162">
        <v>260</v>
      </c>
      <c r="J137" s="140"/>
      <c r="K137" s="153"/>
      <c r="L137" s="451">
        <v>49.64</v>
      </c>
      <c r="M137" s="457">
        <f t="shared" si="54"/>
        <v>118.14319999999999</v>
      </c>
      <c r="N137" s="65">
        <f t="shared" si="55"/>
        <v>109.39185185185185</v>
      </c>
      <c r="O137" s="65"/>
      <c r="P137" s="65"/>
      <c r="Q137" s="65">
        <v>576</v>
      </c>
      <c r="R137" s="65">
        <v>6</v>
      </c>
      <c r="S137" s="65">
        <v>12</v>
      </c>
      <c r="T137" s="65">
        <v>452</v>
      </c>
      <c r="U137" s="65">
        <v>2482</v>
      </c>
      <c r="V137" s="65">
        <v>730</v>
      </c>
      <c r="W137" s="65"/>
      <c r="X137" s="110">
        <f t="shared" si="56"/>
        <v>4964</v>
      </c>
      <c r="Y137" s="216"/>
      <c r="Z137" s="141"/>
      <c r="AA137" s="371">
        <f t="shared" si="57"/>
        <v>205.10972222222222</v>
      </c>
      <c r="AB137" s="211">
        <f t="shared" si="58"/>
        <v>6.8000000000000005E-2</v>
      </c>
      <c r="AC137" s="281">
        <f t="shared" si="59"/>
        <v>0.61917808219178083</v>
      </c>
      <c r="AD137" s="191">
        <f t="shared" si="60"/>
        <v>8.31616</v>
      </c>
      <c r="AE137" s="17"/>
      <c r="AF137" s="218"/>
      <c r="AG137" s="236"/>
    </row>
    <row r="138" spans="1:33" x14ac:dyDescent="0.2">
      <c r="A138" s="182" t="s">
        <v>26</v>
      </c>
      <c r="B138" s="17"/>
      <c r="C138" s="230" t="s">
        <v>697</v>
      </c>
      <c r="D138" s="213"/>
      <c r="E138" s="17" t="s">
        <v>692</v>
      </c>
      <c r="F138" s="45" t="s">
        <v>1254</v>
      </c>
      <c r="G138" s="19">
        <v>1400</v>
      </c>
      <c r="H138" s="124">
        <v>29</v>
      </c>
      <c r="I138" s="162">
        <v>372</v>
      </c>
      <c r="J138" s="140"/>
      <c r="K138" s="153"/>
      <c r="L138" s="451">
        <v>76.12</v>
      </c>
      <c r="M138" s="457">
        <f t="shared" si="54"/>
        <v>181.16560000000001</v>
      </c>
      <c r="N138" s="65">
        <f t="shared" si="55"/>
        <v>129.404</v>
      </c>
      <c r="O138" s="65"/>
      <c r="P138" s="65"/>
      <c r="Q138" s="65">
        <v>656</v>
      </c>
      <c r="R138" s="65">
        <v>6</v>
      </c>
      <c r="S138" s="65">
        <v>16</v>
      </c>
      <c r="T138" s="65">
        <v>612</v>
      </c>
      <c r="U138" s="65">
        <v>3806</v>
      </c>
      <c r="V138" s="65">
        <v>840</v>
      </c>
      <c r="W138" s="65"/>
      <c r="X138" s="110">
        <f t="shared" si="56"/>
        <v>7612</v>
      </c>
      <c r="Y138" s="216"/>
      <c r="Z138" s="141"/>
      <c r="AA138" s="371">
        <f t="shared" si="57"/>
        <v>276.16707317073173</v>
      </c>
      <c r="AB138" s="211">
        <f t="shared" si="58"/>
        <v>9.0619047619047627E-2</v>
      </c>
      <c r="AC138" s="281">
        <f t="shared" si="59"/>
        <v>0.72857142857142854</v>
      </c>
      <c r="AD138" s="191">
        <f t="shared" si="60"/>
        <v>10.17728</v>
      </c>
      <c r="AE138" s="17"/>
      <c r="AF138" s="218"/>
      <c r="AG138" s="236"/>
    </row>
    <row r="139" spans="1:33" x14ac:dyDescent="0.2">
      <c r="A139" s="182" t="s">
        <v>26</v>
      </c>
      <c r="B139" s="25"/>
      <c r="C139" s="303" t="s">
        <v>697</v>
      </c>
      <c r="D139" s="240"/>
      <c r="E139" s="25" t="s">
        <v>693</v>
      </c>
      <c r="F139" s="1082" t="s">
        <v>1257</v>
      </c>
      <c r="G139" s="27">
        <v>1760</v>
      </c>
      <c r="H139" s="127">
        <v>29</v>
      </c>
      <c r="I139" s="177">
        <v>372</v>
      </c>
      <c r="J139" s="140"/>
      <c r="K139" s="153"/>
      <c r="L139" s="1083">
        <v>102.6</v>
      </c>
      <c r="M139" s="474">
        <f t="shared" si="54"/>
        <v>244.18799999999999</v>
      </c>
      <c r="N139" s="73">
        <f t="shared" si="55"/>
        <v>138.74318181818182</v>
      </c>
      <c r="O139" s="73"/>
      <c r="P139" s="73"/>
      <c r="Q139" s="73">
        <v>736</v>
      </c>
      <c r="R139" s="73">
        <v>6</v>
      </c>
      <c r="S139" s="73">
        <v>16</v>
      </c>
      <c r="T139" s="73">
        <v>612</v>
      </c>
      <c r="U139" s="73">
        <v>5130</v>
      </c>
      <c r="V139" s="73">
        <v>950</v>
      </c>
      <c r="W139" s="73"/>
      <c r="X139" s="112">
        <f t="shared" si="56"/>
        <v>10260</v>
      </c>
      <c r="Y139" s="1084"/>
      <c r="Z139" s="173"/>
      <c r="AA139" s="376">
        <f t="shared" si="57"/>
        <v>331.7771739130435</v>
      </c>
      <c r="AB139" s="1085">
        <f t="shared" si="58"/>
        <v>0.108</v>
      </c>
      <c r="AC139" s="908">
        <f t="shared" si="59"/>
        <v>0.64421052631578946</v>
      </c>
      <c r="AD139" s="478">
        <f t="shared" si="60"/>
        <v>12.038399999999999</v>
      </c>
      <c r="AE139" s="25"/>
      <c r="AF139" s="1086"/>
      <c r="AG139" s="236"/>
    </row>
    <row r="140" spans="1:33" x14ac:dyDescent="0.2">
      <c r="A140" s="182" t="s">
        <v>26</v>
      </c>
      <c r="B140" s="17"/>
      <c r="C140" s="230" t="s">
        <v>697</v>
      </c>
      <c r="D140" s="213"/>
      <c r="E140" s="41" t="s">
        <v>1543</v>
      </c>
      <c r="F140" s="45" t="s">
        <v>1544</v>
      </c>
      <c r="G140" s="19">
        <v>2200</v>
      </c>
      <c r="H140" s="124">
        <v>35</v>
      </c>
      <c r="I140" s="162">
        <v>554</v>
      </c>
      <c r="J140" s="138"/>
      <c r="K140" s="20"/>
      <c r="L140" s="451">
        <v>89.6</v>
      </c>
      <c r="M140" s="457">
        <f t="shared" si="54"/>
        <v>213.24799999999999</v>
      </c>
      <c r="N140" s="65">
        <f>IF(AND(G140&lt;&gt;"",M140&lt;&gt;""),1000*M140/G140,"")</f>
        <v>96.930909090909097</v>
      </c>
      <c r="O140" s="65"/>
      <c r="P140" s="65"/>
      <c r="Q140" s="65">
        <v>800</v>
      </c>
      <c r="R140" s="65">
        <v>8</v>
      </c>
      <c r="S140" s="65">
        <v>24</v>
      </c>
      <c r="T140" s="65">
        <v>734</v>
      </c>
      <c r="U140" s="65">
        <f>X140/2</f>
        <v>4480</v>
      </c>
      <c r="V140" s="65">
        <v>1235</v>
      </c>
      <c r="W140" s="65"/>
      <c r="X140" s="110">
        <f t="shared" si="56"/>
        <v>8960</v>
      </c>
      <c r="Y140" s="216"/>
      <c r="Z140" s="141"/>
      <c r="AA140" s="371">
        <f>1000*M140/Q140</f>
        <v>266.56</v>
      </c>
      <c r="AB140" s="211">
        <f>L140/V140</f>
        <v>7.2550607287449387E-2</v>
      </c>
      <c r="AC140" s="281">
        <f>T140/V140</f>
        <v>0.59433198380566798</v>
      </c>
      <c r="AD140" s="191">
        <f>(U140*640+V140*9216+W140*147456)/1000000</f>
        <v>14.24896</v>
      </c>
      <c r="AE140" s="17"/>
      <c r="AF140" s="218"/>
      <c r="AG140" s="236"/>
    </row>
    <row r="141" spans="1:33" x14ac:dyDescent="0.2">
      <c r="A141" s="182" t="s">
        <v>26</v>
      </c>
      <c r="B141" s="17"/>
      <c r="C141" s="230" t="s">
        <v>697</v>
      </c>
      <c r="D141" s="213"/>
      <c r="E141" s="41" t="s">
        <v>1546</v>
      </c>
      <c r="F141" s="45" t="s">
        <v>1548</v>
      </c>
      <c r="G141" s="19">
        <v>2640</v>
      </c>
      <c r="H141" s="124">
        <v>29</v>
      </c>
      <c r="I141" s="162">
        <v>281</v>
      </c>
      <c r="J141" s="138"/>
      <c r="K141" s="20"/>
      <c r="L141" s="451">
        <v>119.2</v>
      </c>
      <c r="M141" s="457">
        <f t="shared" si="54"/>
        <v>283.69600000000003</v>
      </c>
      <c r="N141" s="65">
        <f>IF(AND(G141&lt;&gt;"",M141&lt;&gt;""),1000*M141/G141,"")</f>
        <v>107.46060606060605</v>
      </c>
      <c r="O141" s="65"/>
      <c r="P141" s="65"/>
      <c r="Q141" s="65">
        <v>920</v>
      </c>
      <c r="R141" s="65">
        <v>8</v>
      </c>
      <c r="S141" s="65">
        <v>24</v>
      </c>
      <c r="T141" s="65">
        <v>734</v>
      </c>
      <c r="U141" s="65">
        <f>X141/2</f>
        <v>5960</v>
      </c>
      <c r="V141" s="65">
        <v>1248</v>
      </c>
      <c r="W141" s="65">
        <v>24</v>
      </c>
      <c r="X141" s="110">
        <f t="shared" si="56"/>
        <v>11920</v>
      </c>
      <c r="Y141" s="216"/>
      <c r="Z141" s="141"/>
      <c r="AA141" s="371">
        <f>1000*M141/Q141</f>
        <v>308.36521739130433</v>
      </c>
      <c r="AB141" s="211">
        <f>L141/V141</f>
        <v>9.551282051282052E-2</v>
      </c>
      <c r="AC141" s="281">
        <f>T141/V141</f>
        <v>0.58814102564102566</v>
      </c>
      <c r="AD141" s="191">
        <f>(U141*640+V141*9216+W141*147456)/1000000</f>
        <v>18.854911999999999</v>
      </c>
      <c r="AE141" s="17"/>
      <c r="AF141" s="218"/>
      <c r="AG141" s="236"/>
    </row>
    <row r="142" spans="1:33" ht="13.5" thickBot="1" x14ac:dyDescent="0.25">
      <c r="A142" s="182" t="s">
        <v>26</v>
      </c>
      <c r="B142" s="17"/>
      <c r="C142" s="230" t="s">
        <v>697</v>
      </c>
      <c r="D142" s="213"/>
      <c r="E142" s="41" t="s">
        <v>1547</v>
      </c>
      <c r="F142" s="45" t="s">
        <v>1548</v>
      </c>
      <c r="G142" s="19">
        <v>3000</v>
      </c>
      <c r="H142" s="124">
        <v>29</v>
      </c>
      <c r="I142" s="162">
        <v>281</v>
      </c>
      <c r="J142" s="138"/>
      <c r="K142" s="20"/>
      <c r="L142" s="451">
        <v>139.4</v>
      </c>
      <c r="M142" s="457">
        <f t="shared" si="54"/>
        <v>331.77199999999999</v>
      </c>
      <c r="N142" s="65">
        <f>IF(AND(G142&lt;&gt;"",M142&lt;&gt;""),1000*M142/G142,"")</f>
        <v>110.59066666666666</v>
      </c>
      <c r="O142" s="65"/>
      <c r="P142" s="65"/>
      <c r="Q142" s="65">
        <v>1040</v>
      </c>
      <c r="R142" s="65">
        <v>8</v>
      </c>
      <c r="S142" s="65">
        <v>24</v>
      </c>
      <c r="T142" s="65">
        <v>734</v>
      </c>
      <c r="U142" s="65">
        <f>X142/2</f>
        <v>6970</v>
      </c>
      <c r="V142" s="65">
        <v>1248</v>
      </c>
      <c r="W142" s="65">
        <v>36</v>
      </c>
      <c r="X142" s="110">
        <f t="shared" si="56"/>
        <v>13940</v>
      </c>
      <c r="Y142" s="216"/>
      <c r="Z142" s="141"/>
      <c r="AA142" s="371">
        <f>1000*M142/Q142</f>
        <v>319.01153846153846</v>
      </c>
      <c r="AB142" s="211">
        <f>L142/V142</f>
        <v>0.11169871794871795</v>
      </c>
      <c r="AC142" s="281">
        <f>T142/V142</f>
        <v>0.58814102564102566</v>
      </c>
      <c r="AD142" s="191">
        <f>(U142*640+V142*9216+W142*147456)/1000000</f>
        <v>21.270783999999999</v>
      </c>
      <c r="AE142" s="17"/>
      <c r="AF142" s="218"/>
      <c r="AG142" s="236"/>
    </row>
    <row r="143" spans="1:33" ht="13.5" customHeight="1" x14ac:dyDescent="0.2">
      <c r="A143" s="182"/>
      <c r="B143" s="48" t="s">
        <v>717</v>
      </c>
      <c r="C143" s="226"/>
      <c r="D143" s="212"/>
      <c r="E143" s="12" t="s">
        <v>584</v>
      </c>
      <c r="F143" s="466" t="s">
        <v>1017</v>
      </c>
      <c r="G143" s="14" t="s">
        <v>22</v>
      </c>
      <c r="H143" s="40" t="s">
        <v>725</v>
      </c>
      <c r="I143" s="161"/>
      <c r="J143" s="136"/>
      <c r="K143" s="16" t="s">
        <v>22</v>
      </c>
      <c r="L143" s="486" t="s">
        <v>1442</v>
      </c>
      <c r="M143" s="61" t="s">
        <v>589</v>
      </c>
      <c r="N143" s="380">
        <f>AVERAGE(N144:N153)</f>
        <v>62.369976490588066</v>
      </c>
      <c r="O143" s="382" t="e">
        <f>AVERAGE(O144:O150)</f>
        <v>#DIV/0!</v>
      </c>
      <c r="P143" s="60" t="s">
        <v>634</v>
      </c>
      <c r="Q143" s="61" t="s">
        <v>1737</v>
      </c>
      <c r="R143" s="61"/>
      <c r="S143" s="61" t="s">
        <v>987</v>
      </c>
      <c r="T143" s="61"/>
      <c r="U143" s="61" t="s">
        <v>449</v>
      </c>
      <c r="V143" s="62" t="s">
        <v>157</v>
      </c>
      <c r="W143" s="62" t="s">
        <v>450</v>
      </c>
      <c r="X143" s="109" t="s">
        <v>25</v>
      </c>
      <c r="Y143" s="80"/>
      <c r="Z143" s="164"/>
      <c r="AA143" s="370">
        <f>AVERAGE(AA144:AA153)</f>
        <v>204.39666375517598</v>
      </c>
      <c r="AB143" s="92">
        <f>AVERAGE(AB144:AB150)</f>
        <v>9.6925867783010641E-2</v>
      </c>
      <c r="AC143" s="1452">
        <f>AVERAGE(AC144:AC153)</f>
        <v>0.67504181754553616</v>
      </c>
      <c r="AD143" s="109" t="s">
        <v>650</v>
      </c>
      <c r="AE143" s="193"/>
      <c r="AF143" s="196">
        <f>AVERAGE(AF144:AF153)</f>
        <v>186.72007132916224</v>
      </c>
      <c r="AG143" s="6" t="s">
        <v>722</v>
      </c>
    </row>
    <row r="144" spans="1:33" x14ac:dyDescent="0.2">
      <c r="A144" s="182" t="s">
        <v>26</v>
      </c>
      <c r="B144" s="17" t="s">
        <v>702</v>
      </c>
      <c r="C144" s="230" t="s">
        <v>697</v>
      </c>
      <c r="D144" s="213" t="s">
        <v>704</v>
      </c>
      <c r="E144" s="41" t="s">
        <v>593</v>
      </c>
      <c r="F144" s="18" t="s">
        <v>997</v>
      </c>
      <c r="G144" s="124">
        <v>1040</v>
      </c>
      <c r="H144" s="124">
        <v>29</v>
      </c>
      <c r="I144" s="162">
        <v>368</v>
      </c>
      <c r="J144" s="138"/>
      <c r="K144" s="20"/>
      <c r="L144" s="456">
        <f t="shared" ref="L144:L153" si="61">10*X144/1000</f>
        <v>29.04</v>
      </c>
      <c r="M144" s="457">
        <f t="shared" ref="M144:M153" si="62">26.5*X144/1000</f>
        <v>76.956000000000003</v>
      </c>
      <c r="N144" s="65">
        <f t="shared" ref="N144:N161" si="63">IF(AND(G144&lt;&gt;"",M144&lt;&gt;""),1000*M144/G144,"")</f>
        <v>73.996153846153845</v>
      </c>
      <c r="O144" s="65"/>
      <c r="P144" s="65">
        <v>2</v>
      </c>
      <c r="Q144" s="65">
        <v>384</v>
      </c>
      <c r="R144" s="65">
        <v>3</v>
      </c>
      <c r="S144" s="65">
        <v>28</v>
      </c>
      <c r="T144" s="65">
        <v>368</v>
      </c>
      <c r="U144" s="65">
        <v>1452</v>
      </c>
      <c r="V144" s="65">
        <v>462</v>
      </c>
      <c r="W144" s="65">
        <v>16</v>
      </c>
      <c r="X144" s="110">
        <v>2904</v>
      </c>
      <c r="Y144" s="81"/>
      <c r="Z144" s="141"/>
      <c r="AA144" s="378">
        <f t="shared" ref="AA144:AA153" si="64">500*M144/Q144</f>
        <v>100.203125</v>
      </c>
      <c r="AB144" s="54">
        <f t="shared" ref="AB144:AB153" si="65">L144/V144</f>
        <v>6.2857142857142861E-2</v>
      </c>
      <c r="AC144" s="281">
        <f t="shared" ref="AC144:AC153" si="66">T144/V144</f>
        <v>0.79653679653679654</v>
      </c>
      <c r="AD144" s="191">
        <f t="shared" ref="AD144:AD153" si="67">(U144*640+V144*9216+W144*147456)/1000000</f>
        <v>7.5463680000000002</v>
      </c>
      <c r="AE144" s="17">
        <v>52</v>
      </c>
      <c r="AF144" s="198">
        <f>(AE144*1000000-V144*36*256)/(5000*L144)</f>
        <v>328.80308539944906</v>
      </c>
      <c r="AG144" s="6" t="s">
        <v>709</v>
      </c>
    </row>
    <row r="145" spans="1:33" x14ac:dyDescent="0.2">
      <c r="A145" s="182" t="s">
        <v>26</v>
      </c>
      <c r="B145" s="17" t="s">
        <v>702</v>
      </c>
      <c r="C145" s="230" t="s">
        <v>697</v>
      </c>
      <c r="D145" s="213" t="s">
        <v>704</v>
      </c>
      <c r="E145" s="17" t="s">
        <v>585</v>
      </c>
      <c r="F145" s="18" t="s">
        <v>1000</v>
      </c>
      <c r="G145" s="124">
        <v>2580</v>
      </c>
      <c r="H145" s="124">
        <v>29</v>
      </c>
      <c r="I145" s="162">
        <v>368</v>
      </c>
      <c r="J145" s="138"/>
      <c r="K145" s="20"/>
      <c r="L145" s="456">
        <f t="shared" si="61"/>
        <v>42.24</v>
      </c>
      <c r="M145" s="457">
        <f t="shared" si="62"/>
        <v>111.93600000000001</v>
      </c>
      <c r="N145" s="65">
        <f t="shared" si="63"/>
        <v>43.38604651162791</v>
      </c>
      <c r="O145" s="65"/>
      <c r="P145" s="65">
        <v>2</v>
      </c>
      <c r="Q145" s="65">
        <v>512</v>
      </c>
      <c r="R145" s="65">
        <v>4</v>
      </c>
      <c r="S145" s="65">
        <v>56</v>
      </c>
      <c r="T145" s="65">
        <v>480</v>
      </c>
      <c r="U145" s="151">
        <v>2112</v>
      </c>
      <c r="V145" s="65">
        <v>660</v>
      </c>
      <c r="W145" s="65">
        <v>16</v>
      </c>
      <c r="X145" s="110">
        <v>4224</v>
      </c>
      <c r="Y145" s="81"/>
      <c r="Z145" s="141"/>
      <c r="AA145" s="378">
        <f t="shared" si="64"/>
        <v>109.3125</v>
      </c>
      <c r="AB145" s="54">
        <f t="shared" si="65"/>
        <v>6.4000000000000001E-2</v>
      </c>
      <c r="AC145" s="281">
        <f t="shared" si="66"/>
        <v>0.72727272727272729</v>
      </c>
      <c r="AD145" s="191">
        <f t="shared" si="67"/>
        <v>9.7935359999999996</v>
      </c>
      <c r="AE145" s="17">
        <v>52</v>
      </c>
      <c r="AF145" s="198">
        <f>(AE145*1000000-V145*36*256)/(5000*L145)</f>
        <v>217.41212121212121</v>
      </c>
      <c r="AG145" s="492" t="s">
        <v>1552</v>
      </c>
    </row>
    <row r="146" spans="1:33" x14ac:dyDescent="0.2">
      <c r="A146" s="182" t="s">
        <v>26</v>
      </c>
      <c r="B146" s="17" t="s">
        <v>702</v>
      </c>
      <c r="C146" s="230" t="s">
        <v>697</v>
      </c>
      <c r="D146" s="213" t="s">
        <v>704</v>
      </c>
      <c r="E146" s="17" t="s">
        <v>999</v>
      </c>
      <c r="F146" s="18" t="s">
        <v>1000</v>
      </c>
      <c r="G146" s="124">
        <v>3770</v>
      </c>
      <c r="H146" s="124">
        <v>29</v>
      </c>
      <c r="I146" s="162">
        <v>368</v>
      </c>
      <c r="J146" s="138"/>
      <c r="K146" s="20"/>
      <c r="L146" s="456">
        <f t="shared" si="61"/>
        <v>70.3</v>
      </c>
      <c r="M146" s="457">
        <f t="shared" si="62"/>
        <v>186.29499999999999</v>
      </c>
      <c r="N146" s="65">
        <f t="shared" si="63"/>
        <v>49.415119363395227</v>
      </c>
      <c r="O146" s="65"/>
      <c r="P146" s="65">
        <v>2</v>
      </c>
      <c r="Q146" s="65">
        <v>920</v>
      </c>
      <c r="R146" s="65">
        <v>8</v>
      </c>
      <c r="S146" s="65">
        <v>36</v>
      </c>
      <c r="T146" s="65">
        <v>744</v>
      </c>
      <c r="U146" s="151">
        <f>X146/2</f>
        <v>3515</v>
      </c>
      <c r="V146" s="65">
        <v>950</v>
      </c>
      <c r="W146" s="65">
        <v>20</v>
      </c>
      <c r="X146" s="110">
        <v>7030</v>
      </c>
      <c r="Y146" s="81"/>
      <c r="Z146" s="141"/>
      <c r="AA146" s="378">
        <f t="shared" si="64"/>
        <v>101.24728260869566</v>
      </c>
      <c r="AB146" s="54">
        <f t="shared" si="65"/>
        <v>7.3999999999999996E-2</v>
      </c>
      <c r="AC146" s="281">
        <f t="shared" si="66"/>
        <v>0.78315789473684205</v>
      </c>
      <c r="AD146" s="191">
        <f t="shared" si="67"/>
        <v>13.95392</v>
      </c>
      <c r="AE146" s="17"/>
      <c r="AF146" s="198">
        <f>(AE146*1000000-V146*36*256)/(5000*L146)</f>
        <v>-24.908108108108109</v>
      </c>
      <c r="AG146" s="6" t="s">
        <v>723</v>
      </c>
    </row>
    <row r="147" spans="1:33" x14ac:dyDescent="0.2">
      <c r="A147" s="182" t="s">
        <v>26</v>
      </c>
      <c r="B147" s="17" t="s">
        <v>702</v>
      </c>
      <c r="C147" s="230" t="s">
        <v>697</v>
      </c>
      <c r="D147" s="213" t="s">
        <v>704</v>
      </c>
      <c r="E147" s="17" t="s">
        <v>1964</v>
      </c>
      <c r="F147" s="18" t="s">
        <v>1005</v>
      </c>
      <c r="G147" s="124">
        <v>4200</v>
      </c>
      <c r="H147" s="124">
        <v>29</v>
      </c>
      <c r="I147" s="162">
        <v>480</v>
      </c>
      <c r="J147" s="138"/>
      <c r="K147" s="20"/>
      <c r="L147" s="456">
        <f t="shared" si="61"/>
        <v>91.2</v>
      </c>
      <c r="M147" s="457">
        <f>26.5*X147/1000</f>
        <v>241.68</v>
      </c>
      <c r="N147" s="65">
        <f>IF(AND(G147&lt;&gt;"",M147&lt;&gt;""),1000*M147/G147,"")</f>
        <v>57.542857142857144</v>
      </c>
      <c r="O147" s="65"/>
      <c r="P147" s="65">
        <v>3</v>
      </c>
      <c r="Q147" s="65">
        <v>1288</v>
      </c>
      <c r="R147" s="65">
        <v>4</v>
      </c>
      <c r="S147" s="65">
        <v>56</v>
      </c>
      <c r="T147" s="65">
        <v>480</v>
      </c>
      <c r="U147" s="151">
        <f>1000*L147/40</f>
        <v>2280</v>
      </c>
      <c r="V147" s="65">
        <v>1235</v>
      </c>
      <c r="W147" s="65">
        <v>22</v>
      </c>
      <c r="X147" s="110">
        <v>9120</v>
      </c>
      <c r="Y147" s="81"/>
      <c r="Z147" s="141"/>
      <c r="AA147" s="378">
        <f>500*M147/Q147</f>
        <v>93.81987577639751</v>
      </c>
      <c r="AB147" s="54">
        <f>L147/V147</f>
        <v>7.3846153846153853E-2</v>
      </c>
      <c r="AC147" s="281">
        <f>T147/V147</f>
        <v>0.38866396761133604</v>
      </c>
      <c r="AD147" s="191">
        <f>(U147*640+V147*9216+W147*147456)/1000000</f>
        <v>16.084992</v>
      </c>
      <c r="AE147" s="17"/>
      <c r="AF147" s="198"/>
    </row>
    <row r="148" spans="1:33" x14ac:dyDescent="0.2">
      <c r="A148" s="182" t="s">
        <v>26</v>
      </c>
      <c r="B148" s="17" t="s">
        <v>702</v>
      </c>
      <c r="C148" s="230" t="s">
        <v>697</v>
      </c>
      <c r="D148" s="213" t="s">
        <v>708</v>
      </c>
      <c r="E148" s="17" t="s">
        <v>586</v>
      </c>
      <c r="F148" s="18" t="s">
        <v>998</v>
      </c>
      <c r="G148" s="124">
        <v>6990</v>
      </c>
      <c r="H148" s="124">
        <v>33</v>
      </c>
      <c r="I148" s="162">
        <v>288</v>
      </c>
      <c r="J148" s="138"/>
      <c r="K148" s="20"/>
      <c r="L148" s="456">
        <f t="shared" si="61"/>
        <v>116.48</v>
      </c>
      <c r="M148" s="457">
        <f t="shared" si="62"/>
        <v>308.67200000000003</v>
      </c>
      <c r="N148" s="65">
        <f t="shared" si="63"/>
        <v>44.15908440629471</v>
      </c>
      <c r="O148" s="65"/>
      <c r="P148" s="65">
        <v>4</v>
      </c>
      <c r="Q148" s="65">
        <v>832</v>
      </c>
      <c r="R148" s="65">
        <v>12</v>
      </c>
      <c r="S148" s="65">
        <v>88</v>
      </c>
      <c r="T148" s="65">
        <v>864</v>
      </c>
      <c r="U148" s="151">
        <v>5824</v>
      </c>
      <c r="V148" s="65">
        <v>936</v>
      </c>
      <c r="W148" s="65">
        <v>36</v>
      </c>
      <c r="X148" s="110">
        <v>11648</v>
      </c>
      <c r="Y148" s="81"/>
      <c r="Z148" s="141"/>
      <c r="AA148" s="378">
        <f t="shared" si="64"/>
        <v>185.5</v>
      </c>
      <c r="AB148" s="54">
        <f t="shared" si="65"/>
        <v>0.12444444444444445</v>
      </c>
      <c r="AC148" s="281">
        <f t="shared" si="66"/>
        <v>0.92307692307692313</v>
      </c>
      <c r="AD148" s="191">
        <f t="shared" si="67"/>
        <v>17.661951999999999</v>
      </c>
      <c r="AE148" s="17">
        <v>140</v>
      </c>
      <c r="AF148" s="198">
        <f>(AE148*1000000-V148*36*256)/(5000*L148)</f>
        <v>225.57318681318682</v>
      </c>
    </row>
    <row r="149" spans="1:33" x14ac:dyDescent="0.2">
      <c r="A149" s="182" t="s">
        <v>26</v>
      </c>
      <c r="B149" s="17" t="s">
        <v>702</v>
      </c>
      <c r="C149" s="230" t="s">
        <v>697</v>
      </c>
      <c r="D149" s="213" t="s">
        <v>708</v>
      </c>
      <c r="E149" s="17" t="s">
        <v>1965</v>
      </c>
      <c r="F149" s="18" t="s">
        <v>1004</v>
      </c>
      <c r="G149" s="124">
        <v>5710</v>
      </c>
      <c r="H149" s="124">
        <v>29</v>
      </c>
      <c r="I149" s="162">
        <v>736</v>
      </c>
      <c r="J149" s="138"/>
      <c r="K149" s="20"/>
      <c r="L149" s="456">
        <f t="shared" si="61"/>
        <v>141.44</v>
      </c>
      <c r="M149" s="457">
        <f t="shared" si="62"/>
        <v>374.81599999999997</v>
      </c>
      <c r="N149" s="65">
        <f t="shared" si="63"/>
        <v>65.642031523642729</v>
      </c>
      <c r="O149" s="65"/>
      <c r="P149" s="65">
        <v>4</v>
      </c>
      <c r="Q149" s="65">
        <v>1040</v>
      </c>
      <c r="R149" s="65">
        <v>12</v>
      </c>
      <c r="S149" s="65">
        <v>88</v>
      </c>
      <c r="T149" s="65">
        <v>864</v>
      </c>
      <c r="U149" s="151">
        <f>1000*L149/40</f>
        <v>3536</v>
      </c>
      <c r="V149" s="65">
        <v>1248</v>
      </c>
      <c r="W149" s="65">
        <v>48</v>
      </c>
      <c r="X149" s="110">
        <v>14144</v>
      </c>
      <c r="Y149" s="81"/>
      <c r="Z149" s="141"/>
      <c r="AA149" s="378">
        <f t="shared" si="64"/>
        <v>180.2</v>
      </c>
      <c r="AB149" s="54">
        <f t="shared" si="65"/>
        <v>0.11333333333333333</v>
      </c>
      <c r="AC149" s="281">
        <f t="shared" si="66"/>
        <v>0.69230769230769229</v>
      </c>
      <c r="AD149" s="191">
        <f t="shared" si="67"/>
        <v>20.842496000000001</v>
      </c>
      <c r="AE149" s="17"/>
      <c r="AF149" s="198"/>
    </row>
    <row r="150" spans="1:33" x14ac:dyDescent="0.2">
      <c r="A150" s="182" t="s">
        <v>26</v>
      </c>
      <c r="B150" s="17" t="s">
        <v>702</v>
      </c>
      <c r="C150" s="230" t="s">
        <v>697</v>
      </c>
      <c r="D150" s="213" t="s">
        <v>708</v>
      </c>
      <c r="E150" s="17" t="s">
        <v>1966</v>
      </c>
      <c r="F150" s="18" t="s">
        <v>1003</v>
      </c>
      <c r="G150" s="124">
        <v>6630</v>
      </c>
      <c r="H150" s="124">
        <v>35</v>
      </c>
      <c r="I150" s="162">
        <v>736</v>
      </c>
      <c r="J150" s="138"/>
      <c r="K150" s="20"/>
      <c r="L150" s="456">
        <f t="shared" si="61"/>
        <v>212.48</v>
      </c>
      <c r="M150" s="457">
        <f t="shared" si="62"/>
        <v>563.072</v>
      </c>
      <c r="N150" s="65">
        <f t="shared" si="63"/>
        <v>84.927903469079936</v>
      </c>
      <c r="O150" s="65"/>
      <c r="P150" s="65">
        <v>6</v>
      </c>
      <c r="Q150" s="65">
        <v>1024</v>
      </c>
      <c r="R150" s="65">
        <v>12</v>
      </c>
      <c r="S150" s="65">
        <v>112</v>
      </c>
      <c r="T150" s="65">
        <v>960</v>
      </c>
      <c r="U150" s="151">
        <f>1000*L150/40</f>
        <v>5312</v>
      </c>
      <c r="V150" s="65">
        <v>1280</v>
      </c>
      <c r="W150" s="65">
        <v>64</v>
      </c>
      <c r="X150" s="110">
        <v>21248</v>
      </c>
      <c r="Y150" s="81"/>
      <c r="Z150" s="141"/>
      <c r="AA150" s="378">
        <f t="shared" si="64"/>
        <v>274.9375</v>
      </c>
      <c r="AB150" s="54">
        <f t="shared" si="65"/>
        <v>0.16599999999999998</v>
      </c>
      <c r="AC150" s="281">
        <f t="shared" si="66"/>
        <v>0.75</v>
      </c>
      <c r="AD150" s="191">
        <f t="shared" si="67"/>
        <v>24.633344000000001</v>
      </c>
      <c r="AE150" s="17"/>
      <c r="AF150" s="198"/>
    </row>
    <row r="151" spans="1:33" x14ac:dyDescent="0.2">
      <c r="A151" s="182" t="s">
        <v>26</v>
      </c>
      <c r="B151" s="17" t="s">
        <v>702</v>
      </c>
      <c r="C151" s="230" t="s">
        <v>697</v>
      </c>
      <c r="D151" s="213" t="s">
        <v>708</v>
      </c>
      <c r="E151" s="17" t="s">
        <v>1001</v>
      </c>
      <c r="F151" s="18" t="s">
        <v>1002</v>
      </c>
      <c r="G151" s="124">
        <v>9343</v>
      </c>
      <c r="H151" s="124">
        <v>35</v>
      </c>
      <c r="I151" s="162">
        <v>736</v>
      </c>
      <c r="J151" s="138"/>
      <c r="K151" s="20"/>
      <c r="L151" s="456">
        <f t="shared" si="61"/>
        <v>325.22000000000003</v>
      </c>
      <c r="M151" s="457">
        <f t="shared" si="62"/>
        <v>861.83299999999997</v>
      </c>
      <c r="N151" s="65">
        <f t="shared" si="63"/>
        <v>92.243711869849079</v>
      </c>
      <c r="O151" s="65"/>
      <c r="P151" s="65"/>
      <c r="Q151" s="65">
        <v>960</v>
      </c>
      <c r="R151" s="65">
        <v>12</v>
      </c>
      <c r="S151" s="65">
        <v>132</v>
      </c>
      <c r="T151" s="65">
        <v>1120</v>
      </c>
      <c r="U151" s="151">
        <f>X151/2</f>
        <v>16261</v>
      </c>
      <c r="V151" s="65">
        <v>1610</v>
      </c>
      <c r="W151" s="65">
        <v>60</v>
      </c>
      <c r="X151" s="110">
        <v>32522</v>
      </c>
      <c r="Y151" s="81"/>
      <c r="Z151" s="141"/>
      <c r="AA151" s="378">
        <f t="shared" si="64"/>
        <v>448.87135416666666</v>
      </c>
      <c r="AB151" s="54">
        <f t="shared" si="65"/>
        <v>0.20200000000000001</v>
      </c>
      <c r="AC151" s="281">
        <f t="shared" si="66"/>
        <v>0.69565217391304346</v>
      </c>
      <c r="AD151" s="191">
        <f t="shared" si="67"/>
        <v>34.09216</v>
      </c>
      <c r="AE151" s="17"/>
      <c r="AF151" s="198"/>
    </row>
    <row r="152" spans="1:33" x14ac:dyDescent="0.2">
      <c r="A152" s="182" t="s">
        <v>26</v>
      </c>
      <c r="B152" s="17" t="s">
        <v>702</v>
      </c>
      <c r="C152" s="230" t="s">
        <v>697</v>
      </c>
      <c r="D152" s="213" t="s">
        <v>708</v>
      </c>
      <c r="E152" s="17" t="s">
        <v>825</v>
      </c>
      <c r="F152" s="18" t="s">
        <v>1006</v>
      </c>
      <c r="G152" s="124">
        <v>9020</v>
      </c>
      <c r="H152" s="124">
        <v>40</v>
      </c>
      <c r="I152" s="162">
        <v>636</v>
      </c>
      <c r="J152" s="138"/>
      <c r="K152" s="20"/>
      <c r="L152" s="456">
        <f t="shared" si="61"/>
        <v>212.48</v>
      </c>
      <c r="M152" s="457">
        <f t="shared" si="62"/>
        <v>563.072</v>
      </c>
      <c r="N152" s="65">
        <f t="shared" si="63"/>
        <v>62.424833702882481</v>
      </c>
      <c r="O152" s="64"/>
      <c r="P152" s="65">
        <v>2</v>
      </c>
      <c r="Q152" s="65">
        <v>1024</v>
      </c>
      <c r="R152" s="65">
        <v>12</v>
      </c>
      <c r="S152" s="65">
        <v>36</v>
      </c>
      <c r="T152" s="65">
        <v>636</v>
      </c>
      <c r="U152" s="151">
        <f>1000*L152/40</f>
        <v>5312</v>
      </c>
      <c r="V152" s="65">
        <v>1280</v>
      </c>
      <c r="W152" s="65">
        <v>64</v>
      </c>
      <c r="X152" s="110">
        <v>21248</v>
      </c>
      <c r="Y152" s="81"/>
      <c r="Z152" s="141"/>
      <c r="AA152" s="378">
        <f t="shared" si="64"/>
        <v>274.9375</v>
      </c>
      <c r="AB152" s="54">
        <f t="shared" si="65"/>
        <v>0.16599999999999998</v>
      </c>
      <c r="AC152" s="281">
        <f t="shared" si="66"/>
        <v>0.49687500000000001</v>
      </c>
      <c r="AD152" s="191">
        <f t="shared" si="67"/>
        <v>24.633344000000001</v>
      </c>
      <c r="AE152" s="188"/>
      <c r="AF152" s="198"/>
      <c r="AG152" s="6" t="s">
        <v>828</v>
      </c>
    </row>
    <row r="153" spans="1:33" ht="13.5" thickBot="1" x14ac:dyDescent="0.25">
      <c r="A153" s="182" t="s">
        <v>26</v>
      </c>
      <c r="B153" s="21" t="s">
        <v>702</v>
      </c>
      <c r="C153" s="232" t="s">
        <v>697</v>
      </c>
      <c r="D153" s="214" t="s">
        <v>708</v>
      </c>
      <c r="E153" s="21" t="s">
        <v>826</v>
      </c>
      <c r="F153" s="22" t="s">
        <v>1006</v>
      </c>
      <c r="G153" s="125">
        <v>11270</v>
      </c>
      <c r="H153" s="125">
        <v>40</v>
      </c>
      <c r="I153" s="163">
        <v>636</v>
      </c>
      <c r="J153" s="150"/>
      <c r="K153" s="24"/>
      <c r="L153" s="456">
        <f t="shared" si="61"/>
        <v>212.48</v>
      </c>
      <c r="M153" s="457">
        <f t="shared" si="62"/>
        <v>563.072</v>
      </c>
      <c r="N153" s="65">
        <f t="shared" si="63"/>
        <v>49.962023070097601</v>
      </c>
      <c r="O153" s="64"/>
      <c r="P153" s="65">
        <v>2</v>
      </c>
      <c r="Q153" s="65">
        <v>1024</v>
      </c>
      <c r="R153" s="65">
        <v>12</v>
      </c>
      <c r="S153" s="65">
        <v>36</v>
      </c>
      <c r="T153" s="65">
        <v>636</v>
      </c>
      <c r="U153" s="151">
        <f>1000*L153/40</f>
        <v>5312</v>
      </c>
      <c r="V153" s="65">
        <v>1280</v>
      </c>
      <c r="W153" s="65">
        <v>64</v>
      </c>
      <c r="X153" s="110">
        <v>21248</v>
      </c>
      <c r="Y153" s="82"/>
      <c r="Z153" s="142"/>
      <c r="AA153" s="378">
        <f t="shared" si="64"/>
        <v>274.9375</v>
      </c>
      <c r="AB153" s="55">
        <f t="shared" si="65"/>
        <v>0.16599999999999998</v>
      </c>
      <c r="AC153" s="294">
        <f t="shared" si="66"/>
        <v>0.49687500000000001</v>
      </c>
      <c r="AD153" s="192">
        <f t="shared" si="67"/>
        <v>24.633344000000001</v>
      </c>
      <c r="AE153" s="222"/>
      <c r="AF153" s="220"/>
      <c r="AG153" s="6" t="s">
        <v>827</v>
      </c>
    </row>
    <row r="154" spans="1:33" x14ac:dyDescent="0.2">
      <c r="A154" s="182"/>
      <c r="B154" s="48" t="s">
        <v>717</v>
      </c>
      <c r="C154" s="226"/>
      <c r="D154" s="212"/>
      <c r="E154" s="12" t="s">
        <v>1409</v>
      </c>
      <c r="F154" s="466" t="s">
        <v>1013</v>
      </c>
      <c r="G154" s="14" t="s">
        <v>22</v>
      </c>
      <c r="H154" s="132" t="s">
        <v>525</v>
      </c>
      <c r="I154" s="147"/>
      <c r="J154" s="145"/>
      <c r="K154" s="16" t="s">
        <v>22</v>
      </c>
      <c r="L154" s="244" t="s">
        <v>23</v>
      </c>
      <c r="M154" s="60"/>
      <c r="N154" s="385">
        <f>AVERAGE(N158:N161)</f>
        <v>87.872353418297422</v>
      </c>
      <c r="O154" s="61"/>
      <c r="P154" s="61"/>
      <c r="Q154" s="61"/>
      <c r="R154" s="61"/>
      <c r="S154" s="61"/>
      <c r="T154" s="61"/>
      <c r="U154" s="61"/>
      <c r="V154" s="62"/>
      <c r="W154" s="61" t="s">
        <v>66</v>
      </c>
      <c r="X154" s="109" t="s">
        <v>25</v>
      </c>
      <c r="Y154" s="80" t="s">
        <v>65</v>
      </c>
      <c r="Z154" s="164"/>
      <c r="AA154" s="373"/>
      <c r="AB154" s="92"/>
      <c r="AC154" s="98"/>
      <c r="AD154" s="109" t="s">
        <v>66</v>
      </c>
      <c r="AE154" s="193"/>
      <c r="AF154" s="212"/>
      <c r="AG154" s="516" t="s">
        <v>1417</v>
      </c>
    </row>
    <row r="155" spans="1:33" x14ac:dyDescent="0.2">
      <c r="A155" s="182" t="s">
        <v>26</v>
      </c>
      <c r="B155" s="41" t="s">
        <v>701</v>
      </c>
      <c r="C155" s="296"/>
      <c r="D155" s="300" t="s">
        <v>708</v>
      </c>
      <c r="E155" s="1003" t="s">
        <v>1410</v>
      </c>
      <c r="F155" s="304" t="s">
        <v>1418</v>
      </c>
      <c r="G155" s="38">
        <v>0.9</v>
      </c>
      <c r="H155" s="129">
        <v>4.5</v>
      </c>
      <c r="I155" s="1002">
        <v>30</v>
      </c>
      <c r="J155" s="483"/>
      <c r="K155" s="39"/>
      <c r="L155" s="455">
        <f t="shared" ref="L155:L161" si="68">X155/100</f>
        <v>0.04</v>
      </c>
      <c r="M155" s="452">
        <f>X155/100</f>
        <v>0.04</v>
      </c>
      <c r="N155" s="65">
        <f t="shared" si="63"/>
        <v>44.444444444444443</v>
      </c>
      <c r="O155" s="71"/>
      <c r="P155" s="71"/>
      <c r="Q155" s="71"/>
      <c r="R155" s="1004" t="s">
        <v>1422</v>
      </c>
      <c r="S155" s="71"/>
      <c r="T155" s="71">
        <v>54</v>
      </c>
      <c r="U155" s="71"/>
      <c r="V155" s="77"/>
      <c r="W155" s="71"/>
      <c r="X155" s="117">
        <v>4</v>
      </c>
      <c r="Y155" s="89"/>
      <c r="Z155" s="172"/>
      <c r="AA155" s="375"/>
      <c r="AB155" s="95"/>
      <c r="AC155" s="107"/>
      <c r="AD155" s="110">
        <v>8192</v>
      </c>
      <c r="AE155" s="17"/>
      <c r="AF155" s="213"/>
      <c r="AG155" s="236"/>
    </row>
    <row r="156" spans="1:33" x14ac:dyDescent="0.2">
      <c r="A156" s="182" t="s">
        <v>26</v>
      </c>
      <c r="B156" s="41" t="s">
        <v>701</v>
      </c>
      <c r="C156" s="296"/>
      <c r="D156" s="470" t="s">
        <v>702</v>
      </c>
      <c r="E156" s="1003" t="s">
        <v>1411</v>
      </c>
      <c r="F156" s="304" t="s">
        <v>1418</v>
      </c>
      <c r="G156" s="38">
        <v>1.7</v>
      </c>
      <c r="H156" s="129">
        <v>4.5</v>
      </c>
      <c r="I156" s="1002">
        <v>30</v>
      </c>
      <c r="J156" s="483"/>
      <c r="K156" s="39"/>
      <c r="L156" s="455">
        <f t="shared" si="68"/>
        <v>0.08</v>
      </c>
      <c r="M156" s="452">
        <f t="shared" ref="M156:M161" si="69">X156/100</f>
        <v>0.08</v>
      </c>
      <c r="N156" s="65">
        <f t="shared" si="63"/>
        <v>47.058823529411768</v>
      </c>
      <c r="O156" s="71"/>
      <c r="P156" s="71"/>
      <c r="Q156" s="71"/>
      <c r="R156" s="1004" t="s">
        <v>1422</v>
      </c>
      <c r="S156" s="71"/>
      <c r="T156" s="71">
        <v>79</v>
      </c>
      <c r="U156" s="71"/>
      <c r="V156" s="77"/>
      <c r="W156" s="71"/>
      <c r="X156" s="117">
        <v>8</v>
      </c>
      <c r="Y156" s="89"/>
      <c r="Z156" s="172"/>
      <c r="AA156" s="375"/>
      <c r="AB156" s="95"/>
      <c r="AC156" s="107"/>
      <c r="AD156" s="110">
        <v>8192</v>
      </c>
      <c r="AE156" s="17"/>
      <c r="AF156" s="213"/>
      <c r="AG156" s="236"/>
    </row>
    <row r="157" spans="1:33" x14ac:dyDescent="0.2">
      <c r="A157" s="182" t="s">
        <v>26</v>
      </c>
      <c r="B157" s="41" t="s">
        <v>701</v>
      </c>
      <c r="C157" s="296"/>
      <c r="D157" s="470" t="s">
        <v>702</v>
      </c>
      <c r="E157" s="1003" t="s">
        <v>1416</v>
      </c>
      <c r="F157" s="304" t="s">
        <v>1418</v>
      </c>
      <c r="G157" s="38">
        <v>3.5</v>
      </c>
      <c r="H157" s="129">
        <v>5</v>
      </c>
      <c r="I157" s="1002">
        <v>52</v>
      </c>
      <c r="J157" s="483"/>
      <c r="K157" s="39"/>
      <c r="L157" s="455">
        <f t="shared" si="68"/>
        <v>0.16</v>
      </c>
      <c r="M157" s="452">
        <f t="shared" si="69"/>
        <v>0.16</v>
      </c>
      <c r="N157" s="65">
        <f t="shared" si="63"/>
        <v>45.714285714285715</v>
      </c>
      <c r="O157" s="71"/>
      <c r="P157" s="71"/>
      <c r="Q157" s="71"/>
      <c r="R157" s="1004" t="s">
        <v>1422</v>
      </c>
      <c r="S157" s="71"/>
      <c r="T157" s="71">
        <v>79</v>
      </c>
      <c r="U157" s="71"/>
      <c r="V157" s="77"/>
      <c r="W157" s="71"/>
      <c r="X157" s="117">
        <v>16</v>
      </c>
      <c r="Y157" s="89"/>
      <c r="Z157" s="172"/>
      <c r="AA157" s="375"/>
      <c r="AB157" s="95"/>
      <c r="AC157" s="107"/>
      <c r="AD157" s="110">
        <v>8192</v>
      </c>
      <c r="AE157" s="17"/>
      <c r="AF157" s="213"/>
      <c r="AG157" s="236"/>
    </row>
    <row r="158" spans="1:33" x14ac:dyDescent="0.2">
      <c r="A158" s="182" t="s">
        <v>26</v>
      </c>
      <c r="B158" s="41" t="s">
        <v>701</v>
      </c>
      <c r="C158" s="227"/>
      <c r="D158" s="213" t="s">
        <v>708</v>
      </c>
      <c r="E158" s="134" t="s">
        <v>1412</v>
      </c>
      <c r="F158" s="45" t="s">
        <v>1419</v>
      </c>
      <c r="G158" s="19">
        <v>4.9000000000000004</v>
      </c>
      <c r="H158" s="124">
        <v>5</v>
      </c>
      <c r="I158" s="148">
        <v>52</v>
      </c>
      <c r="J158" s="138" t="s">
        <v>67</v>
      </c>
      <c r="K158" s="20">
        <v>11.9</v>
      </c>
      <c r="L158" s="455">
        <f t="shared" si="68"/>
        <v>0.24</v>
      </c>
      <c r="M158" s="452">
        <f t="shared" si="69"/>
        <v>0.24</v>
      </c>
      <c r="N158" s="65">
        <f t="shared" si="63"/>
        <v>48.979591836734691</v>
      </c>
      <c r="O158" s="65">
        <f>IF(AND(G158&lt;&gt;"",L158&lt;&gt;""),L158/G158,"")</f>
        <v>4.8979591836734691E-2</v>
      </c>
      <c r="P158" s="65"/>
      <c r="Q158" s="65"/>
      <c r="R158" s="1004" t="s">
        <v>1422</v>
      </c>
      <c r="S158" s="65"/>
      <c r="T158" s="65">
        <v>114</v>
      </c>
      <c r="U158" s="65"/>
      <c r="V158" s="65"/>
      <c r="W158" s="65"/>
      <c r="X158" s="110">
        <v>24</v>
      </c>
      <c r="Y158" s="81"/>
      <c r="Z158" s="141" t="str">
        <f>IF(AND(L158&lt;&gt;"",Y158&lt;&gt;""),1000*L158/Y158,"")</f>
        <v/>
      </c>
      <c r="AA158" s="371"/>
      <c r="AB158" s="54"/>
      <c r="AC158" s="99"/>
      <c r="AD158" s="110">
        <v>8192</v>
      </c>
      <c r="AE158" s="17"/>
      <c r="AF158" s="213"/>
      <c r="AG158" s="236"/>
    </row>
    <row r="159" spans="1:33" x14ac:dyDescent="0.2">
      <c r="A159" s="182" t="s">
        <v>26</v>
      </c>
      <c r="B159" s="41" t="s">
        <v>701</v>
      </c>
      <c r="C159" s="227"/>
      <c r="D159" s="213" t="s">
        <v>708</v>
      </c>
      <c r="E159" s="134" t="s">
        <v>1413</v>
      </c>
      <c r="F159" s="45" t="s">
        <v>1420</v>
      </c>
      <c r="G159" s="19">
        <v>7.5</v>
      </c>
      <c r="H159" s="124">
        <v>6</v>
      </c>
      <c r="I159" s="148">
        <v>74</v>
      </c>
      <c r="J159" s="138" t="s">
        <v>69</v>
      </c>
      <c r="K159" s="20">
        <v>43.3</v>
      </c>
      <c r="L159" s="455">
        <f t="shared" si="68"/>
        <v>0.56999999999999995</v>
      </c>
      <c r="M159" s="452">
        <f t="shared" si="69"/>
        <v>0.56999999999999995</v>
      </c>
      <c r="N159" s="65">
        <f t="shared" si="63"/>
        <v>76</v>
      </c>
      <c r="O159" s="65">
        <f>IF(AND(G159&lt;&gt;"",L159&lt;&gt;""),L159/G159,"")</f>
        <v>7.5999999999999998E-2</v>
      </c>
      <c r="P159" s="65"/>
      <c r="Q159" s="65"/>
      <c r="R159" s="1004" t="s">
        <v>1422</v>
      </c>
      <c r="S159" s="65"/>
      <c r="T159" s="65">
        <v>159</v>
      </c>
      <c r="U159" s="65"/>
      <c r="V159" s="65"/>
      <c r="W159" s="65"/>
      <c r="X159" s="110">
        <v>57</v>
      </c>
      <c r="Y159" s="81"/>
      <c r="Z159" s="141" t="str">
        <f>IF(AND(L159&lt;&gt;"",Y159&lt;&gt;""),1000*L159/Y159,"")</f>
        <v/>
      </c>
      <c r="AA159" s="371"/>
      <c r="AB159" s="54"/>
      <c r="AC159" s="99"/>
      <c r="AD159" s="110">
        <v>8192</v>
      </c>
      <c r="AE159" s="17"/>
      <c r="AF159" s="213"/>
      <c r="AG159" s="236"/>
    </row>
    <row r="160" spans="1:33" x14ac:dyDescent="0.2">
      <c r="A160" s="182" t="s">
        <v>26</v>
      </c>
      <c r="B160" s="41" t="s">
        <v>701</v>
      </c>
      <c r="C160" s="227"/>
      <c r="D160" s="229" t="s">
        <v>702</v>
      </c>
      <c r="E160" s="134" t="s">
        <v>1414</v>
      </c>
      <c r="F160" s="45" t="s">
        <v>1419</v>
      </c>
      <c r="G160" s="19">
        <v>11</v>
      </c>
      <c r="H160" s="124">
        <v>17</v>
      </c>
      <c r="I160" s="148">
        <v>114</v>
      </c>
      <c r="J160" s="138" t="s">
        <v>69</v>
      </c>
      <c r="K160" s="20">
        <v>60</v>
      </c>
      <c r="L160" s="455">
        <f t="shared" si="68"/>
        <v>1.27</v>
      </c>
      <c r="M160" s="452">
        <f t="shared" si="69"/>
        <v>1.27</v>
      </c>
      <c r="N160" s="65">
        <f t="shared" si="63"/>
        <v>115.45454545454545</v>
      </c>
      <c r="O160" s="65">
        <f>IF(AND(G160&lt;&gt;"",L160&lt;&gt;""),L160/G160,"")</f>
        <v>0.11545454545454546</v>
      </c>
      <c r="P160" s="65"/>
      <c r="Q160" s="65"/>
      <c r="R160" s="1004" t="s">
        <v>1422</v>
      </c>
      <c r="S160" s="65"/>
      <c r="T160" s="65">
        <v>271</v>
      </c>
      <c r="U160" s="65"/>
      <c r="V160" s="65"/>
      <c r="W160" s="65"/>
      <c r="X160" s="110">
        <v>127</v>
      </c>
      <c r="Y160" s="81"/>
      <c r="Z160" s="141" t="str">
        <f>IF(AND(L160&lt;&gt;"",Y160&lt;&gt;""),1000*L160/Y160,"")</f>
        <v/>
      </c>
      <c r="AA160" s="371"/>
      <c r="AB160" s="54"/>
      <c r="AC160" s="99"/>
      <c r="AD160" s="110">
        <v>8192</v>
      </c>
      <c r="AE160" s="17"/>
      <c r="AF160" s="213"/>
      <c r="AG160" s="236"/>
    </row>
    <row r="161" spans="1:33" ht="12.75" customHeight="1" thickBot="1" x14ac:dyDescent="0.25">
      <c r="A161" s="182" t="s">
        <v>26</v>
      </c>
      <c r="B161" s="33" t="s">
        <v>701</v>
      </c>
      <c r="C161" s="228"/>
      <c r="D161" s="213" t="s">
        <v>708</v>
      </c>
      <c r="E161" s="417" t="s">
        <v>1415</v>
      </c>
      <c r="F161" s="133" t="s">
        <v>1421</v>
      </c>
      <c r="G161" s="23">
        <v>19.899999999999999</v>
      </c>
      <c r="H161" s="125">
        <v>17</v>
      </c>
      <c r="I161" s="149">
        <v>203</v>
      </c>
      <c r="J161" s="150" t="s">
        <v>74</v>
      </c>
      <c r="K161" s="24">
        <v>92.8</v>
      </c>
      <c r="L161" s="455">
        <f t="shared" si="68"/>
        <v>2.21</v>
      </c>
      <c r="M161" s="452">
        <f t="shared" si="69"/>
        <v>2.21</v>
      </c>
      <c r="N161" s="65">
        <f t="shared" si="63"/>
        <v>111.05527638190955</v>
      </c>
      <c r="O161" s="68">
        <f>IF(AND(G161&lt;&gt;"",L161&lt;&gt;""),L161/G161,"")</f>
        <v>0.11105527638190955</v>
      </c>
      <c r="P161" s="68"/>
      <c r="Q161" s="68"/>
      <c r="R161" s="1004" t="s">
        <v>1422</v>
      </c>
      <c r="S161" s="68"/>
      <c r="T161" s="68">
        <v>271</v>
      </c>
      <c r="U161" s="68"/>
      <c r="V161" s="68"/>
      <c r="W161" s="68"/>
      <c r="X161" s="111">
        <v>221</v>
      </c>
      <c r="Y161" s="82"/>
      <c r="Z161" s="141" t="str">
        <f>IF(AND(L161&lt;&gt;"",Y161&lt;&gt;""),1000*L161/Y161,"")</f>
        <v/>
      </c>
      <c r="AA161" s="371"/>
      <c r="AB161" s="55"/>
      <c r="AC161" s="100"/>
      <c r="AD161" s="111">
        <v>8192</v>
      </c>
      <c r="AE161" s="21"/>
      <c r="AF161" s="214"/>
      <c r="AG161" s="236"/>
    </row>
    <row r="162" spans="1:33" x14ac:dyDescent="0.2">
      <c r="A162" s="182"/>
      <c r="B162" s="48" t="s">
        <v>717</v>
      </c>
      <c r="C162" s="226"/>
      <c r="D162" s="212"/>
      <c r="E162" s="12" t="s">
        <v>1041</v>
      </c>
      <c r="F162" s="466" t="s">
        <v>1018</v>
      </c>
      <c r="G162" s="14" t="s">
        <v>22</v>
      </c>
      <c r="H162" s="132" t="s">
        <v>513</v>
      </c>
      <c r="I162" s="161"/>
      <c r="J162" s="136"/>
      <c r="K162" s="16" t="s">
        <v>22</v>
      </c>
      <c r="L162" s="486" t="s">
        <v>1442</v>
      </c>
      <c r="M162" s="61" t="s">
        <v>989</v>
      </c>
      <c r="N162" s="380">
        <f>AVERAGE(N163:N172)</f>
        <v>829.36138217654275</v>
      </c>
      <c r="O162" s="61"/>
      <c r="P162" s="399" t="s">
        <v>1171</v>
      </c>
      <c r="Q162" s="61" t="s">
        <v>1737</v>
      </c>
      <c r="R162" s="61"/>
      <c r="S162" s="61" t="s">
        <v>1053</v>
      </c>
      <c r="T162" s="61"/>
      <c r="U162" s="61" t="s">
        <v>1047</v>
      </c>
      <c r="V162" s="468" t="s">
        <v>1048</v>
      </c>
      <c r="W162" s="61" t="s">
        <v>634</v>
      </c>
      <c r="X162" s="109" t="s">
        <v>25</v>
      </c>
      <c r="Y162" s="215"/>
      <c r="Z162" s="164"/>
      <c r="AA162" s="370">
        <f>AVERAGE(AA163:AA172)</f>
        <v>391.65772260291135</v>
      </c>
      <c r="AB162" s="370">
        <v>0</v>
      </c>
      <c r="AC162" s="907">
        <f>AVERAGE(AC163:AC172)</f>
        <v>1.1872791323006358</v>
      </c>
      <c r="AD162" s="109" t="s">
        <v>650</v>
      </c>
      <c r="AE162" s="201"/>
      <c r="AF162" s="1115" t="e">
        <f>AVERAGE(AF163:AF172)</f>
        <v>#DIV/0!</v>
      </c>
      <c r="AG162"/>
    </row>
    <row r="163" spans="1:33" x14ac:dyDescent="0.2">
      <c r="A163" s="182" t="s">
        <v>929</v>
      </c>
      <c r="B163" s="17" t="s">
        <v>702</v>
      </c>
      <c r="C163" s="230"/>
      <c r="D163" s="213" t="s">
        <v>708</v>
      </c>
      <c r="E163" s="910" t="s">
        <v>1971</v>
      </c>
      <c r="F163" s="45" t="s">
        <v>1383</v>
      </c>
      <c r="G163" s="1114">
        <v>34.81</v>
      </c>
      <c r="H163" s="124">
        <v>15</v>
      </c>
      <c r="I163" s="162">
        <v>144</v>
      </c>
      <c r="J163" s="138"/>
      <c r="K163" s="20"/>
      <c r="L163" s="456">
        <v>9.4339999999999993</v>
      </c>
      <c r="M163" s="457">
        <v>25.000099999999996</v>
      </c>
      <c r="N163" s="65">
        <f t="shared" ref="N163:N172" si="70">IF(AND(G163&lt;&gt;"",M163&lt;&gt;""),1000*M163/G163,"")</f>
        <v>718.1873024992816</v>
      </c>
      <c r="O163" s="64"/>
      <c r="P163" s="64"/>
      <c r="Q163" s="65">
        <v>50</v>
      </c>
      <c r="R163" s="65">
        <v>4</v>
      </c>
      <c r="S163" s="65"/>
      <c r="T163" s="65">
        <v>224</v>
      </c>
      <c r="U163" s="64">
        <v>1</v>
      </c>
      <c r="V163" s="65">
        <v>166</v>
      </c>
      <c r="W163" s="65"/>
      <c r="X163" s="110">
        <v>943.4</v>
      </c>
      <c r="Y163" s="81"/>
      <c r="Z163" s="141"/>
      <c r="AA163" s="378">
        <f t="shared" ref="AA163:AA172" si="71">M163*1000/Q163</f>
        <v>500.0019999999999</v>
      </c>
      <c r="AB163" s="906">
        <v>0</v>
      </c>
      <c r="AC163" s="216">
        <v>1.8313253012048192</v>
      </c>
      <c r="AD163" s="191">
        <v>1.69984</v>
      </c>
      <c r="AE163" s="188"/>
      <c r="AF163" s="198"/>
      <c r="AG163" s="6" t="s">
        <v>235</v>
      </c>
    </row>
    <row r="164" spans="1:33" x14ac:dyDescent="0.2">
      <c r="A164" s="182" t="s">
        <v>929</v>
      </c>
      <c r="B164" s="17" t="s">
        <v>702</v>
      </c>
      <c r="C164" s="230"/>
      <c r="D164" s="213" t="s">
        <v>708</v>
      </c>
      <c r="E164" s="910" t="s">
        <v>1559</v>
      </c>
      <c r="F164" s="45" t="s">
        <v>1384</v>
      </c>
      <c r="G164" s="1114">
        <v>59.57</v>
      </c>
      <c r="H164" s="124">
        <v>15</v>
      </c>
      <c r="I164" s="162">
        <v>112</v>
      </c>
      <c r="J164" s="138"/>
      <c r="K164" s="20"/>
      <c r="L164" s="456">
        <v>11.9</v>
      </c>
      <c r="M164" s="457">
        <v>30.999700000000001</v>
      </c>
      <c r="N164" s="65">
        <f t="shared" si="70"/>
        <v>520.39113647809302</v>
      </c>
      <c r="O164" s="64"/>
      <c r="P164" s="64"/>
      <c r="Q164" s="65">
        <v>102</v>
      </c>
      <c r="R164" s="65">
        <v>4</v>
      </c>
      <c r="S164" s="65" t="s">
        <v>1055</v>
      </c>
      <c r="T164" s="65">
        <v>208</v>
      </c>
      <c r="U164" s="64">
        <v>1</v>
      </c>
      <c r="V164" s="65">
        <v>138</v>
      </c>
      <c r="W164" s="65">
        <v>1</v>
      </c>
      <c r="X164" s="110">
        <v>1169.8</v>
      </c>
      <c r="Y164" s="81"/>
      <c r="Z164" s="141"/>
      <c r="AA164" s="378">
        <f t="shared" si="71"/>
        <v>303.91862745098041</v>
      </c>
      <c r="AB164" s="154">
        <v>0</v>
      </c>
      <c r="AC164" s="281">
        <v>1.6231884057971016</v>
      </c>
      <c r="AD164" s="191">
        <v>1.4131199999999999</v>
      </c>
      <c r="AE164" s="188"/>
      <c r="AF164" s="198"/>
    </row>
    <row r="165" spans="1:33" x14ac:dyDescent="0.2">
      <c r="A165" s="182"/>
      <c r="B165" s="41" t="s">
        <v>702</v>
      </c>
      <c r="C165" s="230"/>
      <c r="D165" s="229" t="s">
        <v>708</v>
      </c>
      <c r="E165" s="910" t="s">
        <v>1972</v>
      </c>
      <c r="F165" s="45" t="s">
        <v>1258</v>
      </c>
      <c r="G165" s="1114">
        <v>61.72</v>
      </c>
      <c r="H165" s="124">
        <v>19</v>
      </c>
      <c r="I165" s="162">
        <v>227</v>
      </c>
      <c r="J165" s="138"/>
      <c r="K165" s="20"/>
      <c r="L165" s="456">
        <v>15.093999999999999</v>
      </c>
      <c r="M165" s="457">
        <v>39.999099999999999</v>
      </c>
      <c r="N165" s="65">
        <f t="shared" si="70"/>
        <v>648.07355800388848</v>
      </c>
      <c r="O165" s="64"/>
      <c r="P165" s="64">
        <v>2</v>
      </c>
      <c r="Q165" s="65">
        <v>168</v>
      </c>
      <c r="R165" s="65">
        <v>8</v>
      </c>
      <c r="S165" s="65"/>
      <c r="T165" s="65">
        <v>326</v>
      </c>
      <c r="U165" s="253">
        <v>2</v>
      </c>
      <c r="V165" s="65">
        <v>220</v>
      </c>
      <c r="W165" s="65"/>
      <c r="X165" s="110">
        <v>1509.3999999999999</v>
      </c>
      <c r="Y165" s="81"/>
      <c r="Z165" s="141"/>
      <c r="AA165" s="378">
        <f t="shared" si="71"/>
        <v>238.08988095238095</v>
      </c>
      <c r="AB165" s="154"/>
      <c r="AC165" s="281">
        <v>1.4181818181818182</v>
      </c>
      <c r="AD165" s="191">
        <v>2.2528000000000001</v>
      </c>
      <c r="AE165" s="188"/>
      <c r="AF165" s="198"/>
      <c r="AG165" s="492" t="s">
        <v>1561</v>
      </c>
    </row>
    <row r="166" spans="1:33" x14ac:dyDescent="0.2">
      <c r="A166" s="182" t="s">
        <v>929</v>
      </c>
      <c r="B166" s="17" t="s">
        <v>702</v>
      </c>
      <c r="C166" s="230"/>
      <c r="D166" s="213" t="s">
        <v>708</v>
      </c>
      <c r="E166" s="910" t="s">
        <v>1558</v>
      </c>
      <c r="F166" s="45" t="s">
        <v>1383</v>
      </c>
      <c r="G166" s="1114">
        <v>49.4</v>
      </c>
      <c r="H166" s="124">
        <v>15</v>
      </c>
      <c r="I166" s="162">
        <v>144</v>
      </c>
      <c r="J166" s="138"/>
      <c r="K166" s="20"/>
      <c r="L166" s="456">
        <v>18.48</v>
      </c>
      <c r="M166" s="457">
        <v>47.999449999999996</v>
      </c>
      <c r="N166" s="65">
        <f t="shared" si="70"/>
        <v>971.64878542510121</v>
      </c>
      <c r="O166" s="64"/>
      <c r="P166" s="64"/>
      <c r="Q166" s="65">
        <v>132</v>
      </c>
      <c r="R166" s="65">
        <v>4</v>
      </c>
      <c r="S166" s="65"/>
      <c r="T166" s="65">
        <v>224</v>
      </c>
      <c r="U166" s="64">
        <v>1</v>
      </c>
      <c r="V166" s="65">
        <v>264</v>
      </c>
      <c r="W166" s="65"/>
      <c r="X166" s="110">
        <v>1811.3</v>
      </c>
      <c r="Y166" s="81"/>
      <c r="Z166" s="141"/>
      <c r="AA166" s="378">
        <f t="shared" si="71"/>
        <v>363.63219696969696</v>
      </c>
      <c r="AB166" s="154"/>
      <c r="AC166" s="281">
        <v>1.1515151515151516</v>
      </c>
      <c r="AD166" s="191">
        <v>2.70336</v>
      </c>
      <c r="AE166" s="188"/>
      <c r="AF166" s="198"/>
      <c r="AG166" s="492" t="s">
        <v>1552</v>
      </c>
    </row>
    <row r="167" spans="1:33" x14ac:dyDescent="0.2">
      <c r="A167" s="182" t="s">
        <v>929</v>
      </c>
      <c r="B167" s="17" t="s">
        <v>702</v>
      </c>
      <c r="C167" s="230"/>
      <c r="D167" s="213" t="s">
        <v>708</v>
      </c>
      <c r="E167" s="910" t="s">
        <v>1560</v>
      </c>
      <c r="F167" s="45" t="s">
        <v>1278</v>
      </c>
      <c r="G167" s="1114">
        <v>93.91</v>
      </c>
      <c r="H167" s="124">
        <v>19</v>
      </c>
      <c r="I167" s="162">
        <v>240</v>
      </c>
      <c r="J167" s="138"/>
      <c r="K167" s="20"/>
      <c r="L167" s="456">
        <v>18.867999999999999</v>
      </c>
      <c r="M167" s="457">
        <v>50.000199999999992</v>
      </c>
      <c r="N167" s="65">
        <f t="shared" si="70"/>
        <v>532.42679160898729</v>
      </c>
      <c r="O167" s="64"/>
      <c r="P167" s="64"/>
      <c r="Q167" s="65">
        <v>140</v>
      </c>
      <c r="R167" s="65">
        <v>6</v>
      </c>
      <c r="S167" s="65" t="s">
        <v>1056</v>
      </c>
      <c r="T167" s="65">
        <v>336</v>
      </c>
      <c r="U167" s="64">
        <v>2</v>
      </c>
      <c r="V167" s="65">
        <v>244</v>
      </c>
      <c r="W167" s="65">
        <v>1</v>
      </c>
      <c r="X167" s="110">
        <v>1886.8</v>
      </c>
      <c r="Y167" s="81"/>
      <c r="Z167" s="141"/>
      <c r="AA167" s="378">
        <f t="shared" si="71"/>
        <v>357.14428571428562</v>
      </c>
      <c r="AB167" s="154">
        <v>0</v>
      </c>
      <c r="AC167" s="281">
        <v>1.5081967213114753</v>
      </c>
      <c r="AD167" s="191">
        <v>2.4985599999999999</v>
      </c>
      <c r="AE167" s="188"/>
      <c r="AF167" s="198"/>
      <c r="AG167"/>
    </row>
    <row r="168" spans="1:33" x14ac:dyDescent="0.2">
      <c r="A168" s="182" t="s">
        <v>929</v>
      </c>
      <c r="B168" s="17" t="s">
        <v>702</v>
      </c>
      <c r="C168" s="230"/>
      <c r="D168" s="213" t="s">
        <v>708</v>
      </c>
      <c r="E168" s="910" t="s">
        <v>1973</v>
      </c>
      <c r="F168" s="45" t="s">
        <v>1278</v>
      </c>
      <c r="G168" s="1114">
        <v>88.04</v>
      </c>
      <c r="H168" s="124">
        <v>19</v>
      </c>
      <c r="I168" s="162">
        <v>238</v>
      </c>
      <c r="J168" s="138"/>
      <c r="K168" s="20"/>
      <c r="L168" s="456">
        <v>29.08</v>
      </c>
      <c r="M168" s="457">
        <v>76.500199999999992</v>
      </c>
      <c r="N168" s="65">
        <f t="shared" si="70"/>
        <v>868.92548841435701</v>
      </c>
      <c r="O168" s="64"/>
      <c r="P168" s="64"/>
      <c r="Q168" s="65">
        <v>300</v>
      </c>
      <c r="R168" s="65">
        <v>6</v>
      </c>
      <c r="S168" s="65"/>
      <c r="T168" s="65">
        <v>240</v>
      </c>
      <c r="U168" s="64">
        <v>2</v>
      </c>
      <c r="V168" s="65">
        <v>372</v>
      </c>
      <c r="W168" s="65"/>
      <c r="X168" s="110">
        <v>2886.7999999999997</v>
      </c>
      <c r="Y168" s="81"/>
      <c r="Z168" s="141"/>
      <c r="AA168" s="378">
        <f t="shared" si="71"/>
        <v>255.00066666666666</v>
      </c>
      <c r="AB168" s="154">
        <v>0</v>
      </c>
      <c r="AC168" s="281">
        <v>0.967741935483871</v>
      </c>
      <c r="AD168" s="191">
        <v>3.8092800000000002</v>
      </c>
      <c r="AE168" s="188"/>
      <c r="AF168" s="198"/>
      <c r="AG168" s="6" t="s">
        <v>1054</v>
      </c>
    </row>
    <row r="169" spans="1:33" x14ac:dyDescent="0.2">
      <c r="A169" s="182" t="s">
        <v>929</v>
      </c>
      <c r="B169" s="41" t="s">
        <v>702</v>
      </c>
      <c r="C169" s="230"/>
      <c r="D169" s="229" t="s">
        <v>708</v>
      </c>
      <c r="E169" s="910" t="s">
        <v>1974</v>
      </c>
      <c r="F169" s="45" t="s">
        <v>1258</v>
      </c>
      <c r="G169" s="1114">
        <v>97.4</v>
      </c>
      <c r="H169" s="124">
        <v>19</v>
      </c>
      <c r="I169" s="162">
        <v>227</v>
      </c>
      <c r="J169" s="138"/>
      <c r="K169" s="20"/>
      <c r="L169" s="456">
        <v>32.075000000000003</v>
      </c>
      <c r="M169" s="457">
        <v>84.998750000000001</v>
      </c>
      <c r="N169" s="65">
        <f t="shared" si="70"/>
        <v>872.67710472279259</v>
      </c>
      <c r="O169" s="64"/>
      <c r="P169" s="64">
        <v>2</v>
      </c>
      <c r="Q169" s="65">
        <v>174</v>
      </c>
      <c r="R169" s="65">
        <v>9</v>
      </c>
      <c r="S169" s="65"/>
      <c r="T169" s="65">
        <v>469</v>
      </c>
      <c r="U169" s="253">
        <v>2</v>
      </c>
      <c r="V169" s="65">
        <v>388</v>
      </c>
      <c r="W169" s="65"/>
      <c r="X169" s="110">
        <v>3207.5000000000005</v>
      </c>
      <c r="Y169" s="81"/>
      <c r="Z169" s="141"/>
      <c r="AA169" s="378">
        <f t="shared" si="71"/>
        <v>488.49856321839081</v>
      </c>
      <c r="AB169" s="154"/>
      <c r="AC169" s="281">
        <v>1.2268041237113403</v>
      </c>
      <c r="AD169" s="191">
        <v>3.9731200000000002</v>
      </c>
      <c r="AE169" s="188"/>
      <c r="AF169" s="198"/>
      <c r="AG169" s="492" t="s">
        <v>1561</v>
      </c>
    </row>
    <row r="170" spans="1:33" x14ac:dyDescent="0.2">
      <c r="A170" s="182" t="s">
        <v>929</v>
      </c>
      <c r="B170" s="41" t="s">
        <v>702</v>
      </c>
      <c r="C170" s="230"/>
      <c r="D170" s="229" t="s">
        <v>708</v>
      </c>
      <c r="E170" s="910" t="s">
        <v>1975</v>
      </c>
      <c r="F170" s="45" t="s">
        <v>1258</v>
      </c>
      <c r="G170" s="1114">
        <v>139.56</v>
      </c>
      <c r="H170" s="124">
        <v>19</v>
      </c>
      <c r="I170" s="162">
        <v>227</v>
      </c>
      <c r="J170" s="138"/>
      <c r="K170" s="20"/>
      <c r="L170" s="456">
        <v>41.509</v>
      </c>
      <c r="M170" s="457">
        <v>109.99884999999999</v>
      </c>
      <c r="N170" s="65">
        <f t="shared" si="70"/>
        <v>788.18321868730288</v>
      </c>
      <c r="O170" s="64"/>
      <c r="P170" s="64">
        <v>2</v>
      </c>
      <c r="Q170" s="65">
        <v>224</v>
      </c>
      <c r="R170" s="65">
        <v>9</v>
      </c>
      <c r="S170" s="65"/>
      <c r="T170" s="65">
        <v>469</v>
      </c>
      <c r="U170" s="151">
        <v>2</v>
      </c>
      <c r="V170" s="65">
        <v>502</v>
      </c>
      <c r="W170" s="65"/>
      <c r="X170" s="110">
        <v>4150.8999999999996</v>
      </c>
      <c r="Y170" s="81"/>
      <c r="Z170" s="141"/>
      <c r="AA170" s="378">
        <f t="shared" si="71"/>
        <v>491.06629464285709</v>
      </c>
      <c r="AB170" s="235"/>
      <c r="AC170" s="908">
        <v>0.94820717131474108</v>
      </c>
      <c r="AD170" s="191">
        <v>5.1404800000000002</v>
      </c>
      <c r="AE170" s="188"/>
      <c r="AF170" s="198"/>
      <c r="AG170" s="492" t="s">
        <v>1561</v>
      </c>
    </row>
    <row r="171" spans="1:33" x14ac:dyDescent="0.2">
      <c r="A171" s="182" t="s">
        <v>929</v>
      </c>
      <c r="B171" s="25" t="s">
        <v>702</v>
      </c>
      <c r="C171" s="303"/>
      <c r="D171" s="240" t="s">
        <v>708</v>
      </c>
      <c r="E171" s="910" t="s">
        <v>1976</v>
      </c>
      <c r="F171" s="45" t="s">
        <v>1258</v>
      </c>
      <c r="G171" s="1114">
        <v>159.36000000000001</v>
      </c>
      <c r="H171" s="124">
        <v>19</v>
      </c>
      <c r="I171" s="162">
        <v>230</v>
      </c>
      <c r="J171" s="138"/>
      <c r="K171" s="20"/>
      <c r="L171" s="456">
        <v>56.48</v>
      </c>
      <c r="M171" s="457">
        <v>149.49975000000001</v>
      </c>
      <c r="N171" s="65">
        <f t="shared" si="70"/>
        <v>938.12594126506019</v>
      </c>
      <c r="O171" s="64"/>
      <c r="P171" s="64"/>
      <c r="Q171" s="65">
        <v>312</v>
      </c>
      <c r="R171" s="65">
        <v>7</v>
      </c>
      <c r="S171" s="65"/>
      <c r="T171" s="65">
        <v>480</v>
      </c>
      <c r="U171" s="65">
        <v>2</v>
      </c>
      <c r="V171" s="65">
        <v>636</v>
      </c>
      <c r="W171" s="65"/>
      <c r="X171" s="110">
        <v>5641.5</v>
      </c>
      <c r="Y171" s="81"/>
      <c r="Z171" s="141"/>
      <c r="AA171" s="378">
        <f t="shared" si="71"/>
        <v>479.16586538461536</v>
      </c>
      <c r="AB171" s="235">
        <v>0</v>
      </c>
      <c r="AC171" s="908">
        <v>0.76729559748427678</v>
      </c>
      <c r="AD171" s="191">
        <v>6.5126400000000002</v>
      </c>
      <c r="AE171" s="188"/>
      <c r="AF171" s="198"/>
      <c r="AG171" s="6" t="s">
        <v>1070</v>
      </c>
    </row>
    <row r="172" spans="1:33" ht="13.5" thickBot="1" x14ac:dyDescent="0.25">
      <c r="A172" s="182" t="s">
        <v>929</v>
      </c>
      <c r="B172" s="25" t="s">
        <v>702</v>
      </c>
      <c r="C172" s="303"/>
      <c r="D172" s="240" t="s">
        <v>708</v>
      </c>
      <c r="E172" s="546" t="s">
        <v>1977</v>
      </c>
      <c r="F172" s="45" t="s">
        <v>1278</v>
      </c>
      <c r="G172" s="1114">
        <v>209.76</v>
      </c>
      <c r="H172" s="124">
        <v>23</v>
      </c>
      <c r="I172" s="162">
        <v>230</v>
      </c>
      <c r="J172" s="138"/>
      <c r="K172" s="20"/>
      <c r="L172" s="456">
        <v>113.56</v>
      </c>
      <c r="M172" s="457">
        <v>301.00024999999999</v>
      </c>
      <c r="N172" s="65">
        <f t="shared" si="70"/>
        <v>1434.9744946605645</v>
      </c>
      <c r="O172" s="64"/>
      <c r="P172" s="64"/>
      <c r="Q172" s="65">
        <v>684</v>
      </c>
      <c r="R172" s="65">
        <v>8</v>
      </c>
      <c r="S172" s="65"/>
      <c r="T172" s="65">
        <v>480</v>
      </c>
      <c r="U172" s="65">
        <v>2</v>
      </c>
      <c r="V172" s="65">
        <v>1134</v>
      </c>
      <c r="W172" s="65"/>
      <c r="X172" s="110">
        <v>11358.5</v>
      </c>
      <c r="Y172" s="81"/>
      <c r="Z172" s="141"/>
      <c r="AA172" s="378">
        <f t="shared" si="71"/>
        <v>440.05884502923976</v>
      </c>
      <c r="AB172" s="235"/>
      <c r="AC172" s="908">
        <v>0.43033509700176364</v>
      </c>
      <c r="AD172" s="191">
        <v>11.612159999999999</v>
      </c>
      <c r="AE172" s="188"/>
      <c r="AF172" s="198"/>
      <c r="AG172" s="6" t="s">
        <v>1069</v>
      </c>
    </row>
    <row r="173" spans="1:33" ht="13.5" customHeight="1" x14ac:dyDescent="0.2">
      <c r="A173" s="182"/>
      <c r="B173" s="48" t="s">
        <v>717</v>
      </c>
      <c r="C173" s="226"/>
      <c r="D173" s="212"/>
      <c r="E173" s="12" t="s">
        <v>1042</v>
      </c>
      <c r="F173" s="466" t="s">
        <v>1018</v>
      </c>
      <c r="G173" s="14" t="s">
        <v>22</v>
      </c>
      <c r="H173" s="132" t="s">
        <v>513</v>
      </c>
      <c r="I173" s="161"/>
      <c r="J173" s="136"/>
      <c r="K173" s="16" t="s">
        <v>22</v>
      </c>
      <c r="L173" s="486" t="s">
        <v>1442</v>
      </c>
      <c r="M173" s="61" t="s">
        <v>989</v>
      </c>
      <c r="N173" s="380">
        <f>AVERAGE(N174:N183)</f>
        <v>248.2556295321661</v>
      </c>
      <c r="O173" s="61"/>
      <c r="P173" s="399" t="s">
        <v>1171</v>
      </c>
      <c r="Q173" s="61" t="s">
        <v>1737</v>
      </c>
      <c r="R173" s="61"/>
      <c r="S173" s="61" t="s">
        <v>1043</v>
      </c>
      <c r="T173" s="61"/>
      <c r="U173" s="61" t="s">
        <v>1047</v>
      </c>
      <c r="V173" s="62" t="s">
        <v>1048</v>
      </c>
      <c r="W173" s="61" t="s">
        <v>634</v>
      </c>
      <c r="X173" s="109" t="s">
        <v>25</v>
      </c>
      <c r="Y173" s="215"/>
      <c r="Z173" s="164"/>
      <c r="AA173" s="370">
        <f>AVERAGE(AA174:AA183)</f>
        <v>181.22777060940786</v>
      </c>
      <c r="AB173" s="92">
        <f>AVERAGE(AB174:AB178)</f>
        <v>0</v>
      </c>
      <c r="AC173" s="1452">
        <f>AVERAGE(AC174:AC183)</f>
        <v>0.38637745198639994</v>
      </c>
      <c r="AD173" s="156" t="s">
        <v>650</v>
      </c>
      <c r="AE173" s="193"/>
      <c r="AF173" s="196" t="e">
        <f>AVERAGE(AF174:AF183)</f>
        <v>#DIV/0!</v>
      </c>
      <c r="AG173" s="236" t="s">
        <v>1044</v>
      </c>
    </row>
    <row r="174" spans="1:33" x14ac:dyDescent="0.2">
      <c r="A174" s="182" t="s">
        <v>26</v>
      </c>
      <c r="B174" s="17" t="s">
        <v>702</v>
      </c>
      <c r="C174" s="230"/>
      <c r="D174" s="213" t="s">
        <v>708</v>
      </c>
      <c r="E174" s="41" t="s">
        <v>1259</v>
      </c>
      <c r="F174" s="45" t="s">
        <v>1277</v>
      </c>
      <c r="G174" s="124">
        <v>227.68</v>
      </c>
      <c r="H174" s="124">
        <v>27</v>
      </c>
      <c r="I174" s="162">
        <v>336</v>
      </c>
      <c r="J174" s="138"/>
      <c r="K174" s="20"/>
      <c r="L174" s="456">
        <v>28.302</v>
      </c>
      <c r="M174" s="457">
        <f t="shared" ref="M174:M183" si="72">2.65*L174</f>
        <v>75.000299999999996</v>
      </c>
      <c r="N174" s="65">
        <f t="shared" ref="N174:N183" si="73">IF(AND(G174&lt;&gt;"",M174&lt;&gt;""),1000*M174/G174,"")</f>
        <v>329.41101546029518</v>
      </c>
      <c r="O174" s="64"/>
      <c r="P174" s="65"/>
      <c r="Q174" s="65">
        <v>480</v>
      </c>
      <c r="R174" s="65">
        <v>10</v>
      </c>
      <c r="S174" s="65" t="s">
        <v>1057</v>
      </c>
      <c r="T174" s="65">
        <v>336</v>
      </c>
      <c r="U174" s="151">
        <v>2</v>
      </c>
      <c r="V174" s="65">
        <v>800</v>
      </c>
      <c r="W174" s="65">
        <v>1</v>
      </c>
      <c r="X174" s="110">
        <f t="shared" ref="X174:X183" si="74">L174*100</f>
        <v>2830.2</v>
      </c>
      <c r="Y174" s="81"/>
      <c r="Z174" s="141"/>
      <c r="AA174" s="378">
        <f t="shared" ref="AA174:AA183" si="75">M174*1000/Q174</f>
        <v>156.25062500000001</v>
      </c>
      <c r="AB174" s="154">
        <f t="shared" ref="AB174:AB182" si="76">25*AM174/1000000</f>
        <v>0</v>
      </c>
      <c r="AC174" s="281">
        <f t="shared" ref="AC174:AC183" si="77">T174/V174</f>
        <v>0.42</v>
      </c>
      <c r="AD174" s="191">
        <f t="shared" ref="AD174:AD183" si="78">(V174*10240)/1000000</f>
        <v>8.1920000000000002</v>
      </c>
      <c r="AE174" s="17"/>
      <c r="AF174" s="198"/>
      <c r="AG174" s="6" t="s">
        <v>1050</v>
      </c>
    </row>
    <row r="175" spans="1:33" x14ac:dyDescent="0.2">
      <c r="A175" s="182" t="s">
        <v>26</v>
      </c>
      <c r="B175" s="17" t="s">
        <v>702</v>
      </c>
      <c r="C175" s="230"/>
      <c r="D175" s="213" t="s">
        <v>708</v>
      </c>
      <c r="E175" s="41" t="s">
        <v>1260</v>
      </c>
      <c r="F175" s="45" t="s">
        <v>1277</v>
      </c>
      <c r="G175" s="124">
        <v>694.56</v>
      </c>
      <c r="H175" s="124">
        <v>27</v>
      </c>
      <c r="I175" s="162">
        <v>336</v>
      </c>
      <c r="J175" s="138"/>
      <c r="K175" s="20"/>
      <c r="L175" s="456">
        <v>58.9</v>
      </c>
      <c r="M175" s="457">
        <f t="shared" si="72"/>
        <v>156.08499999999998</v>
      </c>
      <c r="N175" s="65">
        <f t="shared" si="73"/>
        <v>224.72500575904166</v>
      </c>
      <c r="O175" s="64"/>
      <c r="P175" s="65"/>
      <c r="Q175" s="65">
        <v>792</v>
      </c>
      <c r="R175" s="65">
        <v>10</v>
      </c>
      <c r="S175" s="65" t="s">
        <v>1057</v>
      </c>
      <c r="T175" s="65">
        <v>336</v>
      </c>
      <c r="U175" s="151">
        <v>2</v>
      </c>
      <c r="V175" s="65">
        <v>1051</v>
      </c>
      <c r="W175" s="65">
        <v>1</v>
      </c>
      <c r="X175" s="110">
        <f t="shared" si="74"/>
        <v>5890</v>
      </c>
      <c r="Y175" s="81"/>
      <c r="Z175" s="141"/>
      <c r="AA175" s="378">
        <f t="shared" si="75"/>
        <v>197.07702020202018</v>
      </c>
      <c r="AB175" s="154">
        <f t="shared" si="76"/>
        <v>0</v>
      </c>
      <c r="AC175" s="281">
        <f t="shared" si="77"/>
        <v>0.31969552806850621</v>
      </c>
      <c r="AD175" s="191">
        <f t="shared" si="78"/>
        <v>10.76224</v>
      </c>
      <c r="AE175" s="17"/>
      <c r="AF175" s="198"/>
      <c r="AG175" s="6" t="s">
        <v>1051</v>
      </c>
    </row>
    <row r="176" spans="1:33" x14ac:dyDescent="0.2">
      <c r="A176" s="182" t="s">
        <v>26</v>
      </c>
      <c r="B176" s="17" t="s">
        <v>702</v>
      </c>
      <c r="C176" s="230"/>
      <c r="D176" s="213" t="s">
        <v>708</v>
      </c>
      <c r="E176" s="41" t="s">
        <v>1261</v>
      </c>
      <c r="F176" s="45" t="s">
        <v>1277</v>
      </c>
      <c r="G176" s="124">
        <v>718.4</v>
      </c>
      <c r="H176" s="124">
        <v>27</v>
      </c>
      <c r="I176" s="162">
        <v>336</v>
      </c>
      <c r="J176" s="138"/>
      <c r="K176" s="20"/>
      <c r="L176" s="456">
        <v>71.697999999999993</v>
      </c>
      <c r="M176" s="457">
        <f t="shared" si="72"/>
        <v>189.99969999999999</v>
      </c>
      <c r="N176" s="65">
        <f t="shared" si="73"/>
        <v>264.47619710467706</v>
      </c>
      <c r="O176" s="64"/>
      <c r="P176" s="65"/>
      <c r="Q176" s="65">
        <v>1200</v>
      </c>
      <c r="R176" s="65">
        <v>12</v>
      </c>
      <c r="S176" s="65" t="s">
        <v>1045</v>
      </c>
      <c r="T176" s="65">
        <v>544</v>
      </c>
      <c r="U176" s="151">
        <v>4</v>
      </c>
      <c r="V176" s="65">
        <v>1180</v>
      </c>
      <c r="W176" s="65">
        <v>2</v>
      </c>
      <c r="X176" s="110">
        <f t="shared" si="74"/>
        <v>7169.7999999999993</v>
      </c>
      <c r="Y176" s="81"/>
      <c r="Z176" s="141"/>
      <c r="AA176" s="378">
        <f t="shared" si="75"/>
        <v>158.33308333333332</v>
      </c>
      <c r="AB176" s="154">
        <f t="shared" si="76"/>
        <v>0</v>
      </c>
      <c r="AC176" s="281">
        <f t="shared" si="77"/>
        <v>0.46101694915254238</v>
      </c>
      <c r="AD176" s="191">
        <f t="shared" si="78"/>
        <v>12.0832</v>
      </c>
      <c r="AE176" s="17"/>
      <c r="AF176" s="198"/>
      <c r="AG176" s="6" t="s">
        <v>1052</v>
      </c>
    </row>
    <row r="177" spans="1:33" x14ac:dyDescent="0.2">
      <c r="A177" s="182" t="s">
        <v>26</v>
      </c>
      <c r="B177" s="17" t="s">
        <v>702</v>
      </c>
      <c r="C177" s="230"/>
      <c r="D177" s="213" t="s">
        <v>708</v>
      </c>
      <c r="E177" s="41" t="s">
        <v>1262</v>
      </c>
      <c r="F177" s="45" t="s">
        <v>1277</v>
      </c>
      <c r="G177" s="124">
        <v>911.28</v>
      </c>
      <c r="H177" s="124">
        <v>27</v>
      </c>
      <c r="I177" s="162">
        <v>336</v>
      </c>
      <c r="J177" s="138"/>
      <c r="K177" s="20"/>
      <c r="L177" s="456">
        <v>91.68</v>
      </c>
      <c r="M177" s="457">
        <f t="shared" si="72"/>
        <v>242.952</v>
      </c>
      <c r="N177" s="65">
        <f t="shared" si="73"/>
        <v>266.60521464313933</v>
      </c>
      <c r="O177" s="64"/>
      <c r="P177" s="65"/>
      <c r="Q177" s="65">
        <v>1600</v>
      </c>
      <c r="R177" s="65">
        <v>12</v>
      </c>
      <c r="S177" s="65" t="s">
        <v>1045</v>
      </c>
      <c r="T177" s="65">
        <v>544</v>
      </c>
      <c r="U177" s="151">
        <v>4</v>
      </c>
      <c r="V177" s="65">
        <v>1366</v>
      </c>
      <c r="W177" s="65">
        <v>2</v>
      </c>
      <c r="X177" s="110">
        <f t="shared" si="74"/>
        <v>9168</v>
      </c>
      <c r="Y177" s="81"/>
      <c r="Z177" s="141"/>
      <c r="AA177" s="378">
        <f t="shared" si="75"/>
        <v>151.845</v>
      </c>
      <c r="AB177" s="154">
        <f t="shared" si="76"/>
        <v>0</v>
      </c>
      <c r="AC177" s="281">
        <f t="shared" si="77"/>
        <v>0.39824304538799415</v>
      </c>
      <c r="AD177" s="191">
        <f t="shared" si="78"/>
        <v>13.98784</v>
      </c>
      <c r="AE177" s="17"/>
      <c r="AF177" s="198"/>
      <c r="AG177" s="6" t="s">
        <v>1070</v>
      </c>
    </row>
    <row r="178" spans="1:33" x14ac:dyDescent="0.2">
      <c r="A178" s="182" t="s">
        <v>26</v>
      </c>
      <c r="B178" s="17" t="s">
        <v>702</v>
      </c>
      <c r="C178" s="230"/>
      <c r="D178" s="213" t="s">
        <v>708</v>
      </c>
      <c r="E178" s="41" t="s">
        <v>1263</v>
      </c>
      <c r="F178" s="45" t="s">
        <v>1174</v>
      </c>
      <c r="G178" s="124">
        <v>1004</v>
      </c>
      <c r="H178" s="124">
        <v>31</v>
      </c>
      <c r="I178" s="162">
        <v>384</v>
      </c>
      <c r="J178" s="138"/>
      <c r="K178" s="20"/>
      <c r="L178" s="456">
        <v>113.208</v>
      </c>
      <c r="M178" s="457">
        <f t="shared" si="72"/>
        <v>300.00119999999998</v>
      </c>
      <c r="N178" s="65">
        <f t="shared" si="73"/>
        <v>298.80597609561755</v>
      </c>
      <c r="O178" s="64"/>
      <c r="P178" s="65"/>
      <c r="Q178" s="65">
        <v>1840</v>
      </c>
      <c r="R178" s="65">
        <v>12</v>
      </c>
      <c r="S178" s="65" t="s">
        <v>1045</v>
      </c>
      <c r="T178" s="65">
        <v>704</v>
      </c>
      <c r="U178" s="151">
        <v>4</v>
      </c>
      <c r="V178" s="65">
        <v>1510</v>
      </c>
      <c r="W178" s="65">
        <v>2</v>
      </c>
      <c r="X178" s="110">
        <f t="shared" si="74"/>
        <v>11320.8</v>
      </c>
      <c r="Y178" s="81"/>
      <c r="Z178" s="141"/>
      <c r="AA178" s="378">
        <f t="shared" si="75"/>
        <v>163.0441304347826</v>
      </c>
      <c r="AB178" s="154">
        <f t="shared" si="76"/>
        <v>0</v>
      </c>
      <c r="AC178" s="281">
        <f t="shared" si="77"/>
        <v>0.46622516556291393</v>
      </c>
      <c r="AD178" s="191">
        <f t="shared" si="78"/>
        <v>15.462400000000001</v>
      </c>
      <c r="AE178" s="17"/>
      <c r="AF178" s="198"/>
      <c r="AG178" s="492" t="s">
        <v>1552</v>
      </c>
    </row>
    <row r="179" spans="1:33" x14ac:dyDescent="0.2">
      <c r="A179" s="182" t="s">
        <v>26</v>
      </c>
      <c r="B179" s="17" t="s">
        <v>702</v>
      </c>
      <c r="C179" s="230"/>
      <c r="D179" s="213" t="s">
        <v>708</v>
      </c>
      <c r="E179" s="41" t="s">
        <v>1970</v>
      </c>
      <c r="F179" s="45" t="s">
        <v>1174</v>
      </c>
      <c r="G179" s="124">
        <v>1280.24</v>
      </c>
      <c r="H179" s="124">
        <v>31</v>
      </c>
      <c r="I179" s="162">
        <v>384</v>
      </c>
      <c r="J179" s="138"/>
      <c r="K179" s="20"/>
      <c r="L179" s="456">
        <v>136.88</v>
      </c>
      <c r="M179" s="457">
        <f t="shared" si="72"/>
        <v>362.73199999999997</v>
      </c>
      <c r="N179" s="65">
        <f t="shared" si="73"/>
        <v>283.33125039055176</v>
      </c>
      <c r="O179" s="64"/>
      <c r="P179" s="65"/>
      <c r="Q179" s="65">
        <v>2090</v>
      </c>
      <c r="R179" s="65">
        <v>12</v>
      </c>
      <c r="S179" s="65" t="s">
        <v>1045</v>
      </c>
      <c r="T179" s="65">
        <v>704</v>
      </c>
      <c r="U179" s="151">
        <v>4</v>
      </c>
      <c r="V179" s="65">
        <v>1726</v>
      </c>
      <c r="W179" s="65">
        <v>2</v>
      </c>
      <c r="X179" s="110">
        <f t="shared" si="74"/>
        <v>13688</v>
      </c>
      <c r="Y179" s="81"/>
      <c r="Z179" s="141"/>
      <c r="AA179" s="378">
        <f t="shared" si="75"/>
        <v>173.55598086124402</v>
      </c>
      <c r="AB179" s="154">
        <f t="shared" si="76"/>
        <v>0</v>
      </c>
      <c r="AC179" s="281">
        <f t="shared" si="77"/>
        <v>0.40787949015063729</v>
      </c>
      <c r="AD179" s="191">
        <f t="shared" si="78"/>
        <v>17.674240000000001</v>
      </c>
      <c r="AE179" s="17"/>
      <c r="AF179" s="198"/>
      <c r="AG179" s="6" t="s">
        <v>1069</v>
      </c>
    </row>
    <row r="180" spans="1:33" x14ac:dyDescent="0.2">
      <c r="A180" s="182" t="s">
        <v>26</v>
      </c>
      <c r="B180" s="17" t="s">
        <v>702</v>
      </c>
      <c r="C180" s="230"/>
      <c r="D180" s="213" t="s">
        <v>708</v>
      </c>
      <c r="E180" s="41" t="s">
        <v>1264</v>
      </c>
      <c r="F180" s="45" t="s">
        <v>1265</v>
      </c>
      <c r="G180" s="124">
        <v>1787.36</v>
      </c>
      <c r="H180" s="124">
        <v>35</v>
      </c>
      <c r="I180" s="162">
        <v>544</v>
      </c>
      <c r="J180" s="138"/>
      <c r="K180" s="20"/>
      <c r="L180" s="456">
        <v>158.49100000000001</v>
      </c>
      <c r="M180" s="457">
        <f t="shared" si="72"/>
        <v>420.00115</v>
      </c>
      <c r="N180" s="65">
        <f t="shared" si="73"/>
        <v>234.98408266941189</v>
      </c>
      <c r="O180" s="64"/>
      <c r="P180" s="65"/>
      <c r="Q180" s="65">
        <v>2532</v>
      </c>
      <c r="R180" s="65">
        <v>16</v>
      </c>
      <c r="S180" s="65" t="s">
        <v>1046</v>
      </c>
      <c r="T180" s="65">
        <v>704</v>
      </c>
      <c r="U180" s="151">
        <v>4</v>
      </c>
      <c r="V180" s="65">
        <v>2054</v>
      </c>
      <c r="W180" s="65">
        <v>2</v>
      </c>
      <c r="X180" s="110">
        <f t="shared" si="74"/>
        <v>15849.100000000002</v>
      </c>
      <c r="Y180" s="81"/>
      <c r="Z180" s="141"/>
      <c r="AA180" s="378">
        <f t="shared" si="75"/>
        <v>165.87723143759874</v>
      </c>
      <c r="AB180" s="154">
        <f t="shared" si="76"/>
        <v>0</v>
      </c>
      <c r="AC180" s="281">
        <f t="shared" si="77"/>
        <v>0.34274586173320348</v>
      </c>
      <c r="AD180" s="191">
        <f t="shared" si="78"/>
        <v>21.032959999999999</v>
      </c>
      <c r="AE180" s="17"/>
      <c r="AF180" s="198"/>
    </row>
    <row r="181" spans="1:33" x14ac:dyDescent="0.2">
      <c r="A181" s="182" t="s">
        <v>26</v>
      </c>
      <c r="B181" s="17" t="s">
        <v>702</v>
      </c>
      <c r="C181" s="230"/>
      <c r="D181" s="213" t="s">
        <v>708</v>
      </c>
      <c r="E181" s="41" t="s">
        <v>1978</v>
      </c>
      <c r="F181" s="45" t="s">
        <v>1265</v>
      </c>
      <c r="G181" s="124">
        <v>2405.92</v>
      </c>
      <c r="H181" s="124">
        <v>35</v>
      </c>
      <c r="I181" s="162">
        <v>544</v>
      </c>
      <c r="J181" s="138"/>
      <c r="K181" s="20"/>
      <c r="L181" s="456">
        <v>190.24</v>
      </c>
      <c r="M181" s="457">
        <f t="shared" si="72"/>
        <v>504.13600000000002</v>
      </c>
      <c r="N181" s="65">
        <f t="shared" si="73"/>
        <v>209.53980182217197</v>
      </c>
      <c r="O181" s="64"/>
      <c r="P181" s="65"/>
      <c r="Q181" s="65">
        <v>2312</v>
      </c>
      <c r="R181" s="65">
        <v>16</v>
      </c>
      <c r="S181" s="469" t="s">
        <v>1046</v>
      </c>
      <c r="T181" s="65">
        <v>704</v>
      </c>
      <c r="U181" s="151">
        <v>4</v>
      </c>
      <c r="V181" s="65">
        <v>2414</v>
      </c>
      <c r="W181" s="65">
        <v>2</v>
      </c>
      <c r="X181" s="110">
        <f t="shared" si="74"/>
        <v>19024</v>
      </c>
      <c r="Y181" s="81"/>
      <c r="Z181" s="141"/>
      <c r="AA181" s="378">
        <f t="shared" si="75"/>
        <v>218.05190311418684</v>
      </c>
      <c r="AB181" s="154">
        <f t="shared" si="76"/>
        <v>0</v>
      </c>
      <c r="AC181" s="281">
        <f t="shared" si="77"/>
        <v>0.29163214581607289</v>
      </c>
      <c r="AD181" s="191">
        <f t="shared" si="78"/>
        <v>24.719360000000002</v>
      </c>
      <c r="AE181" s="17"/>
      <c r="AF181" s="198"/>
    </row>
    <row r="182" spans="1:33" x14ac:dyDescent="0.2">
      <c r="A182" s="182"/>
      <c r="B182" s="17" t="s">
        <v>702</v>
      </c>
      <c r="C182" s="230"/>
      <c r="D182" s="213" t="s">
        <v>708</v>
      </c>
      <c r="E182" s="41" t="s">
        <v>1979</v>
      </c>
      <c r="F182" s="45" t="s">
        <v>1276</v>
      </c>
      <c r="G182" s="127">
        <v>1467.57</v>
      </c>
      <c r="H182" s="124">
        <v>31</v>
      </c>
      <c r="I182" s="162">
        <v>394</v>
      </c>
      <c r="J182" s="138"/>
      <c r="K182" s="20"/>
      <c r="L182" s="456">
        <v>132.07499999999999</v>
      </c>
      <c r="M182" s="457">
        <f t="shared" si="72"/>
        <v>349.99874999999997</v>
      </c>
      <c r="N182" s="65">
        <f t="shared" si="73"/>
        <v>238.48862405200435</v>
      </c>
      <c r="O182" s="64"/>
      <c r="P182" s="65">
        <v>2</v>
      </c>
      <c r="Q182" s="65">
        <v>1618</v>
      </c>
      <c r="R182" s="65"/>
      <c r="S182" s="469" t="s">
        <v>1172</v>
      </c>
      <c r="T182" s="65">
        <v>744</v>
      </c>
      <c r="U182" s="151">
        <v>4</v>
      </c>
      <c r="V182" s="65">
        <v>1729</v>
      </c>
      <c r="W182" s="65">
        <v>2</v>
      </c>
      <c r="X182" s="110">
        <f t="shared" si="74"/>
        <v>13207.499999999998</v>
      </c>
      <c r="Y182" s="81"/>
      <c r="Z182" s="141"/>
      <c r="AA182" s="378">
        <f t="shared" si="75"/>
        <v>216.31566749072928</v>
      </c>
      <c r="AB182" s="154">
        <f t="shared" si="76"/>
        <v>0</v>
      </c>
      <c r="AC182" s="281">
        <f t="shared" si="77"/>
        <v>0.43030653556969345</v>
      </c>
      <c r="AD182" s="191">
        <f t="shared" si="78"/>
        <v>17.70496</v>
      </c>
      <c r="AE182" s="25"/>
      <c r="AF182" s="220"/>
      <c r="AG182" s="492" t="s">
        <v>1561</v>
      </c>
    </row>
    <row r="183" spans="1:33" ht="13.5" thickBot="1" x14ac:dyDescent="0.25">
      <c r="A183" s="182"/>
      <c r="B183" s="21" t="s">
        <v>702</v>
      </c>
      <c r="C183" s="232"/>
      <c r="D183" s="214" t="s">
        <v>708</v>
      </c>
      <c r="E183" s="33" t="s">
        <v>1980</v>
      </c>
      <c r="F183" s="45" t="s">
        <v>1174</v>
      </c>
      <c r="G183" s="125">
        <v>3495</v>
      </c>
      <c r="H183" s="125">
        <v>31</v>
      </c>
      <c r="I183" s="163">
        <v>394</v>
      </c>
      <c r="J183" s="150"/>
      <c r="K183" s="24"/>
      <c r="L183" s="458">
        <v>174.34</v>
      </c>
      <c r="M183" s="459">
        <f t="shared" si="72"/>
        <v>462.00099999999998</v>
      </c>
      <c r="N183" s="65">
        <f t="shared" si="73"/>
        <v>132.18912732474965</v>
      </c>
      <c r="O183" s="67"/>
      <c r="P183" s="68">
        <v>2</v>
      </c>
      <c r="Q183" s="68">
        <v>2180</v>
      </c>
      <c r="R183" s="68"/>
      <c r="S183" s="533" t="s">
        <v>1173</v>
      </c>
      <c r="T183" s="68">
        <v>744</v>
      </c>
      <c r="U183" s="152">
        <v>4</v>
      </c>
      <c r="V183" s="68">
        <v>2282</v>
      </c>
      <c r="W183" s="68">
        <v>2</v>
      </c>
      <c r="X183" s="111">
        <f t="shared" si="74"/>
        <v>17434</v>
      </c>
      <c r="Y183" s="82"/>
      <c r="Z183" s="142"/>
      <c r="AA183" s="378">
        <f t="shared" si="75"/>
        <v>211.9270642201835</v>
      </c>
      <c r="AB183" s="155">
        <f>25*AM183/1000000</f>
        <v>0</v>
      </c>
      <c r="AC183" s="294">
        <f t="shared" si="77"/>
        <v>0.32602979842243646</v>
      </c>
      <c r="AD183" s="191">
        <f t="shared" si="78"/>
        <v>23.36768</v>
      </c>
      <c r="AE183" s="21"/>
      <c r="AF183" s="200"/>
      <c r="AG183" s="492" t="s">
        <v>1561</v>
      </c>
    </row>
    <row r="184" spans="1:33" ht="13.5" customHeight="1" x14ac:dyDescent="0.2">
      <c r="A184" s="182"/>
      <c r="B184" s="48" t="s">
        <v>717</v>
      </c>
      <c r="C184" s="226"/>
      <c r="D184" s="212"/>
      <c r="E184" s="12" t="s">
        <v>959</v>
      </c>
      <c r="F184" s="466" t="s">
        <v>1018</v>
      </c>
      <c r="G184" s="14" t="s">
        <v>22</v>
      </c>
      <c r="H184" s="40" t="s">
        <v>985</v>
      </c>
      <c r="I184" s="161"/>
      <c r="J184" s="136"/>
      <c r="K184" s="16" t="s">
        <v>22</v>
      </c>
      <c r="L184" s="486" t="s">
        <v>1442</v>
      </c>
      <c r="M184" s="61" t="s">
        <v>989</v>
      </c>
      <c r="N184" s="380">
        <f>AVERAGE(N185:N198)</f>
        <v>258.78999010731167</v>
      </c>
      <c r="O184" s="382" t="e">
        <f>AVERAGE(O185:O194)</f>
        <v>#DIV/0!</v>
      </c>
      <c r="P184" s="61"/>
      <c r="Q184" s="61" t="s">
        <v>1737</v>
      </c>
      <c r="R184" s="61"/>
      <c r="S184" s="399" t="s">
        <v>1058</v>
      </c>
      <c r="T184" s="61"/>
      <c r="U184" s="61" t="s">
        <v>1047</v>
      </c>
      <c r="V184" s="62" t="s">
        <v>1008</v>
      </c>
      <c r="W184" s="61" t="s">
        <v>634</v>
      </c>
      <c r="X184" s="109" t="s">
        <v>25</v>
      </c>
      <c r="Y184" s="80"/>
      <c r="Z184" s="164"/>
      <c r="AA184" s="372">
        <f>AVERAGE(AA185:AA198)</f>
        <v>2003.9884041484652</v>
      </c>
      <c r="AB184" s="92">
        <f>AVERAGE(AB185:AB194)</f>
        <v>0</v>
      </c>
      <c r="AC184" s="1452">
        <f>AVERAGE(AC185:AC198)</f>
        <v>0.74658118856672606</v>
      </c>
      <c r="AD184" s="109" t="s">
        <v>650</v>
      </c>
      <c r="AE184" s="193"/>
      <c r="AF184" s="196" t="e">
        <f>AVERAGE(AF185:AF198)</f>
        <v>#DIV/0!</v>
      </c>
      <c r="AG184" s="6" t="s">
        <v>1059</v>
      </c>
    </row>
    <row r="185" spans="1:33" x14ac:dyDescent="0.2">
      <c r="A185" s="182" t="s">
        <v>26</v>
      </c>
      <c r="B185" s="17" t="s">
        <v>702</v>
      </c>
      <c r="C185" s="230" t="s">
        <v>697</v>
      </c>
      <c r="D185" s="213" t="s">
        <v>708</v>
      </c>
      <c r="E185" s="17" t="s">
        <v>1061</v>
      </c>
      <c r="F185" s="45" t="s">
        <v>1276</v>
      </c>
      <c r="G185" s="19">
        <v>8316</v>
      </c>
      <c r="H185" s="124">
        <v>40</v>
      </c>
      <c r="I185" s="162">
        <v>597</v>
      </c>
      <c r="J185" s="138"/>
      <c r="K185" s="20"/>
      <c r="L185" s="456">
        <v>425</v>
      </c>
      <c r="M185" s="457">
        <f t="shared" ref="M185:M198" si="79">2.65*L185</f>
        <v>1126.25</v>
      </c>
      <c r="N185" s="65">
        <f t="shared" ref="N185:N198" si="80">IF(AND(G185&lt;&gt;"",M185&lt;&gt;""),1000*M185/G185,"")</f>
        <v>135.43169793169793</v>
      </c>
      <c r="O185" s="64"/>
      <c r="P185" s="65"/>
      <c r="Q185" s="65">
        <v>512</v>
      </c>
      <c r="R185" s="65">
        <v>28</v>
      </c>
      <c r="S185" s="65" t="s">
        <v>1063</v>
      </c>
      <c r="T185" s="65">
        <v>1200</v>
      </c>
      <c r="U185" s="65">
        <v>4</v>
      </c>
      <c r="V185" s="65">
        <v>2304</v>
      </c>
      <c r="W185" s="65">
        <v>1</v>
      </c>
      <c r="X185" s="110">
        <f t="shared" ref="X185:X198" si="81">L185*100</f>
        <v>42500</v>
      </c>
      <c r="Y185" s="81"/>
      <c r="Z185" s="141"/>
      <c r="AA185" s="378">
        <f t="shared" ref="AA185:AA220" si="82">M185*1000/Q185</f>
        <v>2199.70703125</v>
      </c>
      <c r="AB185" s="154">
        <f t="shared" ref="AB185:AB198" si="83">25*AM185/1000000</f>
        <v>0</v>
      </c>
      <c r="AC185" s="281">
        <f t="shared" ref="AC185:AC198" si="84">T185/V185</f>
        <v>0.52083333333333337</v>
      </c>
      <c r="AD185" s="191">
        <f t="shared" ref="AD185:AD198" si="85">(V185*20480)/1000000</f>
        <v>47.185920000000003</v>
      </c>
      <c r="AE185" s="17"/>
      <c r="AF185" s="198"/>
      <c r="AG185" s="492" t="s">
        <v>1552</v>
      </c>
    </row>
    <row r="186" spans="1:33" x14ac:dyDescent="0.2">
      <c r="A186" s="182" t="s">
        <v>26</v>
      </c>
      <c r="B186" s="17" t="s">
        <v>702</v>
      </c>
      <c r="C186" s="230" t="s">
        <v>697</v>
      </c>
      <c r="D186" s="213" t="s">
        <v>708</v>
      </c>
      <c r="E186" s="17" t="s">
        <v>1062</v>
      </c>
      <c r="F186" s="45" t="s">
        <v>1276</v>
      </c>
      <c r="G186" s="124">
        <v>10123</v>
      </c>
      <c r="H186" s="124">
        <v>40</v>
      </c>
      <c r="I186" s="162">
        <v>597</v>
      </c>
      <c r="J186" s="138"/>
      <c r="K186" s="20"/>
      <c r="L186" s="456">
        <v>622</v>
      </c>
      <c r="M186" s="457">
        <f t="shared" si="79"/>
        <v>1648.3</v>
      </c>
      <c r="N186" s="65">
        <f t="shared" si="80"/>
        <v>162.82722513089004</v>
      </c>
      <c r="O186" s="64"/>
      <c r="P186" s="65"/>
      <c r="Q186" s="65">
        <v>512</v>
      </c>
      <c r="R186" s="65">
        <v>28</v>
      </c>
      <c r="S186" s="65" t="s">
        <v>1063</v>
      </c>
      <c r="T186" s="65">
        <v>1200</v>
      </c>
      <c r="U186" s="65">
        <v>4</v>
      </c>
      <c r="V186" s="65">
        <v>2560</v>
      </c>
      <c r="W186" s="65">
        <v>1</v>
      </c>
      <c r="X186" s="110">
        <f t="shared" si="81"/>
        <v>62200</v>
      </c>
      <c r="Y186" s="81"/>
      <c r="Z186" s="141"/>
      <c r="AA186" s="378">
        <f t="shared" si="82"/>
        <v>3219.3359375</v>
      </c>
      <c r="AB186" s="154">
        <f t="shared" si="83"/>
        <v>0</v>
      </c>
      <c r="AC186" s="281">
        <f t="shared" si="84"/>
        <v>0.46875</v>
      </c>
      <c r="AD186" s="191">
        <f t="shared" si="85"/>
        <v>52.428800000000003</v>
      </c>
      <c r="AE186" s="17"/>
      <c r="AF186" s="198"/>
      <c r="AG186" s="6" t="s">
        <v>723</v>
      </c>
    </row>
    <row r="187" spans="1:33" x14ac:dyDescent="0.2">
      <c r="A187" s="182" t="s">
        <v>26</v>
      </c>
      <c r="B187" s="17" t="s">
        <v>702</v>
      </c>
      <c r="C187" s="230" t="s">
        <v>697</v>
      </c>
      <c r="D187" s="213" t="s">
        <v>708</v>
      </c>
      <c r="E187" s="41" t="s">
        <v>1266</v>
      </c>
      <c r="F187" s="45" t="s">
        <v>1275</v>
      </c>
      <c r="G187" s="19">
        <v>2140</v>
      </c>
      <c r="H187" s="124">
        <v>29</v>
      </c>
      <c r="I187" s="162">
        <v>264</v>
      </c>
      <c r="J187" s="138"/>
      <c r="K187" s="20"/>
      <c r="L187" s="456">
        <v>340</v>
      </c>
      <c r="M187" s="457">
        <f t="shared" si="79"/>
        <v>901</v>
      </c>
      <c r="N187" s="65">
        <f t="shared" si="80"/>
        <v>421.02803738317755</v>
      </c>
      <c r="O187" s="64"/>
      <c r="P187" s="65"/>
      <c r="Q187" s="65">
        <v>512</v>
      </c>
      <c r="R187" s="65">
        <v>20</v>
      </c>
      <c r="S187" s="65" t="s">
        <v>1066</v>
      </c>
      <c r="T187" s="65">
        <v>1392</v>
      </c>
      <c r="U187" s="65">
        <v>4</v>
      </c>
      <c r="V187" s="65">
        <v>957</v>
      </c>
      <c r="W187" s="65">
        <v>2</v>
      </c>
      <c r="X187" s="110">
        <f t="shared" si="81"/>
        <v>34000</v>
      </c>
      <c r="Y187" s="81"/>
      <c r="Z187" s="141"/>
      <c r="AA187" s="378">
        <f t="shared" si="82"/>
        <v>1759.765625</v>
      </c>
      <c r="AB187" s="154">
        <f t="shared" si="83"/>
        <v>0</v>
      </c>
      <c r="AC187" s="281">
        <f t="shared" si="84"/>
        <v>1.4545454545454546</v>
      </c>
      <c r="AD187" s="191">
        <f t="shared" si="85"/>
        <v>19.599360000000001</v>
      </c>
      <c r="AE187" s="17"/>
      <c r="AF187" s="198"/>
      <c r="AG187" s="6" t="s">
        <v>988</v>
      </c>
    </row>
    <row r="188" spans="1:33" x14ac:dyDescent="0.2">
      <c r="A188" s="182" t="s">
        <v>26</v>
      </c>
      <c r="B188" s="17" t="s">
        <v>702</v>
      </c>
      <c r="C188" s="230" t="s">
        <v>697</v>
      </c>
      <c r="D188" s="213" t="s">
        <v>708</v>
      </c>
      <c r="E188" s="41" t="s">
        <v>1267</v>
      </c>
      <c r="F188" s="45" t="s">
        <v>1275</v>
      </c>
      <c r="G188" s="19">
        <v>3521</v>
      </c>
      <c r="H188" s="124">
        <v>29</v>
      </c>
      <c r="I188" s="162">
        <v>264</v>
      </c>
      <c r="J188" s="138"/>
      <c r="K188" s="20"/>
      <c r="L188" s="456">
        <v>420</v>
      </c>
      <c r="M188" s="457">
        <f t="shared" si="79"/>
        <v>1113</v>
      </c>
      <c r="N188" s="65">
        <f t="shared" si="80"/>
        <v>316.10337972166997</v>
      </c>
      <c r="O188" s="64"/>
      <c r="P188" s="65"/>
      <c r="Q188" s="65">
        <v>512</v>
      </c>
      <c r="R188" s="65">
        <v>24</v>
      </c>
      <c r="S188" s="65" t="s">
        <v>1066</v>
      </c>
      <c r="T188" s="65">
        <v>1392</v>
      </c>
      <c r="U188" s="65">
        <v>4</v>
      </c>
      <c r="V188" s="65">
        <v>1900</v>
      </c>
      <c r="W188" s="65">
        <v>2</v>
      </c>
      <c r="X188" s="110">
        <f t="shared" si="81"/>
        <v>42000</v>
      </c>
      <c r="Y188" s="81"/>
      <c r="Z188" s="141"/>
      <c r="AA188" s="378">
        <f t="shared" si="82"/>
        <v>2173.828125</v>
      </c>
      <c r="AB188" s="154">
        <f t="shared" si="83"/>
        <v>0</v>
      </c>
      <c r="AC188" s="281">
        <f t="shared" si="84"/>
        <v>0.73263157894736841</v>
      </c>
      <c r="AD188" s="191">
        <f t="shared" si="85"/>
        <v>38.911999999999999</v>
      </c>
      <c r="AE188" s="17"/>
      <c r="AF188" s="198"/>
      <c r="AG188" s="6" t="s">
        <v>1049</v>
      </c>
    </row>
    <row r="189" spans="1:33" x14ac:dyDescent="0.2">
      <c r="A189" s="182" t="s">
        <v>26</v>
      </c>
      <c r="B189" s="17" t="s">
        <v>702</v>
      </c>
      <c r="C189" s="230" t="s">
        <v>697</v>
      </c>
      <c r="D189" s="213" t="s">
        <v>708</v>
      </c>
      <c r="E189" s="41" t="s">
        <v>1969</v>
      </c>
      <c r="F189" s="45" t="s">
        <v>1265</v>
      </c>
      <c r="G189" s="19">
        <v>4477</v>
      </c>
      <c r="H189" s="124">
        <v>35</v>
      </c>
      <c r="I189" s="162">
        <v>552</v>
      </c>
      <c r="J189" s="138"/>
      <c r="K189" s="20"/>
      <c r="L189" s="456">
        <v>490</v>
      </c>
      <c r="M189" s="457">
        <f t="shared" si="79"/>
        <v>1298.5</v>
      </c>
      <c r="N189" s="65">
        <f t="shared" si="80"/>
        <v>290.03797185615366</v>
      </c>
      <c r="O189" s="64"/>
      <c r="P189" s="65"/>
      <c r="Q189" s="65">
        <v>512</v>
      </c>
      <c r="R189" s="65">
        <v>28</v>
      </c>
      <c r="S189" s="65" t="s">
        <v>1067</v>
      </c>
      <c r="T189" s="65">
        <v>1200</v>
      </c>
      <c r="U189" s="65">
        <v>6</v>
      </c>
      <c r="V189" s="65">
        <v>2304</v>
      </c>
      <c r="W189" s="65">
        <v>4</v>
      </c>
      <c r="X189" s="110">
        <f t="shared" si="81"/>
        <v>49000</v>
      </c>
      <c r="Y189" s="81"/>
      <c r="Z189" s="141"/>
      <c r="AA189" s="378">
        <f t="shared" si="82"/>
        <v>2536.1328125</v>
      </c>
      <c r="AB189" s="154">
        <f t="shared" si="83"/>
        <v>0</v>
      </c>
      <c r="AC189" s="281">
        <f t="shared" si="84"/>
        <v>0.52083333333333337</v>
      </c>
      <c r="AD189" s="191">
        <f t="shared" si="85"/>
        <v>47.185920000000003</v>
      </c>
      <c r="AE189" s="17"/>
      <c r="AF189" s="198"/>
      <c r="AG189" s="6" t="s">
        <v>1064</v>
      </c>
    </row>
    <row r="190" spans="1:33" x14ac:dyDescent="0.2">
      <c r="A190" s="182" t="s">
        <v>26</v>
      </c>
      <c r="B190" s="17" t="s">
        <v>702</v>
      </c>
      <c r="C190" s="230" t="s">
        <v>697</v>
      </c>
      <c r="D190" s="213" t="s">
        <v>703</v>
      </c>
      <c r="E190" s="41" t="s">
        <v>1268</v>
      </c>
      <c r="F190" s="45" t="s">
        <v>1265</v>
      </c>
      <c r="G190" s="19">
        <v>4832</v>
      </c>
      <c r="H190" s="124">
        <v>35</v>
      </c>
      <c r="I190" s="162">
        <v>552</v>
      </c>
      <c r="J190" s="138"/>
      <c r="K190" s="20"/>
      <c r="L190" s="456">
        <v>622</v>
      </c>
      <c r="M190" s="457">
        <f t="shared" si="79"/>
        <v>1648.3</v>
      </c>
      <c r="N190" s="65">
        <f t="shared" si="80"/>
        <v>341.12168874172187</v>
      </c>
      <c r="O190" s="64"/>
      <c r="P190" s="65"/>
      <c r="Q190" s="65">
        <v>512</v>
      </c>
      <c r="R190" s="65">
        <v>28</v>
      </c>
      <c r="S190" s="65" t="s">
        <v>1067</v>
      </c>
      <c r="T190" s="65">
        <v>1200</v>
      </c>
      <c r="U190" s="65">
        <v>6</v>
      </c>
      <c r="V190" s="65">
        <v>2560</v>
      </c>
      <c r="W190" s="65">
        <v>4</v>
      </c>
      <c r="X190" s="110">
        <f t="shared" si="81"/>
        <v>62200</v>
      </c>
      <c r="Y190" s="81"/>
      <c r="Z190" s="141"/>
      <c r="AA190" s="378">
        <f t="shared" si="82"/>
        <v>3219.3359375</v>
      </c>
      <c r="AB190" s="154">
        <f t="shared" si="83"/>
        <v>0</v>
      </c>
      <c r="AC190" s="281">
        <f t="shared" si="84"/>
        <v>0.46875</v>
      </c>
      <c r="AD190" s="191">
        <f t="shared" si="85"/>
        <v>52.428800000000003</v>
      </c>
      <c r="AE190" s="17"/>
      <c r="AF190" s="198"/>
      <c r="AG190" s="6" t="s">
        <v>1065</v>
      </c>
    </row>
    <row r="191" spans="1:33" x14ac:dyDescent="0.2">
      <c r="A191" s="182" t="s">
        <v>26</v>
      </c>
      <c r="B191" s="17" t="s">
        <v>702</v>
      </c>
      <c r="C191" s="230" t="s">
        <v>697</v>
      </c>
      <c r="D191" s="213" t="s">
        <v>708</v>
      </c>
      <c r="E191" s="41" t="s">
        <v>1967</v>
      </c>
      <c r="F191" s="45" t="s">
        <v>1276</v>
      </c>
      <c r="G191" s="19">
        <v>7316</v>
      </c>
      <c r="H191" s="124">
        <v>40</v>
      </c>
      <c r="I191" s="162">
        <v>696</v>
      </c>
      <c r="J191" s="138"/>
      <c r="K191" s="20"/>
      <c r="L191" s="456">
        <v>840</v>
      </c>
      <c r="M191" s="457">
        <f t="shared" si="79"/>
        <v>2226</v>
      </c>
      <c r="N191" s="65">
        <f t="shared" si="80"/>
        <v>304.2646254784035</v>
      </c>
      <c r="O191" s="64"/>
      <c r="P191" s="65"/>
      <c r="Q191" s="65">
        <v>704</v>
      </c>
      <c r="R191" s="65">
        <v>28</v>
      </c>
      <c r="S191" s="65" t="s">
        <v>1067</v>
      </c>
      <c r="T191" s="65">
        <v>1392</v>
      </c>
      <c r="U191" s="65">
        <v>6</v>
      </c>
      <c r="V191" s="65">
        <v>2640</v>
      </c>
      <c r="W191" s="65">
        <v>4</v>
      </c>
      <c r="X191" s="110">
        <f t="shared" si="81"/>
        <v>84000</v>
      </c>
      <c r="Y191" s="81"/>
      <c r="Z191" s="141"/>
      <c r="AA191" s="378">
        <f t="shared" si="82"/>
        <v>3161.931818181818</v>
      </c>
      <c r="AB191" s="154">
        <f t="shared" si="83"/>
        <v>0</v>
      </c>
      <c r="AC191" s="281">
        <f t="shared" si="84"/>
        <v>0.52727272727272723</v>
      </c>
      <c r="AD191" s="191">
        <f t="shared" si="85"/>
        <v>54.0672</v>
      </c>
      <c r="AE191" s="17"/>
      <c r="AF191" s="198"/>
      <c r="AG191" s="6" t="s">
        <v>1052</v>
      </c>
    </row>
    <row r="192" spans="1:33" x14ac:dyDescent="0.2">
      <c r="A192" s="182" t="s">
        <v>26</v>
      </c>
      <c r="B192" s="17" t="s">
        <v>702</v>
      </c>
      <c r="C192" s="230" t="s">
        <v>697</v>
      </c>
      <c r="D192" s="213" t="s">
        <v>708</v>
      </c>
      <c r="E192" s="494" t="s">
        <v>1968</v>
      </c>
      <c r="F192" s="45" t="s">
        <v>1276</v>
      </c>
      <c r="G192" s="124">
        <v>13022</v>
      </c>
      <c r="H192" s="124">
        <v>40</v>
      </c>
      <c r="I192" s="162">
        <v>696</v>
      </c>
      <c r="J192" s="138"/>
      <c r="K192" s="20"/>
      <c r="L192" s="456">
        <v>952</v>
      </c>
      <c r="M192" s="457">
        <f t="shared" si="79"/>
        <v>2522.7999999999997</v>
      </c>
      <c r="N192" s="65">
        <f t="shared" si="80"/>
        <v>193.73368146214096</v>
      </c>
      <c r="O192" s="64"/>
      <c r="P192" s="65"/>
      <c r="Q192" s="65">
        <v>704</v>
      </c>
      <c r="R192" s="65">
        <v>28</v>
      </c>
      <c r="S192" s="65" t="s">
        <v>1067</v>
      </c>
      <c r="T192" s="65">
        <v>1392</v>
      </c>
      <c r="U192" s="65">
        <v>6</v>
      </c>
      <c r="V192" s="65">
        <v>2640</v>
      </c>
      <c r="W192" s="65">
        <v>4</v>
      </c>
      <c r="X192" s="110">
        <f t="shared" si="81"/>
        <v>95200</v>
      </c>
      <c r="Y192" s="81"/>
      <c r="Z192" s="141"/>
      <c r="AA192" s="378">
        <f t="shared" si="82"/>
        <v>3583.5227272727266</v>
      </c>
      <c r="AB192" s="154">
        <f t="shared" si="83"/>
        <v>0</v>
      </c>
      <c r="AC192" s="281">
        <f t="shared" si="84"/>
        <v>0.52727272727272723</v>
      </c>
      <c r="AD192" s="191">
        <f t="shared" si="85"/>
        <v>54.0672</v>
      </c>
      <c r="AE192" s="17"/>
      <c r="AF192" s="198"/>
      <c r="AG192" s="6" t="s">
        <v>1060</v>
      </c>
    </row>
    <row r="193" spans="1:33" x14ac:dyDescent="0.2">
      <c r="A193" s="182" t="s">
        <v>26</v>
      </c>
      <c r="B193" s="17" t="s">
        <v>702</v>
      </c>
      <c r="C193" s="230" t="s">
        <v>697</v>
      </c>
      <c r="D193" s="213" t="s">
        <v>708</v>
      </c>
      <c r="E193" s="494" t="s">
        <v>1269</v>
      </c>
      <c r="F193" s="45" t="s">
        <v>1276</v>
      </c>
      <c r="G193" s="19">
        <v>6503</v>
      </c>
      <c r="H193" s="124">
        <v>40</v>
      </c>
      <c r="I193" s="162">
        <v>432</v>
      </c>
      <c r="J193" s="138"/>
      <c r="K193" s="20"/>
      <c r="L193" s="456">
        <v>597</v>
      </c>
      <c r="M193" s="457">
        <f t="shared" si="79"/>
        <v>1582.05</v>
      </c>
      <c r="N193" s="65">
        <f t="shared" si="80"/>
        <v>243.28002460402891</v>
      </c>
      <c r="O193" s="64"/>
      <c r="P193" s="65"/>
      <c r="Q193" s="65">
        <v>399</v>
      </c>
      <c r="R193" s="65">
        <v>24</v>
      </c>
      <c r="S193" s="65">
        <v>66</v>
      </c>
      <c r="T193" s="65">
        <v>1200</v>
      </c>
      <c r="U193" s="65">
        <v>4</v>
      </c>
      <c r="V193" s="65">
        <v>2660</v>
      </c>
      <c r="W193" s="65">
        <v>4</v>
      </c>
      <c r="X193" s="110">
        <f t="shared" si="81"/>
        <v>59700</v>
      </c>
      <c r="Y193" s="81"/>
      <c r="Z193" s="141"/>
      <c r="AA193" s="378">
        <f t="shared" si="82"/>
        <v>3965.0375939849623</v>
      </c>
      <c r="AB193" s="154">
        <f t="shared" si="83"/>
        <v>0</v>
      </c>
      <c r="AC193" s="281">
        <f t="shared" si="84"/>
        <v>0.45112781954887216</v>
      </c>
      <c r="AD193" s="191">
        <f t="shared" si="85"/>
        <v>54.476799999999997</v>
      </c>
      <c r="AE193" s="17"/>
      <c r="AF193" s="198"/>
    </row>
    <row r="194" spans="1:33" x14ac:dyDescent="0.2">
      <c r="A194" s="182" t="s">
        <v>26</v>
      </c>
      <c r="B194" s="17" t="s">
        <v>702</v>
      </c>
      <c r="C194" s="230" t="s">
        <v>697</v>
      </c>
      <c r="D194" s="213" t="s">
        <v>708</v>
      </c>
      <c r="E194" s="41" t="s">
        <v>1270</v>
      </c>
      <c r="F194" s="45" t="s">
        <v>1275</v>
      </c>
      <c r="G194" s="19">
        <v>1804</v>
      </c>
      <c r="H194" s="124">
        <v>29</v>
      </c>
      <c r="I194" s="162">
        <v>360</v>
      </c>
      <c r="J194" s="138"/>
      <c r="K194" s="20"/>
      <c r="L194" s="456">
        <v>236</v>
      </c>
      <c r="M194" s="457">
        <f t="shared" si="79"/>
        <v>625.4</v>
      </c>
      <c r="N194" s="65">
        <f t="shared" si="80"/>
        <v>346.67405764966742</v>
      </c>
      <c r="O194" s="64"/>
      <c r="P194" s="65"/>
      <c r="Q194" s="65">
        <v>1200</v>
      </c>
      <c r="R194" s="65">
        <v>20</v>
      </c>
      <c r="S194" s="65">
        <v>24</v>
      </c>
      <c r="T194" s="65">
        <v>864</v>
      </c>
      <c r="U194" s="65">
        <v>2</v>
      </c>
      <c r="V194" s="65">
        <v>688</v>
      </c>
      <c r="W194" s="65">
        <v>1</v>
      </c>
      <c r="X194" s="110">
        <f t="shared" si="81"/>
        <v>23600</v>
      </c>
      <c r="Y194" s="81"/>
      <c r="Z194" s="141"/>
      <c r="AA194" s="378">
        <f t="shared" si="82"/>
        <v>521.16666666666663</v>
      </c>
      <c r="AB194" s="154">
        <f t="shared" si="83"/>
        <v>0</v>
      </c>
      <c r="AC194" s="281">
        <f t="shared" si="84"/>
        <v>1.2558139534883721</v>
      </c>
      <c r="AD194" s="191">
        <f t="shared" si="85"/>
        <v>14.09024</v>
      </c>
      <c r="AE194" s="17"/>
      <c r="AF194" s="198"/>
    </row>
    <row r="195" spans="1:33" x14ac:dyDescent="0.2">
      <c r="A195" s="182" t="s">
        <v>26</v>
      </c>
      <c r="B195" s="17" t="s">
        <v>702</v>
      </c>
      <c r="C195" s="230" t="s">
        <v>697</v>
      </c>
      <c r="D195" s="213" t="s">
        <v>708</v>
      </c>
      <c r="E195" s="41" t="s">
        <v>1271</v>
      </c>
      <c r="F195" s="45" t="s">
        <v>1275</v>
      </c>
      <c r="G195" s="19">
        <v>2940</v>
      </c>
      <c r="H195" s="124">
        <v>29</v>
      </c>
      <c r="I195" s="162">
        <v>360</v>
      </c>
      <c r="J195" s="138"/>
      <c r="K195" s="20"/>
      <c r="L195" s="485">
        <v>332</v>
      </c>
      <c r="M195" s="457">
        <f t="shared" si="79"/>
        <v>879.8</v>
      </c>
      <c r="N195" s="65">
        <f t="shared" si="80"/>
        <v>299.25170068027211</v>
      </c>
      <c r="O195" s="64"/>
      <c r="P195" s="65"/>
      <c r="Q195" s="65">
        <v>2088</v>
      </c>
      <c r="R195" s="65">
        <v>20</v>
      </c>
      <c r="S195" s="65">
        <v>36</v>
      </c>
      <c r="T195" s="65">
        <v>1392</v>
      </c>
      <c r="U195" s="65">
        <v>4</v>
      </c>
      <c r="V195" s="65">
        <v>957</v>
      </c>
      <c r="W195" s="65">
        <v>1</v>
      </c>
      <c r="X195" s="110">
        <f t="shared" si="81"/>
        <v>33200</v>
      </c>
      <c r="Y195" s="81"/>
      <c r="Z195" s="141"/>
      <c r="AA195" s="378">
        <f t="shared" si="82"/>
        <v>421.36015325670496</v>
      </c>
      <c r="AB195" s="154">
        <f t="shared" si="83"/>
        <v>0</v>
      </c>
      <c r="AC195" s="281">
        <f t="shared" si="84"/>
        <v>1.4545454545454546</v>
      </c>
      <c r="AD195" s="191">
        <f t="shared" si="85"/>
        <v>19.599360000000001</v>
      </c>
      <c r="AE195" s="17"/>
      <c r="AF195" s="198"/>
    </row>
    <row r="196" spans="1:33" x14ac:dyDescent="0.2">
      <c r="A196" s="182" t="s">
        <v>26</v>
      </c>
      <c r="B196" s="17" t="s">
        <v>702</v>
      </c>
      <c r="C196" s="230" t="s">
        <v>697</v>
      </c>
      <c r="D196" s="213" t="s">
        <v>708</v>
      </c>
      <c r="E196" s="41" t="s">
        <v>1272</v>
      </c>
      <c r="F196" s="45" t="s">
        <v>1276</v>
      </c>
      <c r="G196" s="19">
        <v>7154</v>
      </c>
      <c r="H196" s="124">
        <v>40</v>
      </c>
      <c r="I196" s="162">
        <v>552</v>
      </c>
      <c r="J196" s="138"/>
      <c r="K196" s="20"/>
      <c r="L196" s="485">
        <v>462</v>
      </c>
      <c r="M196" s="457">
        <f t="shared" si="79"/>
        <v>1224.3</v>
      </c>
      <c r="N196" s="65">
        <f t="shared" si="80"/>
        <v>171.13502935420743</v>
      </c>
      <c r="O196" s="64"/>
      <c r="P196" s="65"/>
      <c r="Q196" s="65">
        <v>3180</v>
      </c>
      <c r="R196" s="65">
        <v>24</v>
      </c>
      <c r="S196" s="65">
        <v>36</v>
      </c>
      <c r="T196" s="65">
        <v>1392</v>
      </c>
      <c r="U196" s="65">
        <v>4</v>
      </c>
      <c r="V196" s="65">
        <v>2014</v>
      </c>
      <c r="W196" s="65">
        <v>1</v>
      </c>
      <c r="X196" s="110">
        <f t="shared" si="81"/>
        <v>46200</v>
      </c>
      <c r="Y196" s="81"/>
      <c r="Z196" s="141"/>
      <c r="AA196" s="378">
        <f t="shared" si="82"/>
        <v>385</v>
      </c>
      <c r="AB196" s="154">
        <f t="shared" si="83"/>
        <v>0</v>
      </c>
      <c r="AC196" s="281">
        <f t="shared" si="84"/>
        <v>0.69116186693147963</v>
      </c>
      <c r="AD196" s="191">
        <f t="shared" si="85"/>
        <v>41.246720000000003</v>
      </c>
      <c r="AE196" s="17"/>
      <c r="AF196" s="198"/>
    </row>
    <row r="197" spans="1:33" x14ac:dyDescent="0.2">
      <c r="A197" s="182" t="s">
        <v>26</v>
      </c>
      <c r="B197" s="17" t="s">
        <v>702</v>
      </c>
      <c r="C197" s="230" t="s">
        <v>697</v>
      </c>
      <c r="D197" s="213" t="s">
        <v>708</v>
      </c>
      <c r="E197" s="41" t="s">
        <v>1273</v>
      </c>
      <c r="F197" s="45" t="s">
        <v>1276</v>
      </c>
      <c r="G197" s="19">
        <v>8809</v>
      </c>
      <c r="H197" s="124">
        <v>40</v>
      </c>
      <c r="I197" s="162">
        <v>696</v>
      </c>
      <c r="J197" s="138"/>
      <c r="K197" s="20"/>
      <c r="L197" s="485">
        <v>583</v>
      </c>
      <c r="M197" s="457">
        <f t="shared" si="79"/>
        <v>1544.95</v>
      </c>
      <c r="N197" s="65">
        <f t="shared" si="80"/>
        <v>175.38313088886366</v>
      </c>
      <c r="O197" s="64"/>
      <c r="P197" s="65"/>
      <c r="Q197" s="65">
        <v>3550</v>
      </c>
      <c r="R197" s="65">
        <v>28</v>
      </c>
      <c r="S197" s="65">
        <v>48</v>
      </c>
      <c r="T197" s="65">
        <v>1680</v>
      </c>
      <c r="U197" s="65">
        <v>6</v>
      </c>
      <c r="V197" s="65">
        <v>2320</v>
      </c>
      <c r="W197" s="65">
        <v>2</v>
      </c>
      <c r="X197" s="110">
        <f t="shared" si="81"/>
        <v>58300</v>
      </c>
      <c r="Y197" s="81"/>
      <c r="Z197" s="141"/>
      <c r="AA197" s="378">
        <f t="shared" si="82"/>
        <v>435.19718309859155</v>
      </c>
      <c r="AB197" s="154">
        <f t="shared" si="83"/>
        <v>0</v>
      </c>
      <c r="AC197" s="281">
        <f t="shared" si="84"/>
        <v>0.72413793103448276</v>
      </c>
      <c r="AD197" s="191">
        <f t="shared" si="85"/>
        <v>47.513599999999997</v>
      </c>
      <c r="AE197" s="17"/>
      <c r="AF197" s="198"/>
    </row>
    <row r="198" spans="1:33" ht="13.5" thickBot="1" x14ac:dyDescent="0.25">
      <c r="A198" s="182" t="s">
        <v>26</v>
      </c>
      <c r="B198" s="17" t="s">
        <v>702</v>
      </c>
      <c r="C198" s="230" t="s">
        <v>697</v>
      </c>
      <c r="D198" s="213" t="s">
        <v>708</v>
      </c>
      <c r="E198" s="41" t="s">
        <v>1274</v>
      </c>
      <c r="F198" s="45" t="s">
        <v>1276</v>
      </c>
      <c r="G198" s="19">
        <v>8362</v>
      </c>
      <c r="H198" s="124">
        <v>40</v>
      </c>
      <c r="I198" s="162">
        <v>696</v>
      </c>
      <c r="J198" s="138"/>
      <c r="K198" s="20"/>
      <c r="L198" s="485">
        <v>703</v>
      </c>
      <c r="M198" s="457">
        <f t="shared" si="79"/>
        <v>1862.95</v>
      </c>
      <c r="N198" s="65">
        <f t="shared" si="80"/>
        <v>222.78761061946904</v>
      </c>
      <c r="O198" s="64"/>
      <c r="P198" s="65"/>
      <c r="Q198" s="65">
        <v>3926</v>
      </c>
      <c r="R198" s="65">
        <v>28</v>
      </c>
      <c r="S198" s="65">
        <v>48</v>
      </c>
      <c r="T198" s="65">
        <v>1680</v>
      </c>
      <c r="U198" s="65">
        <v>6</v>
      </c>
      <c r="V198" s="65">
        <v>2567</v>
      </c>
      <c r="W198" s="65">
        <v>2</v>
      </c>
      <c r="X198" s="110">
        <f t="shared" si="81"/>
        <v>70300</v>
      </c>
      <c r="Y198" s="216"/>
      <c r="Z198" s="141"/>
      <c r="AA198" s="378">
        <f t="shared" si="82"/>
        <v>474.51604686704025</v>
      </c>
      <c r="AB198" s="154">
        <f t="shared" si="83"/>
        <v>0</v>
      </c>
      <c r="AC198" s="281">
        <f t="shared" si="84"/>
        <v>0.65446045968056099</v>
      </c>
      <c r="AD198" s="191">
        <f t="shared" si="85"/>
        <v>52.572159999999997</v>
      </c>
      <c r="AE198" s="17"/>
      <c r="AF198" s="198"/>
    </row>
    <row r="199" spans="1:33" x14ac:dyDescent="0.2">
      <c r="A199" s="182"/>
      <c r="B199" s="48" t="s">
        <v>717</v>
      </c>
      <c r="C199" s="226"/>
      <c r="D199" s="212"/>
      <c r="E199" s="12" t="s">
        <v>1592</v>
      </c>
      <c r="F199" s="466" t="s">
        <v>1584</v>
      </c>
      <c r="G199" s="14" t="s">
        <v>22</v>
      </c>
      <c r="H199" s="132" t="s">
        <v>528</v>
      </c>
      <c r="I199" s="147"/>
      <c r="J199" s="145"/>
      <c r="K199" s="16" t="s">
        <v>22</v>
      </c>
      <c r="L199" s="248" t="s">
        <v>23</v>
      </c>
      <c r="M199" s="60"/>
      <c r="N199" s="385">
        <f>AVERAGE(N200:N206)</f>
        <v>645.69376610135544</v>
      </c>
      <c r="O199" s="61"/>
      <c r="P199" s="61"/>
      <c r="Q199" s="399" t="s">
        <v>92</v>
      </c>
      <c r="R199" s="61"/>
      <c r="S199" s="61" t="s">
        <v>1595</v>
      </c>
      <c r="T199" s="61"/>
      <c r="U199" s="61" t="s">
        <v>1593</v>
      </c>
      <c r="V199" s="62" t="s">
        <v>157</v>
      </c>
      <c r="W199" s="61" t="s">
        <v>1329</v>
      </c>
      <c r="X199" s="109" t="s">
        <v>25</v>
      </c>
      <c r="Y199" s="80" t="s">
        <v>65</v>
      </c>
      <c r="Z199" s="164"/>
      <c r="AA199" s="372">
        <f>AVERAGE(AA200:AA206)</f>
        <v>305.09379509379511</v>
      </c>
      <c r="AB199" s="92"/>
      <c r="AC199" s="398">
        <f>AVERAGE(AC200:AC206)</f>
        <v>6.8044642320988924</v>
      </c>
      <c r="AD199" s="109" t="s">
        <v>650</v>
      </c>
      <c r="AE199" s="193"/>
      <c r="AF199" s="212"/>
      <c r="AG199" s="516" t="s">
        <v>1583</v>
      </c>
    </row>
    <row r="200" spans="1:33" x14ac:dyDescent="0.2">
      <c r="A200" s="182" t="s">
        <v>26</v>
      </c>
      <c r="B200" s="1145" t="s">
        <v>1594</v>
      </c>
      <c r="C200" s="1144" t="s">
        <v>697</v>
      </c>
      <c r="D200" s="300" t="s">
        <v>702</v>
      </c>
      <c r="E200" s="1003" t="s">
        <v>1585</v>
      </c>
      <c r="F200" s="304" t="s">
        <v>1680</v>
      </c>
      <c r="G200" s="38">
        <v>3.78</v>
      </c>
      <c r="H200" s="1547">
        <v>3</v>
      </c>
      <c r="I200" s="1002">
        <v>27</v>
      </c>
      <c r="J200" s="483"/>
      <c r="K200" s="39"/>
      <c r="L200" s="451">
        <f t="shared" ref="L200:L206" si="86">X200/100</f>
        <v>2</v>
      </c>
      <c r="M200" s="452">
        <f>X200/100</f>
        <v>2</v>
      </c>
      <c r="N200" s="65">
        <f t="shared" ref="N200:N215" si="87">IF(AND(G200&lt;&gt;"",M200&lt;&gt;""),1000*M200/G200,"")</f>
        <v>529.10052910052912</v>
      </c>
      <c r="O200" s="71"/>
      <c r="P200" s="71"/>
      <c r="Q200" s="71">
        <v>16</v>
      </c>
      <c r="R200" s="1004">
        <v>2</v>
      </c>
      <c r="S200" s="71"/>
      <c r="T200" s="71">
        <v>160</v>
      </c>
      <c r="U200" s="71"/>
      <c r="V200" s="77">
        <v>12</v>
      </c>
      <c r="W200" s="71">
        <v>12</v>
      </c>
      <c r="X200" s="117">
        <v>200</v>
      </c>
      <c r="Y200" s="89">
        <v>1.5</v>
      </c>
      <c r="Z200" s="141">
        <f>IF(AND(L200&lt;&gt;"",Y200&lt;&gt;""),1000*L200/Y200,"")</f>
        <v>1333.3333333333333</v>
      </c>
      <c r="AA200" s="378">
        <f t="shared" si="82"/>
        <v>125</v>
      </c>
      <c r="AB200" s="95"/>
      <c r="AC200" s="99">
        <f>T200/V200</f>
        <v>13.333333333333334</v>
      </c>
      <c r="AD200" s="191">
        <f>256*36*V200/1000000</f>
        <v>0.110592</v>
      </c>
      <c r="AE200" s="17"/>
      <c r="AF200" s="213"/>
      <c r="AG200" s="236" t="s">
        <v>1596</v>
      </c>
    </row>
    <row r="201" spans="1:33" x14ac:dyDescent="0.2">
      <c r="A201" s="182" t="s">
        <v>26</v>
      </c>
      <c r="B201" s="1145" t="s">
        <v>1594</v>
      </c>
      <c r="C201" s="1144" t="s">
        <v>697</v>
      </c>
      <c r="D201" s="470" t="s">
        <v>702</v>
      </c>
      <c r="E201" s="1003" t="s">
        <v>1586</v>
      </c>
      <c r="F201" s="304" t="s">
        <v>1709</v>
      </c>
      <c r="G201" s="38">
        <v>9.6300000000000008</v>
      </c>
      <c r="H201" s="1547">
        <v>8</v>
      </c>
      <c r="I201" s="1002">
        <v>112</v>
      </c>
      <c r="J201" s="483"/>
      <c r="K201" s="39"/>
      <c r="L201" s="451">
        <f t="shared" si="86"/>
        <v>4</v>
      </c>
      <c r="M201" s="452">
        <f t="shared" ref="M201:M206" si="88">X201/100</f>
        <v>4</v>
      </c>
      <c r="N201" s="65">
        <f t="shared" si="87"/>
        <v>415.36863966770505</v>
      </c>
      <c r="O201" s="71"/>
      <c r="P201" s="71"/>
      <c r="Q201" s="71">
        <v>20</v>
      </c>
      <c r="R201" s="1004">
        <v>2</v>
      </c>
      <c r="S201" s="71">
        <v>1</v>
      </c>
      <c r="T201" s="71">
        <v>246</v>
      </c>
      <c r="U201" s="71"/>
      <c r="V201" s="77">
        <v>21</v>
      </c>
      <c r="W201" s="71">
        <v>156</v>
      </c>
      <c r="X201" s="117">
        <v>400</v>
      </c>
      <c r="Y201" s="89"/>
      <c r="Z201" s="172"/>
      <c r="AA201" s="378">
        <f t="shared" si="82"/>
        <v>200</v>
      </c>
      <c r="AB201" s="95"/>
      <c r="AC201" s="99">
        <f t="shared" ref="AC201:AC220" si="89">T201/V201</f>
        <v>11.714285714285714</v>
      </c>
      <c r="AD201" s="191">
        <f t="shared" ref="AD201:AD215" si="90">256*36*V201/1000000</f>
        <v>0.19353600000000001</v>
      </c>
      <c r="AE201" s="17"/>
      <c r="AF201" s="213"/>
      <c r="AG201" s="516" t="s">
        <v>1783</v>
      </c>
    </row>
    <row r="202" spans="1:33" x14ac:dyDescent="0.2">
      <c r="A202" s="182" t="s">
        <v>26</v>
      </c>
      <c r="B202" s="1145" t="s">
        <v>1594</v>
      </c>
      <c r="C202" s="1144" t="s">
        <v>697</v>
      </c>
      <c r="D202" s="470" t="s">
        <v>702</v>
      </c>
      <c r="E202" s="1003" t="s">
        <v>1587</v>
      </c>
      <c r="F202" s="304" t="s">
        <v>1709</v>
      </c>
      <c r="G202" s="38">
        <v>11.16</v>
      </c>
      <c r="H202" s="1547">
        <v>4</v>
      </c>
      <c r="I202" s="1002">
        <v>56</v>
      </c>
      <c r="J202" s="483"/>
      <c r="K202" s="39"/>
      <c r="L202" s="451">
        <f t="shared" si="86"/>
        <v>8</v>
      </c>
      <c r="M202" s="452">
        <f t="shared" si="88"/>
        <v>8</v>
      </c>
      <c r="N202" s="65">
        <f t="shared" si="87"/>
        <v>716.84587813620067</v>
      </c>
      <c r="O202" s="71"/>
      <c r="P202" s="71"/>
      <c r="Q202" s="71">
        <v>24</v>
      </c>
      <c r="R202" s="1004">
        <v>2</v>
      </c>
      <c r="S202" s="71">
        <v>1</v>
      </c>
      <c r="T202" s="71">
        <v>250</v>
      </c>
      <c r="U202" s="71"/>
      <c r="V202" s="77">
        <v>42</v>
      </c>
      <c r="W202" s="71">
        <v>172</v>
      </c>
      <c r="X202" s="117">
        <v>800</v>
      </c>
      <c r="Y202" s="89"/>
      <c r="Z202" s="172"/>
      <c r="AA202" s="378">
        <f t="shared" si="82"/>
        <v>333.33333333333331</v>
      </c>
      <c r="AB202" s="95"/>
      <c r="AC202" s="99">
        <f t="shared" si="89"/>
        <v>5.9523809523809526</v>
      </c>
      <c r="AD202" s="191">
        <f t="shared" si="90"/>
        <v>0.38707200000000003</v>
      </c>
      <c r="AE202" s="17"/>
      <c r="AF202" s="213"/>
      <c r="AG202" s="236"/>
    </row>
    <row r="203" spans="1:33" x14ac:dyDescent="0.2">
      <c r="A203" s="182" t="s">
        <v>26</v>
      </c>
      <c r="B203" s="1145" t="s">
        <v>1594</v>
      </c>
      <c r="C203" s="1144" t="s">
        <v>697</v>
      </c>
      <c r="D203" s="213" t="s">
        <v>702</v>
      </c>
      <c r="E203" s="134" t="s">
        <v>1588</v>
      </c>
      <c r="F203" s="45" t="s">
        <v>1709</v>
      </c>
      <c r="G203" s="19">
        <v>27.36</v>
      </c>
      <c r="H203" s="124">
        <v>11</v>
      </c>
      <c r="I203" s="148">
        <v>130</v>
      </c>
      <c r="J203" s="138" t="s">
        <v>67</v>
      </c>
      <c r="K203" s="20">
        <v>11.9</v>
      </c>
      <c r="L203" s="451">
        <f t="shared" si="86"/>
        <v>16</v>
      </c>
      <c r="M203" s="452">
        <f t="shared" si="88"/>
        <v>16</v>
      </c>
      <c r="N203" s="65">
        <f t="shared" si="87"/>
        <v>584.79532163742692</v>
      </c>
      <c r="O203" s="65">
        <f>IF(AND(G203&lt;&gt;"",L203&lt;&gt;""),L203/G203,"")</f>
        <v>0.58479532163742687</v>
      </c>
      <c r="P203" s="65"/>
      <c r="Q203" s="65">
        <v>45</v>
      </c>
      <c r="R203" s="1004">
        <v>4</v>
      </c>
      <c r="S203" s="65">
        <v>1</v>
      </c>
      <c r="T203" s="65">
        <v>320</v>
      </c>
      <c r="U203" s="65" t="s">
        <v>1184</v>
      </c>
      <c r="V203" s="65">
        <v>61</v>
      </c>
      <c r="W203" s="65">
        <v>296</v>
      </c>
      <c r="X203" s="110">
        <v>1600</v>
      </c>
      <c r="Y203" s="81"/>
      <c r="Z203" s="141" t="str">
        <f>IF(AND(L203&lt;&gt;"",Y203&lt;&gt;""),1000*L203/Y203,"")</f>
        <v/>
      </c>
      <c r="AA203" s="378">
        <f t="shared" si="82"/>
        <v>355.55555555555554</v>
      </c>
      <c r="AB203" s="54"/>
      <c r="AC203" s="99">
        <f t="shared" si="89"/>
        <v>5.2459016393442619</v>
      </c>
      <c r="AD203" s="191">
        <f t="shared" si="90"/>
        <v>0.56217600000000001</v>
      </c>
      <c r="AE203" s="17"/>
      <c r="AF203" s="213"/>
      <c r="AG203" s="236"/>
    </row>
    <row r="204" spans="1:33" x14ac:dyDescent="0.2">
      <c r="A204" s="182" t="s">
        <v>26</v>
      </c>
      <c r="B204" s="1145" t="s">
        <v>1594</v>
      </c>
      <c r="C204" s="1144" t="s">
        <v>697</v>
      </c>
      <c r="D204" s="213" t="s">
        <v>702</v>
      </c>
      <c r="E204" s="134" t="s">
        <v>1589</v>
      </c>
      <c r="F204" s="45" t="s">
        <v>1710</v>
      </c>
      <c r="G204" s="19">
        <v>39.51</v>
      </c>
      <c r="H204" s="124">
        <v>17</v>
      </c>
      <c r="I204" s="148">
        <v>178</v>
      </c>
      <c r="J204" s="138" t="s">
        <v>69</v>
      </c>
      <c r="K204" s="20">
        <v>43.3</v>
      </c>
      <c r="L204" s="451">
        <f t="shared" si="86"/>
        <v>25</v>
      </c>
      <c r="M204" s="452">
        <f t="shared" si="88"/>
        <v>25</v>
      </c>
      <c r="N204" s="65">
        <f t="shared" si="87"/>
        <v>632.75120222728424</v>
      </c>
      <c r="O204" s="65">
        <f>IF(AND(G204&lt;&gt;"",L204&lt;&gt;""),L204/G204,"")</f>
        <v>0.63275120222728432</v>
      </c>
      <c r="P204" s="65"/>
      <c r="Q204" s="65">
        <v>55</v>
      </c>
      <c r="R204" s="1004">
        <v>4</v>
      </c>
      <c r="S204" s="65">
        <v>2</v>
      </c>
      <c r="T204" s="65">
        <v>380</v>
      </c>
      <c r="U204" s="65" t="s">
        <v>1184</v>
      </c>
      <c r="V204" s="65">
        <v>75</v>
      </c>
      <c r="W204" s="65">
        <v>400</v>
      </c>
      <c r="X204" s="110">
        <v>2500</v>
      </c>
      <c r="Y204" s="81"/>
      <c r="Z204" s="141" t="str">
        <f>IF(AND(L204&lt;&gt;"",Y204&lt;&gt;""),1000*L204/Y204,"")</f>
        <v/>
      </c>
      <c r="AA204" s="378">
        <f t="shared" si="82"/>
        <v>454.54545454545456</v>
      </c>
      <c r="AB204" s="54"/>
      <c r="AC204" s="99">
        <f t="shared" si="89"/>
        <v>5.0666666666666664</v>
      </c>
      <c r="AD204" s="191">
        <f t="shared" si="90"/>
        <v>0.69120000000000004</v>
      </c>
      <c r="AE204" s="17"/>
      <c r="AF204" s="213"/>
      <c r="AG204" s="236"/>
    </row>
    <row r="205" spans="1:33" x14ac:dyDescent="0.2">
      <c r="A205" s="182" t="s">
        <v>26</v>
      </c>
      <c r="B205" s="1145" t="s">
        <v>1594</v>
      </c>
      <c r="C205" s="1144" t="s">
        <v>697</v>
      </c>
      <c r="D205" s="229" t="s">
        <v>702</v>
      </c>
      <c r="E205" s="134" t="s">
        <v>1590</v>
      </c>
      <c r="F205" s="45" t="s">
        <v>1710</v>
      </c>
      <c r="G205" s="19">
        <v>51.66</v>
      </c>
      <c r="H205" s="124">
        <v>17</v>
      </c>
      <c r="I205" s="148">
        <v>178</v>
      </c>
      <c r="J205" s="138" t="s">
        <v>69</v>
      </c>
      <c r="K205" s="20">
        <v>60</v>
      </c>
      <c r="L205" s="451">
        <f t="shared" si="86"/>
        <v>40</v>
      </c>
      <c r="M205" s="452">
        <f t="shared" si="88"/>
        <v>40</v>
      </c>
      <c r="N205" s="65">
        <f t="shared" si="87"/>
        <v>774.29345722028654</v>
      </c>
      <c r="O205" s="65">
        <f>IF(AND(G205&lt;&gt;"",L205&lt;&gt;""),L205/G205,"")</f>
        <v>0.77429345722028653</v>
      </c>
      <c r="P205" s="65"/>
      <c r="Q205" s="65">
        <v>125</v>
      </c>
      <c r="R205" s="1004">
        <v>4</v>
      </c>
      <c r="S205" s="65">
        <v>2</v>
      </c>
      <c r="T205" s="65">
        <v>500</v>
      </c>
      <c r="U205" s="65" t="s">
        <v>1184</v>
      </c>
      <c r="V205" s="65">
        <v>140</v>
      </c>
      <c r="W205" s="65">
        <v>736</v>
      </c>
      <c r="X205" s="110">
        <v>4000</v>
      </c>
      <c r="Y205" s="81"/>
      <c r="Z205" s="141" t="str">
        <f>IF(AND(L205&lt;&gt;"",Y205&lt;&gt;""),1000*L205/Y205,"")</f>
        <v/>
      </c>
      <c r="AA205" s="378">
        <f t="shared" si="82"/>
        <v>320</v>
      </c>
      <c r="AB205" s="54"/>
      <c r="AC205" s="99">
        <f t="shared" si="89"/>
        <v>3.5714285714285716</v>
      </c>
      <c r="AD205" s="191">
        <f t="shared" si="90"/>
        <v>1.2902400000000001</v>
      </c>
      <c r="AE205" s="17"/>
      <c r="AF205" s="213"/>
      <c r="AG205" s="236"/>
    </row>
    <row r="206" spans="1:33" ht="12.75" customHeight="1" thickBot="1" x14ac:dyDescent="0.25">
      <c r="A206" s="182" t="s">
        <v>26</v>
      </c>
      <c r="B206" s="1273" t="s">
        <v>1594</v>
      </c>
      <c r="C206" s="1274" t="s">
        <v>697</v>
      </c>
      <c r="D206" s="240" t="s">
        <v>702</v>
      </c>
      <c r="E206" s="526" t="s">
        <v>1591</v>
      </c>
      <c r="F206" s="1082" t="s">
        <v>1710</v>
      </c>
      <c r="G206" s="27">
        <v>57.69</v>
      </c>
      <c r="H206" s="127">
        <v>17</v>
      </c>
      <c r="I206" s="1270">
        <v>178</v>
      </c>
      <c r="J206" s="139" t="s">
        <v>74</v>
      </c>
      <c r="K206" s="28">
        <v>92.8</v>
      </c>
      <c r="L206" s="1083">
        <f t="shared" si="86"/>
        <v>50</v>
      </c>
      <c r="M206" s="1271">
        <f t="shared" si="88"/>
        <v>50</v>
      </c>
      <c r="N206" s="73">
        <f t="shared" si="87"/>
        <v>866.70133472005546</v>
      </c>
      <c r="O206" s="73">
        <f>IF(AND(G206&lt;&gt;"",L206&lt;&gt;""),L206/G206,"")</f>
        <v>0.86670133472005551</v>
      </c>
      <c r="P206" s="73"/>
      <c r="Q206" s="73">
        <v>144</v>
      </c>
      <c r="R206" s="1272">
        <v>4</v>
      </c>
      <c r="S206" s="73">
        <v>2</v>
      </c>
      <c r="T206" s="73">
        <v>500</v>
      </c>
      <c r="U206" s="73" t="s">
        <v>1184</v>
      </c>
      <c r="V206" s="73">
        <v>182</v>
      </c>
      <c r="W206" s="73">
        <v>736</v>
      </c>
      <c r="X206" s="112">
        <v>5000</v>
      </c>
      <c r="Y206" s="84"/>
      <c r="Z206" s="173" t="str">
        <f>IF(AND(L206&lt;&gt;"",Y206&lt;&gt;""),1000*L206/Y206,"")</f>
        <v/>
      </c>
      <c r="AA206" s="477">
        <f t="shared" si="82"/>
        <v>347.22222222222223</v>
      </c>
      <c r="AB206" s="57"/>
      <c r="AC206" s="101">
        <f t="shared" si="89"/>
        <v>2.7472527472527473</v>
      </c>
      <c r="AD206" s="478">
        <f t="shared" si="90"/>
        <v>1.6773119999999999</v>
      </c>
      <c r="AE206" s="25"/>
      <c r="AF206" s="240"/>
      <c r="AG206" s="236"/>
    </row>
    <row r="207" spans="1:33" ht="12.75" customHeight="1" x14ac:dyDescent="0.2">
      <c r="A207" s="182"/>
      <c r="B207" s="48" t="s">
        <v>717</v>
      </c>
      <c r="C207" s="226"/>
      <c r="D207" s="212"/>
      <c r="E207" s="12" t="s">
        <v>1849</v>
      </c>
      <c r="F207" s="466" t="s">
        <v>1437</v>
      </c>
      <c r="G207" s="14" t="s">
        <v>22</v>
      </c>
      <c r="H207" s="132" t="s">
        <v>528</v>
      </c>
      <c r="I207" s="147"/>
      <c r="J207" s="145"/>
      <c r="K207" s="16" t="s">
        <v>22</v>
      </c>
      <c r="L207" s="1030" t="s">
        <v>1848</v>
      </c>
      <c r="M207" s="61"/>
      <c r="N207" s="385">
        <f>AVERAGE(N208:N215)</f>
        <v>1144.4009185650407</v>
      </c>
      <c r="O207" s="61"/>
      <c r="P207" s="61"/>
      <c r="Q207" s="399" t="s">
        <v>92</v>
      </c>
      <c r="R207" s="61"/>
      <c r="S207" s="399"/>
      <c r="T207" s="61"/>
      <c r="U207" s="399"/>
      <c r="V207" s="468" t="s">
        <v>157</v>
      </c>
      <c r="W207" s="61"/>
      <c r="X207" s="109" t="s">
        <v>25</v>
      </c>
      <c r="Y207" s="80" t="s">
        <v>65</v>
      </c>
      <c r="Z207" s="164"/>
      <c r="AA207" s="372" t="e">
        <f>AVERAGE(AA208:AA215:AG233AA244)</f>
        <v>#NAME?</v>
      </c>
      <c r="AB207" s="92"/>
      <c r="AC207" s="907">
        <f>AVERAGE(AC208:AC215)</f>
        <v>3.3880710133149101</v>
      </c>
      <c r="AD207" s="109" t="s">
        <v>650</v>
      </c>
      <c r="AE207" s="193"/>
      <c r="AF207" s="212"/>
      <c r="AG207" s="516" t="s">
        <v>1858</v>
      </c>
    </row>
    <row r="208" spans="1:33" ht="12.75" customHeight="1" x14ac:dyDescent="0.2">
      <c r="A208" s="182" t="s">
        <v>26</v>
      </c>
      <c r="B208" s="1145"/>
      <c r="C208" s="1144"/>
      <c r="D208" s="213"/>
      <c r="E208" s="910" t="s">
        <v>1850</v>
      </c>
      <c r="F208" s="45" t="s">
        <v>1894</v>
      </c>
      <c r="G208" s="19">
        <v>7.02</v>
      </c>
      <c r="H208" s="124">
        <v>14</v>
      </c>
      <c r="I208" s="409">
        <v>176</v>
      </c>
      <c r="J208" s="138"/>
      <c r="K208" s="20"/>
      <c r="L208" s="451">
        <v>6.2720000000000002</v>
      </c>
      <c r="M208" s="452">
        <v>6.2720000000000002</v>
      </c>
      <c r="N208" s="65">
        <f t="shared" si="87"/>
        <v>893.44729344729353</v>
      </c>
      <c r="O208" s="65"/>
      <c r="P208" s="65"/>
      <c r="Q208" s="65">
        <v>15</v>
      </c>
      <c r="R208" s="469">
        <v>2</v>
      </c>
      <c r="S208" s="65"/>
      <c r="T208" s="65">
        <v>176</v>
      </c>
      <c r="U208" s="65"/>
      <c r="V208" s="65">
        <v>30</v>
      </c>
      <c r="W208" s="65"/>
      <c r="X208" s="110"/>
      <c r="Y208" s="81"/>
      <c r="Z208" s="141"/>
      <c r="AA208" s="378">
        <f t="shared" si="82"/>
        <v>418.13333333333333</v>
      </c>
      <c r="AB208" s="54"/>
      <c r="AC208" s="281">
        <f t="shared" si="89"/>
        <v>5.8666666666666663</v>
      </c>
      <c r="AD208" s="191">
        <f t="shared" si="90"/>
        <v>0.27648</v>
      </c>
      <c r="AE208" s="17"/>
      <c r="AF208" s="213"/>
      <c r="AG208" s="236"/>
    </row>
    <row r="209" spans="1:35" ht="12.75" customHeight="1" x14ac:dyDescent="0.2">
      <c r="A209" s="523" t="s">
        <v>26</v>
      </c>
      <c r="B209" s="1145"/>
      <c r="C209" s="1144"/>
      <c r="D209" s="213"/>
      <c r="E209" s="910" t="s">
        <v>1851</v>
      </c>
      <c r="F209" s="45" t="s">
        <v>1892</v>
      </c>
      <c r="G209" s="19">
        <v>9.3800000000000008</v>
      </c>
      <c r="H209" s="124">
        <v>8</v>
      </c>
      <c r="I209" s="409">
        <v>71</v>
      </c>
      <c r="J209" s="138"/>
      <c r="K209" s="20"/>
      <c r="L209" s="451">
        <v>10.32</v>
      </c>
      <c r="M209" s="452">
        <v>10.32</v>
      </c>
      <c r="N209" s="65">
        <f t="shared" si="87"/>
        <v>1100.2132196162047</v>
      </c>
      <c r="O209" s="65"/>
      <c r="P209" s="65"/>
      <c r="Q209" s="65">
        <v>23</v>
      </c>
      <c r="R209" s="469">
        <v>2</v>
      </c>
      <c r="S209" s="65"/>
      <c r="T209" s="65">
        <v>176</v>
      </c>
      <c r="U209" s="65"/>
      <c r="V209" s="65">
        <v>46</v>
      </c>
      <c r="W209" s="65"/>
      <c r="X209" s="110"/>
      <c r="Y209" s="81"/>
      <c r="Z209" s="141"/>
      <c r="AA209" s="378">
        <f t="shared" si="82"/>
        <v>448.69565217391306</v>
      </c>
      <c r="AB209" s="54"/>
      <c r="AC209" s="281">
        <f t="shared" si="89"/>
        <v>3.8260869565217392</v>
      </c>
      <c r="AD209" s="191">
        <f t="shared" si="90"/>
        <v>0.42393599999999998</v>
      </c>
      <c r="AE209" s="17"/>
      <c r="AF209" s="213"/>
      <c r="AG209" s="236"/>
    </row>
    <row r="210" spans="1:35" ht="12.75" customHeight="1" x14ac:dyDescent="0.2">
      <c r="A210" s="523" t="s">
        <v>740</v>
      </c>
      <c r="B210" s="1145"/>
      <c r="C210" s="1144"/>
      <c r="D210" s="213"/>
      <c r="E210" s="910" t="s">
        <v>1852</v>
      </c>
      <c r="F210" s="45" t="s">
        <v>1893</v>
      </c>
      <c r="G210" s="19">
        <v>13.98</v>
      </c>
      <c r="H210" s="124">
        <v>8</v>
      </c>
      <c r="I210" s="409">
        <v>71</v>
      </c>
      <c r="J210" s="138"/>
      <c r="K210" s="20"/>
      <c r="L210" s="451">
        <v>15.407999999999999</v>
      </c>
      <c r="M210" s="452">
        <v>15.407999999999999</v>
      </c>
      <c r="N210" s="65">
        <f t="shared" si="87"/>
        <v>1102.145922746781</v>
      </c>
      <c r="O210" s="65"/>
      <c r="P210" s="65"/>
      <c r="Q210" s="65">
        <v>56</v>
      </c>
      <c r="R210" s="469">
        <v>4</v>
      </c>
      <c r="S210" s="65"/>
      <c r="T210" s="65">
        <v>340</v>
      </c>
      <c r="U210" s="65"/>
      <c r="V210" s="65">
        <v>56</v>
      </c>
      <c r="W210" s="65"/>
      <c r="X210" s="110"/>
      <c r="Y210" s="81"/>
      <c r="Z210" s="141"/>
      <c r="AA210" s="378">
        <f t="shared" si="82"/>
        <v>275.14285714285717</v>
      </c>
      <c r="AB210" s="54"/>
      <c r="AC210" s="281">
        <f t="shared" si="89"/>
        <v>6.0714285714285712</v>
      </c>
      <c r="AD210" s="191">
        <f t="shared" si="90"/>
        <v>0.516096</v>
      </c>
      <c r="AE210" s="17"/>
      <c r="AF210" s="213"/>
      <c r="AG210" s="236"/>
    </row>
    <row r="211" spans="1:35" ht="12.75" customHeight="1" x14ac:dyDescent="0.2">
      <c r="A211" s="523" t="s">
        <v>26</v>
      </c>
      <c r="B211" s="1145"/>
      <c r="C211" s="1144"/>
      <c r="D211" s="213"/>
      <c r="E211" s="910" t="s">
        <v>1853</v>
      </c>
      <c r="F211" s="45" t="s">
        <v>1892</v>
      </c>
      <c r="G211" s="19">
        <v>19.690000000000001</v>
      </c>
      <c r="H211" s="124">
        <v>14</v>
      </c>
      <c r="I211" s="409">
        <v>150</v>
      </c>
      <c r="J211" s="138"/>
      <c r="K211" s="20"/>
      <c r="L211" s="451">
        <v>24.623999999999999</v>
      </c>
      <c r="M211" s="452">
        <v>24.623999999999999</v>
      </c>
      <c r="N211" s="65">
        <f t="shared" si="87"/>
        <v>1250.5840528186895</v>
      </c>
      <c r="O211" s="65"/>
      <c r="P211" s="65"/>
      <c r="Q211" s="65">
        <v>66</v>
      </c>
      <c r="R211" s="469">
        <v>4</v>
      </c>
      <c r="S211" s="65"/>
      <c r="T211" s="65">
        <v>325</v>
      </c>
      <c r="U211" s="65"/>
      <c r="V211" s="65">
        <v>66</v>
      </c>
      <c r="W211" s="65"/>
      <c r="X211" s="110"/>
      <c r="Y211" s="81"/>
      <c r="Z211" s="141"/>
      <c r="AA211" s="378">
        <f t="shared" si="82"/>
        <v>373.09090909090907</v>
      </c>
      <c r="AB211" s="54"/>
      <c r="AC211" s="281">
        <f t="shared" si="89"/>
        <v>4.9242424242424239</v>
      </c>
      <c r="AD211" s="191">
        <f t="shared" si="90"/>
        <v>0.60825600000000002</v>
      </c>
      <c r="AE211" s="17"/>
      <c r="AF211" s="213"/>
      <c r="AG211" s="236"/>
    </row>
    <row r="212" spans="1:35" ht="12.75" customHeight="1" x14ac:dyDescent="0.2">
      <c r="A212" s="523" t="s">
        <v>26</v>
      </c>
      <c r="B212" s="1145"/>
      <c r="C212" s="1144"/>
      <c r="D212" s="213"/>
      <c r="E212" s="910" t="s">
        <v>1854</v>
      </c>
      <c r="F212" s="45" t="s">
        <v>1890</v>
      </c>
      <c r="G212" s="19">
        <v>29.14</v>
      </c>
      <c r="H212" s="124">
        <v>19</v>
      </c>
      <c r="I212" s="409">
        <v>325</v>
      </c>
      <c r="J212" s="138"/>
      <c r="K212" s="20"/>
      <c r="L212" s="451">
        <v>39.6</v>
      </c>
      <c r="M212" s="452">
        <v>39.6</v>
      </c>
      <c r="N212" s="65">
        <f t="shared" si="87"/>
        <v>1358.9567604667125</v>
      </c>
      <c r="O212" s="65"/>
      <c r="P212" s="65"/>
      <c r="Q212" s="65">
        <v>126</v>
      </c>
      <c r="R212" s="469">
        <v>4</v>
      </c>
      <c r="S212" s="65"/>
      <c r="T212" s="65">
        <v>325</v>
      </c>
      <c r="U212" s="65"/>
      <c r="V212" s="65">
        <v>126</v>
      </c>
      <c r="W212" s="65"/>
      <c r="X212" s="110"/>
      <c r="Y212" s="81"/>
      <c r="Z212" s="141"/>
      <c r="AA212" s="378">
        <f t="shared" si="82"/>
        <v>314.28571428571428</v>
      </c>
      <c r="AB212" s="54"/>
      <c r="AC212" s="281">
        <f t="shared" si="89"/>
        <v>2.5793650793650795</v>
      </c>
      <c r="AD212" s="191">
        <f t="shared" si="90"/>
        <v>1.161216</v>
      </c>
      <c r="AE212" s="17"/>
      <c r="AF212" s="213"/>
      <c r="AG212" s="236"/>
    </row>
    <row r="213" spans="1:35" ht="12.75" customHeight="1" x14ac:dyDescent="0.2">
      <c r="A213" s="523" t="s">
        <v>26</v>
      </c>
      <c r="B213" s="1145"/>
      <c r="C213" s="1144"/>
      <c r="D213" s="213"/>
      <c r="E213" s="910" t="s">
        <v>1855</v>
      </c>
      <c r="F213" s="45" t="s">
        <v>1890</v>
      </c>
      <c r="G213" s="19">
        <v>46.2</v>
      </c>
      <c r="H213" s="124">
        <v>19</v>
      </c>
      <c r="I213" s="409">
        <v>321</v>
      </c>
      <c r="J213" s="138"/>
      <c r="K213" s="20"/>
      <c r="L213" s="451">
        <v>55.856000000000002</v>
      </c>
      <c r="M213" s="452">
        <v>55.856000000000002</v>
      </c>
      <c r="N213" s="65">
        <f t="shared" si="87"/>
        <v>1209.0043290043288</v>
      </c>
      <c r="O213" s="65"/>
      <c r="P213" s="65"/>
      <c r="Q213" s="65">
        <v>156</v>
      </c>
      <c r="R213" s="469">
        <v>4</v>
      </c>
      <c r="S213" s="65"/>
      <c r="T213" s="65">
        <v>321</v>
      </c>
      <c r="U213" s="65"/>
      <c r="V213" s="65">
        <v>260</v>
      </c>
      <c r="W213" s="65"/>
      <c r="X213" s="110"/>
      <c r="Y213" s="81"/>
      <c r="Z213" s="141"/>
      <c r="AA213" s="378">
        <f t="shared" si="82"/>
        <v>358.05128205128204</v>
      </c>
      <c r="AB213" s="54"/>
      <c r="AC213" s="281">
        <f t="shared" si="89"/>
        <v>1.2346153846153847</v>
      </c>
      <c r="AD213" s="191">
        <f t="shared" si="90"/>
        <v>2.3961600000000001</v>
      </c>
      <c r="AE213" s="17"/>
      <c r="AF213" s="213"/>
      <c r="AG213" s="236"/>
    </row>
    <row r="214" spans="1:35" ht="12.75" customHeight="1" x14ac:dyDescent="0.2">
      <c r="A214" s="523" t="s">
        <v>26</v>
      </c>
      <c r="B214" s="1145"/>
      <c r="C214" s="1144"/>
      <c r="D214" s="213"/>
      <c r="E214" s="910" t="s">
        <v>1856</v>
      </c>
      <c r="F214" s="45" t="s">
        <v>1890</v>
      </c>
      <c r="G214" s="19">
        <v>71.27</v>
      </c>
      <c r="H214" s="124">
        <v>19</v>
      </c>
      <c r="I214" s="409">
        <v>289</v>
      </c>
      <c r="J214" s="138"/>
      <c r="K214" s="20"/>
      <c r="L214" s="451">
        <v>81.263999999999996</v>
      </c>
      <c r="M214" s="452">
        <v>81.263999999999996</v>
      </c>
      <c r="N214" s="65">
        <f t="shared" si="87"/>
        <v>1140.2273046162481</v>
      </c>
      <c r="O214" s="65"/>
      <c r="P214" s="65"/>
      <c r="Q214" s="65">
        <v>244</v>
      </c>
      <c r="R214" s="469">
        <v>4</v>
      </c>
      <c r="S214" s="65"/>
      <c r="T214" s="65">
        <v>423</v>
      </c>
      <c r="U214" s="65"/>
      <c r="V214" s="65">
        <v>305</v>
      </c>
      <c r="W214" s="65"/>
      <c r="X214" s="110"/>
      <c r="Y214" s="81"/>
      <c r="Z214" s="141"/>
      <c r="AA214" s="378">
        <f t="shared" si="82"/>
        <v>333.04918032786884</v>
      </c>
      <c r="AB214" s="54"/>
      <c r="AC214" s="281">
        <f t="shared" si="89"/>
        <v>1.3868852459016394</v>
      </c>
      <c r="AD214" s="191">
        <f t="shared" si="90"/>
        <v>2.81088</v>
      </c>
      <c r="AE214" s="17"/>
      <c r="AF214" s="213"/>
      <c r="AG214" s="236"/>
    </row>
    <row r="215" spans="1:35" ht="12.75" customHeight="1" thickBot="1" x14ac:dyDescent="0.25">
      <c r="A215" s="523" t="s">
        <v>26</v>
      </c>
      <c r="B215" s="1146"/>
      <c r="C215" s="1275"/>
      <c r="D215" s="214"/>
      <c r="E215" s="1112" t="s">
        <v>1857</v>
      </c>
      <c r="F215" s="133" t="s">
        <v>1891</v>
      </c>
      <c r="G215" s="23">
        <v>108.2</v>
      </c>
      <c r="H215" s="125">
        <v>23</v>
      </c>
      <c r="I215" s="410">
        <v>277</v>
      </c>
      <c r="J215" s="150"/>
      <c r="K215" s="24"/>
      <c r="L215" s="453">
        <v>119.08799999999999</v>
      </c>
      <c r="M215" s="454">
        <v>119.08799999999999</v>
      </c>
      <c r="N215" s="65">
        <f t="shared" si="87"/>
        <v>1100.6284658040665</v>
      </c>
      <c r="O215" s="68"/>
      <c r="P215" s="68"/>
      <c r="Q215" s="68">
        <v>288</v>
      </c>
      <c r="R215" s="533">
        <v>4</v>
      </c>
      <c r="S215" s="68"/>
      <c r="T215" s="68">
        <v>525</v>
      </c>
      <c r="U215" s="68"/>
      <c r="V215" s="68">
        <v>432</v>
      </c>
      <c r="W215" s="68"/>
      <c r="X215" s="111"/>
      <c r="Y215" s="82"/>
      <c r="Z215" s="142"/>
      <c r="AA215" s="378">
        <f t="shared" si="82"/>
        <v>413.5</v>
      </c>
      <c r="AB215" s="55"/>
      <c r="AC215" s="281">
        <f t="shared" si="89"/>
        <v>1.2152777777777777</v>
      </c>
      <c r="AD215" s="191">
        <f t="shared" si="90"/>
        <v>3.981312</v>
      </c>
      <c r="AE215" s="21"/>
      <c r="AF215" s="214"/>
      <c r="AG215" s="236"/>
    </row>
    <row r="216" spans="1:35" ht="12.75" customHeight="1" x14ac:dyDescent="0.2">
      <c r="A216" s="182"/>
      <c r="B216" s="48" t="s">
        <v>717</v>
      </c>
      <c r="C216" s="226"/>
      <c r="D216" s="212"/>
      <c r="E216" s="12" t="s">
        <v>1847</v>
      </c>
      <c r="F216" s="466" t="s">
        <v>1437</v>
      </c>
      <c r="G216" s="14" t="s">
        <v>1932</v>
      </c>
      <c r="H216" s="132" t="s">
        <v>528</v>
      </c>
      <c r="I216" s="147"/>
      <c r="J216" s="145"/>
      <c r="K216" s="16" t="s">
        <v>22</v>
      </c>
      <c r="L216" s="1030" t="s">
        <v>1442</v>
      </c>
      <c r="M216" s="61" t="s">
        <v>989</v>
      </c>
      <c r="N216" s="385">
        <f>AVERAGE(N217:N220)</f>
        <v>914.80507530733712</v>
      </c>
      <c r="O216" s="61"/>
      <c r="P216" s="61"/>
      <c r="Q216" s="399" t="s">
        <v>1738</v>
      </c>
      <c r="R216" s="61"/>
      <c r="S216" s="399" t="s">
        <v>1846</v>
      </c>
      <c r="T216" s="61"/>
      <c r="U216" s="399" t="s">
        <v>449</v>
      </c>
      <c r="V216" s="468" t="s">
        <v>1008</v>
      </c>
      <c r="W216" s="61"/>
      <c r="X216" s="109" t="s">
        <v>25</v>
      </c>
      <c r="Y216" s="80" t="s">
        <v>65</v>
      </c>
      <c r="Z216" s="164"/>
      <c r="AA216" s="372">
        <f>AVERAGE(AA217:AA220)</f>
        <v>477.83567064445964</v>
      </c>
      <c r="AB216" s="92"/>
      <c r="AC216" s="907">
        <f>AVERAGE(AC217:AC220)</f>
        <v>0.62124001557147845</v>
      </c>
      <c r="AD216" s="109" t="s">
        <v>650</v>
      </c>
      <c r="AE216" s="193"/>
      <c r="AF216" s="212"/>
      <c r="AG216" s="236"/>
    </row>
    <row r="217" spans="1:35" ht="12.75" customHeight="1" x14ac:dyDescent="0.2">
      <c r="A217" s="523" t="s">
        <v>26</v>
      </c>
      <c r="B217" s="1145"/>
      <c r="C217" s="1144"/>
      <c r="D217" s="213"/>
      <c r="E217" s="1036" t="s">
        <v>1842</v>
      </c>
      <c r="F217" s="45" t="s">
        <v>1931</v>
      </c>
      <c r="G217" s="19">
        <v>99</v>
      </c>
      <c r="H217" s="124">
        <v>19</v>
      </c>
      <c r="I217" s="409">
        <v>188</v>
      </c>
      <c r="J217" s="138"/>
      <c r="K217" s="20"/>
      <c r="L217" s="451">
        <v>31</v>
      </c>
      <c r="M217" s="457">
        <f>2.65*L217</f>
        <v>82.149999999999991</v>
      </c>
      <c r="N217" s="65">
        <f>IF(AND(G217&lt;&gt;"",M217&lt;&gt;""),1000*M217/G217,"")</f>
        <v>829.79797979797968</v>
      </c>
      <c r="O217" s="65"/>
      <c r="P217" s="65"/>
      <c r="Q217" s="65">
        <v>168</v>
      </c>
      <c r="R217" s="469">
        <v>6</v>
      </c>
      <c r="S217" s="65">
        <v>4</v>
      </c>
      <c r="T217" s="65">
        <v>192</v>
      </c>
      <c r="U217" s="65">
        <v>1044</v>
      </c>
      <c r="V217" s="65">
        <v>291</v>
      </c>
      <c r="W217" s="65"/>
      <c r="X217" s="110"/>
      <c r="Y217" s="81"/>
      <c r="Z217" s="141"/>
      <c r="AA217" s="378">
        <f t="shared" si="82"/>
        <v>488.98809523809513</v>
      </c>
      <c r="AB217" s="54"/>
      <c r="AC217" s="281">
        <f t="shared" si="89"/>
        <v>0.65979381443298968</v>
      </c>
      <c r="AD217" s="394">
        <v>6.4729999999999999</v>
      </c>
      <c r="AE217" s="17"/>
      <c r="AF217" s="213"/>
      <c r="AG217" s="492" t="s">
        <v>1551</v>
      </c>
      <c r="AI217" s="233">
        <f>(U217*32*20+V217*512*40)/1000000</f>
        <v>6.62784</v>
      </c>
    </row>
    <row r="218" spans="1:35" ht="12.75" customHeight="1" x14ac:dyDescent="0.2">
      <c r="A218" s="523" t="s">
        <v>740</v>
      </c>
      <c r="B218" s="1145"/>
      <c r="C218" s="1144"/>
      <c r="D218" s="213"/>
      <c r="E218" s="1036" t="s">
        <v>1843</v>
      </c>
      <c r="F218" s="45" t="s">
        <v>1931</v>
      </c>
      <c r="G218" s="19">
        <v>117.04</v>
      </c>
      <c r="H218" s="124">
        <v>19</v>
      </c>
      <c r="I218" s="409">
        <v>188</v>
      </c>
      <c r="J218" s="138"/>
      <c r="K218" s="20"/>
      <c r="L218" s="451">
        <v>38</v>
      </c>
      <c r="M218" s="457">
        <f>2.65*L218</f>
        <v>100.7</v>
      </c>
      <c r="N218" s="65">
        <f>IF(AND(G218&lt;&gt;"",M218&lt;&gt;""),1000*M218/G218,"")</f>
        <v>860.38961038961031</v>
      </c>
      <c r="O218" s="65"/>
      <c r="P218" s="65"/>
      <c r="Q218" s="65">
        <v>250</v>
      </c>
      <c r="R218" s="469">
        <v>10</v>
      </c>
      <c r="S218" s="65">
        <v>12</v>
      </c>
      <c r="T218" s="65">
        <v>284</v>
      </c>
      <c r="U218" s="65">
        <v>1278</v>
      </c>
      <c r="V218" s="65">
        <v>382</v>
      </c>
      <c r="W218" s="65"/>
      <c r="X218" s="110"/>
      <c r="Y218" s="81"/>
      <c r="Z218" s="141"/>
      <c r="AA218" s="378">
        <f t="shared" si="82"/>
        <v>402.8</v>
      </c>
      <c r="AB218" s="54"/>
      <c r="AC218" s="281">
        <f t="shared" si="89"/>
        <v>0.74345549738219896</v>
      </c>
      <c r="AD218" s="394">
        <v>8.4390000000000001</v>
      </c>
      <c r="AE218" s="17"/>
      <c r="AF218" s="213"/>
      <c r="AG218" s="492" t="s">
        <v>1727</v>
      </c>
      <c r="AI218" s="233">
        <f>(U218*32*20+V218*512*40)/1000000</f>
        <v>8.6412800000000001</v>
      </c>
    </row>
    <row r="219" spans="1:35" ht="12.75" customHeight="1" x14ac:dyDescent="0.2">
      <c r="A219" s="523" t="s">
        <v>740</v>
      </c>
      <c r="B219" s="1145"/>
      <c r="C219" s="1144"/>
      <c r="D219" s="213"/>
      <c r="E219" s="1036" t="s">
        <v>1844</v>
      </c>
      <c r="F219" s="45" t="s">
        <v>1931</v>
      </c>
      <c r="G219" s="19">
        <v>152.69999999999999</v>
      </c>
      <c r="H219" s="124">
        <v>19</v>
      </c>
      <c r="I219" s="409">
        <v>188</v>
      </c>
      <c r="J219" s="138"/>
      <c r="K219" s="20"/>
      <c r="L219" s="451">
        <v>54.77</v>
      </c>
      <c r="M219" s="457">
        <f>2.65*L219</f>
        <v>145.1405</v>
      </c>
      <c r="N219" s="65">
        <f>IF(AND(G219&lt;&gt;"",M219&lt;&gt;""),1000*M219/G219,"")</f>
        <v>950.49443352979711</v>
      </c>
      <c r="O219" s="65"/>
      <c r="P219" s="65"/>
      <c r="Q219" s="65">
        <v>312</v>
      </c>
      <c r="R219" s="469">
        <v>10</v>
      </c>
      <c r="S219" s="65">
        <v>12</v>
      </c>
      <c r="T219" s="65">
        <v>284</v>
      </c>
      <c r="U219" s="65">
        <v>1843</v>
      </c>
      <c r="V219" s="65">
        <v>475</v>
      </c>
      <c r="W219" s="65"/>
      <c r="X219" s="110"/>
      <c r="Y219" s="81"/>
      <c r="Z219" s="141"/>
      <c r="AA219" s="378">
        <f t="shared" si="82"/>
        <v>465.19391025641028</v>
      </c>
      <c r="AB219" s="54"/>
      <c r="AC219" s="281">
        <f t="shared" si="89"/>
        <v>0.59789473684210526</v>
      </c>
      <c r="AD219" s="394">
        <v>10.651999999999999</v>
      </c>
      <c r="AE219" s="17"/>
      <c r="AF219" s="213"/>
      <c r="AG219" s="236"/>
      <c r="AI219" s="233">
        <f>(U219*32*20+V219*512*40)/1000000</f>
        <v>10.90752</v>
      </c>
    </row>
    <row r="220" spans="1:35" ht="12.75" customHeight="1" thickBot="1" x14ac:dyDescent="0.25">
      <c r="A220" s="523" t="s">
        <v>740</v>
      </c>
      <c r="B220" s="1145"/>
      <c r="C220" s="1144"/>
      <c r="D220" s="213"/>
      <c r="E220" s="1036" t="s">
        <v>1845</v>
      </c>
      <c r="F220" s="45" t="s">
        <v>1931</v>
      </c>
      <c r="G220" s="19">
        <v>209</v>
      </c>
      <c r="H220" s="124">
        <v>19</v>
      </c>
      <c r="I220" s="409">
        <v>188</v>
      </c>
      <c r="J220" s="138"/>
      <c r="K220" s="20"/>
      <c r="L220" s="451">
        <v>80.33</v>
      </c>
      <c r="M220" s="457">
        <f>2.65*L220</f>
        <v>212.87449999999998</v>
      </c>
      <c r="N220" s="65">
        <f>IF(AND(G220&lt;&gt;"",M220&lt;&gt;""),1000*M220/G220,"")</f>
        <v>1018.5382775119616</v>
      </c>
      <c r="O220" s="65"/>
      <c r="P220" s="65"/>
      <c r="Q220" s="65">
        <v>384</v>
      </c>
      <c r="R220" s="469">
        <v>10</v>
      </c>
      <c r="S220" s="65">
        <v>12</v>
      </c>
      <c r="T220" s="65">
        <v>284</v>
      </c>
      <c r="U220" s="65">
        <v>2704</v>
      </c>
      <c r="V220" s="65">
        <v>587</v>
      </c>
      <c r="W220" s="65"/>
      <c r="X220" s="110"/>
      <c r="Y220" s="81"/>
      <c r="Z220" s="141"/>
      <c r="AA220" s="378">
        <f t="shared" si="82"/>
        <v>554.36067708333326</v>
      </c>
      <c r="AB220" s="54"/>
      <c r="AC220" s="281">
        <f t="shared" si="89"/>
        <v>0.48381601362862009</v>
      </c>
      <c r="AD220" s="394">
        <v>13.43</v>
      </c>
      <c r="AE220" s="17"/>
      <c r="AF220" s="213"/>
      <c r="AG220" s="236"/>
      <c r="AI220" s="233">
        <f>(U220*32*20+V220*512*40)/1000000</f>
        <v>13.752319999999999</v>
      </c>
    </row>
    <row r="221" spans="1:35" ht="13.5" customHeight="1" x14ac:dyDescent="0.2">
      <c r="A221" s="182"/>
      <c r="B221" s="48" t="s">
        <v>717</v>
      </c>
      <c r="C221" s="226"/>
      <c r="D221" s="212"/>
      <c r="E221" s="12" t="s">
        <v>1436</v>
      </c>
      <c r="F221" s="466" t="s">
        <v>1437</v>
      </c>
      <c r="G221" s="14" t="s">
        <v>22</v>
      </c>
      <c r="H221" s="1029" t="s">
        <v>725</v>
      </c>
      <c r="I221" s="161"/>
      <c r="J221" s="136"/>
      <c r="K221" s="16" t="s">
        <v>22</v>
      </c>
      <c r="L221" s="1030" t="s">
        <v>1442</v>
      </c>
      <c r="M221" s="61" t="s">
        <v>989</v>
      </c>
      <c r="N221" s="380">
        <f>AVERAGE(N222:N230)</f>
        <v>383.84803070376279</v>
      </c>
      <c r="O221" s="61"/>
      <c r="P221" s="399" t="s">
        <v>1171</v>
      </c>
      <c r="Q221" s="399" t="s">
        <v>1738</v>
      </c>
      <c r="R221" s="61"/>
      <c r="S221" s="399" t="s">
        <v>1438</v>
      </c>
      <c r="T221" s="61"/>
      <c r="U221" s="61" t="s">
        <v>1047</v>
      </c>
      <c r="V221" s="468" t="s">
        <v>1008</v>
      </c>
      <c r="W221" s="61" t="s">
        <v>634</v>
      </c>
      <c r="X221" s="109" t="s">
        <v>25</v>
      </c>
      <c r="Y221" s="215"/>
      <c r="Z221" s="164"/>
      <c r="AA221" s="370">
        <f>AVERAGE(AA222:AA230)</f>
        <v>295.25795844504597</v>
      </c>
      <c r="AB221" s="92">
        <f>AVERAGE(AB222:AB226)</f>
        <v>0</v>
      </c>
      <c r="AC221" s="1452">
        <f>AVERAGE(AC222:AC230)</f>
        <v>0.40400432904264139</v>
      </c>
      <c r="AD221" s="156" t="s">
        <v>650</v>
      </c>
      <c r="AE221" s="201"/>
      <c r="AF221" s="196">
        <f>MIN(AF222:AF230)</f>
        <v>69.225250936329587</v>
      </c>
      <c r="AG221" s="236" t="s">
        <v>1044</v>
      </c>
    </row>
    <row r="222" spans="1:35" x14ac:dyDescent="0.2">
      <c r="A222" s="523" t="s">
        <v>740</v>
      </c>
      <c r="B222" s="17" t="s">
        <v>702</v>
      </c>
      <c r="C222" s="230"/>
      <c r="D222" s="213" t="s">
        <v>708</v>
      </c>
      <c r="E222" s="41" t="s">
        <v>1950</v>
      </c>
      <c r="F222" s="45" t="s">
        <v>1762</v>
      </c>
      <c r="G222" s="124">
        <v>319</v>
      </c>
      <c r="H222" s="124">
        <v>19</v>
      </c>
      <c r="I222" s="162">
        <v>192</v>
      </c>
      <c r="J222" s="138"/>
      <c r="K222" s="20"/>
      <c r="L222" s="456">
        <v>61.51</v>
      </c>
      <c r="M222" s="457">
        <f t="shared" ref="M222:M230" si="91">2.65*L222</f>
        <v>163.00149999999999</v>
      </c>
      <c r="N222" s="65">
        <f t="shared" ref="N222:N235" si="92">IF(AND(G222&lt;&gt;"",M222&lt;&gt;""),1000*M222/G222,"")</f>
        <v>510.97648902821317</v>
      </c>
      <c r="O222" s="64"/>
      <c r="P222" s="73">
        <v>2</v>
      </c>
      <c r="Q222" s="65">
        <v>312</v>
      </c>
      <c r="R222" s="65">
        <v>12</v>
      </c>
      <c r="S222" s="65">
        <v>12</v>
      </c>
      <c r="T222" s="65">
        <v>288</v>
      </c>
      <c r="U222" s="151"/>
      <c r="V222" s="65">
        <v>440</v>
      </c>
      <c r="W222" s="65">
        <v>1</v>
      </c>
      <c r="X222" s="110">
        <f t="shared" ref="X222:X235" si="93">L222*100</f>
        <v>6151</v>
      </c>
      <c r="Y222" s="81"/>
      <c r="Z222" s="141"/>
      <c r="AA222" s="371">
        <f>1000*M222/Q222</f>
        <v>522.44070512820508</v>
      </c>
      <c r="AB222" s="154">
        <f t="shared" ref="AB222:AB230" si="94">25*AM222/1000000</f>
        <v>0</v>
      </c>
      <c r="AC222" s="281">
        <f t="shared" ref="AC222:AC230" si="95">T222/V222</f>
        <v>0.65454545454545454</v>
      </c>
      <c r="AD222" s="394">
        <f>(V222*20480)/1000000</f>
        <v>9.0112000000000005</v>
      </c>
      <c r="AE222" s="197">
        <v>81.923581999999996</v>
      </c>
      <c r="AF222" s="198">
        <f>(AE222*1000000-V222*40*512)/(10000*L222)</f>
        <v>118.53744431799707</v>
      </c>
      <c r="AG222" s="492" t="s">
        <v>1551</v>
      </c>
    </row>
    <row r="223" spans="1:35" x14ac:dyDescent="0.2">
      <c r="A223" s="523" t="s">
        <v>740</v>
      </c>
      <c r="B223" s="17" t="s">
        <v>702</v>
      </c>
      <c r="C223" s="230"/>
      <c r="D223" s="213" t="s">
        <v>708</v>
      </c>
      <c r="E223" s="41" t="s">
        <v>1951</v>
      </c>
      <c r="F223" s="45" t="s">
        <v>1762</v>
      </c>
      <c r="G223" s="124">
        <v>410</v>
      </c>
      <c r="H223" s="124">
        <v>19</v>
      </c>
      <c r="I223" s="162">
        <v>192</v>
      </c>
      <c r="J223" s="138"/>
      <c r="K223" s="20"/>
      <c r="L223" s="456">
        <v>83.73</v>
      </c>
      <c r="M223" s="457">
        <f t="shared" si="91"/>
        <v>221.8845</v>
      </c>
      <c r="N223" s="65">
        <f t="shared" si="92"/>
        <v>541.18170731707312</v>
      </c>
      <c r="O223" s="64"/>
      <c r="P223" s="73">
        <v>2</v>
      </c>
      <c r="Q223" s="65">
        <v>382</v>
      </c>
      <c r="R223" s="65">
        <v>12</v>
      </c>
      <c r="S223" s="65">
        <v>12</v>
      </c>
      <c r="T223" s="65">
        <v>288</v>
      </c>
      <c r="U223" s="151"/>
      <c r="V223" s="65">
        <v>583</v>
      </c>
      <c r="W223" s="65">
        <v>1</v>
      </c>
      <c r="X223" s="110">
        <f t="shared" si="93"/>
        <v>8373</v>
      </c>
      <c r="Y223" s="81"/>
      <c r="Z223" s="141"/>
      <c r="AA223" s="371">
        <f t="shared" ref="AA223:AA235" si="96">1000*M223/Q223</f>
        <v>580.84947643979058</v>
      </c>
      <c r="AB223" s="154">
        <f t="shared" si="94"/>
        <v>0</v>
      </c>
      <c r="AC223" s="281">
        <f t="shared" si="95"/>
        <v>0.49399656946826759</v>
      </c>
      <c r="AD223" s="394">
        <f t="shared" ref="AD223:AD235" si="97">(V223*20480)/1000000</f>
        <v>11.93984</v>
      </c>
      <c r="AE223" s="197">
        <v>122.591622</v>
      </c>
      <c r="AF223" s="198">
        <f t="shared" ref="AF223:AF235" si="98">(AE223*1000000-V223*40*512)/(10000*L223)</f>
        <v>132.15308969306102</v>
      </c>
      <c r="AG223" s="492" t="s">
        <v>1439</v>
      </c>
    </row>
    <row r="224" spans="1:35" x14ac:dyDescent="0.2">
      <c r="A224" s="523" t="s">
        <v>740</v>
      </c>
      <c r="B224" s="17" t="s">
        <v>702</v>
      </c>
      <c r="C224" s="230"/>
      <c r="D224" s="213" t="s">
        <v>708</v>
      </c>
      <c r="E224" s="41" t="s">
        <v>1952</v>
      </c>
      <c r="F224" s="45" t="s">
        <v>1764</v>
      </c>
      <c r="G224" s="124">
        <v>684</v>
      </c>
      <c r="H224" s="124">
        <v>27</v>
      </c>
      <c r="I224" s="162">
        <v>240</v>
      </c>
      <c r="J224" s="138"/>
      <c r="K224" s="20"/>
      <c r="L224" s="896">
        <v>101.62</v>
      </c>
      <c r="M224" s="457">
        <f t="shared" si="91"/>
        <v>269.29300000000001</v>
      </c>
      <c r="N224" s="65">
        <f t="shared" si="92"/>
        <v>393.703216374269</v>
      </c>
      <c r="O224" s="64"/>
      <c r="P224" s="73">
        <v>2</v>
      </c>
      <c r="Q224" s="65">
        <v>1660</v>
      </c>
      <c r="R224" s="65">
        <v>16</v>
      </c>
      <c r="S224" s="65">
        <v>24</v>
      </c>
      <c r="T224" s="65">
        <v>384</v>
      </c>
      <c r="U224" s="151"/>
      <c r="V224" s="65">
        <v>750</v>
      </c>
      <c r="W224" s="65">
        <v>2</v>
      </c>
      <c r="X224" s="110">
        <f t="shared" si="93"/>
        <v>10162</v>
      </c>
      <c r="Y224" s="81"/>
      <c r="Z224" s="141"/>
      <c r="AA224" s="371">
        <f t="shared" si="96"/>
        <v>162.22469879518073</v>
      </c>
      <c r="AB224" s="154">
        <f t="shared" si="94"/>
        <v>0</v>
      </c>
      <c r="AC224" s="281">
        <f t="shared" si="95"/>
        <v>0.51200000000000001</v>
      </c>
      <c r="AD224" s="394">
        <f t="shared" si="97"/>
        <v>15.36</v>
      </c>
      <c r="AE224" s="197">
        <v>122.591622</v>
      </c>
      <c r="AF224" s="198">
        <f t="shared" si="98"/>
        <v>105.52216296004724</v>
      </c>
      <c r="AG224" s="492" t="s">
        <v>1441</v>
      </c>
    </row>
    <row r="225" spans="1:33" x14ac:dyDescent="0.2">
      <c r="A225" s="523" t="s">
        <v>740</v>
      </c>
      <c r="B225" s="17" t="s">
        <v>702</v>
      </c>
      <c r="C225" s="230"/>
      <c r="D225" s="213" t="s">
        <v>708</v>
      </c>
      <c r="E225" s="41" t="s">
        <v>1953</v>
      </c>
      <c r="F225" s="45" t="s">
        <v>1763</v>
      </c>
      <c r="G225" s="124">
        <v>764</v>
      </c>
      <c r="H225" s="124">
        <v>27</v>
      </c>
      <c r="I225" s="162">
        <v>240</v>
      </c>
      <c r="J225" s="138"/>
      <c r="K225" s="20"/>
      <c r="L225" s="456">
        <v>118.73</v>
      </c>
      <c r="M225" s="457">
        <f t="shared" si="91"/>
        <v>314.6345</v>
      </c>
      <c r="N225" s="65">
        <f t="shared" si="92"/>
        <v>411.82526178010471</v>
      </c>
      <c r="O225" s="64"/>
      <c r="P225" s="73">
        <v>2</v>
      </c>
      <c r="Q225" s="65">
        <v>1970</v>
      </c>
      <c r="R225" s="65">
        <v>16</v>
      </c>
      <c r="S225" s="65">
        <v>24</v>
      </c>
      <c r="T225" s="65">
        <v>384</v>
      </c>
      <c r="U225" s="151"/>
      <c r="V225" s="65">
        <v>891</v>
      </c>
      <c r="W225" s="65">
        <v>2</v>
      </c>
      <c r="X225" s="110">
        <f t="shared" si="93"/>
        <v>11873</v>
      </c>
      <c r="Y225" s="81"/>
      <c r="Z225" s="141"/>
      <c r="AA225" s="371">
        <f t="shared" si="96"/>
        <v>159.71294416243654</v>
      </c>
      <c r="AB225" s="154">
        <f t="shared" si="94"/>
        <v>0</v>
      </c>
      <c r="AC225" s="281">
        <f t="shared" si="95"/>
        <v>0.43097643097643096</v>
      </c>
      <c r="AD225" s="394">
        <f t="shared" si="97"/>
        <v>18.247679999999999</v>
      </c>
      <c r="AE225" s="197">
        <v>177.34124600000001</v>
      </c>
      <c r="AF225" s="198">
        <f t="shared" si="98"/>
        <v>133.99609702686769</v>
      </c>
      <c r="AG225" s="492" t="s">
        <v>1552</v>
      </c>
    </row>
    <row r="226" spans="1:33" x14ac:dyDescent="0.2">
      <c r="A226" s="523" t="s">
        <v>740</v>
      </c>
      <c r="B226" s="17" t="s">
        <v>702</v>
      </c>
      <c r="C226" s="230"/>
      <c r="D226" s="213" t="s">
        <v>708</v>
      </c>
      <c r="E226" s="41" t="s">
        <v>1954</v>
      </c>
      <c r="F226" s="45" t="s">
        <v>1764</v>
      </c>
      <c r="G226" s="124">
        <v>1298</v>
      </c>
      <c r="H226" s="124">
        <v>29</v>
      </c>
      <c r="I226" s="162">
        <v>360</v>
      </c>
      <c r="J226" s="138"/>
      <c r="K226" s="20"/>
      <c r="L226" s="456">
        <v>181.79</v>
      </c>
      <c r="M226" s="457">
        <f t="shared" si="91"/>
        <v>481.74349999999998</v>
      </c>
      <c r="N226" s="65">
        <f t="shared" si="92"/>
        <v>371.14291217257318</v>
      </c>
      <c r="O226" s="64"/>
      <c r="P226" s="73">
        <v>2</v>
      </c>
      <c r="Q226" s="65">
        <v>2736</v>
      </c>
      <c r="R226" s="65">
        <v>24</v>
      </c>
      <c r="S226" s="65">
        <v>36</v>
      </c>
      <c r="T226" s="65">
        <v>492</v>
      </c>
      <c r="U226" s="151"/>
      <c r="V226" s="65">
        <v>1438</v>
      </c>
      <c r="W226" s="65">
        <v>2</v>
      </c>
      <c r="X226" s="110">
        <f t="shared" si="93"/>
        <v>18179</v>
      </c>
      <c r="Y226" s="81"/>
      <c r="Z226" s="141"/>
      <c r="AA226" s="371">
        <f t="shared" si="96"/>
        <v>176.07584064327486</v>
      </c>
      <c r="AB226" s="154">
        <f t="shared" si="94"/>
        <v>0</v>
      </c>
      <c r="AC226" s="281">
        <f t="shared" si="95"/>
        <v>0.34214186369958277</v>
      </c>
      <c r="AD226" s="394">
        <f t="shared" si="97"/>
        <v>29.450240000000001</v>
      </c>
      <c r="AE226" s="197">
        <v>252.83107200000001</v>
      </c>
      <c r="AF226" s="198">
        <f t="shared" si="98"/>
        <v>122.87850376808406</v>
      </c>
      <c r="AG226" s="492" t="s">
        <v>1727</v>
      </c>
    </row>
    <row r="227" spans="1:33" x14ac:dyDescent="0.2">
      <c r="A227" s="182" t="s">
        <v>929</v>
      </c>
      <c r="B227" s="17" t="s">
        <v>702</v>
      </c>
      <c r="C227" s="230"/>
      <c r="D227" s="213" t="s">
        <v>708</v>
      </c>
      <c r="E227" s="41" t="s">
        <v>1955</v>
      </c>
      <c r="F227" s="45" t="s">
        <v>1742</v>
      </c>
      <c r="G227" s="124">
        <v>1795</v>
      </c>
      <c r="H227" s="124">
        <v>35</v>
      </c>
      <c r="I227" s="162">
        <v>588</v>
      </c>
      <c r="J227" s="138"/>
      <c r="K227" s="20"/>
      <c r="L227" s="456">
        <v>217.08</v>
      </c>
      <c r="M227" s="457">
        <f t="shared" si="91"/>
        <v>575.26200000000006</v>
      </c>
      <c r="N227" s="65">
        <f t="shared" si="92"/>
        <v>320.48022284122561</v>
      </c>
      <c r="O227" s="64"/>
      <c r="P227" s="73">
        <v>2</v>
      </c>
      <c r="Q227" s="65">
        <v>3046</v>
      </c>
      <c r="R227" s="65">
        <v>32</v>
      </c>
      <c r="S227" s="65">
        <v>48</v>
      </c>
      <c r="T227" s="65">
        <v>588</v>
      </c>
      <c r="U227" s="151"/>
      <c r="V227" s="65">
        <v>1800</v>
      </c>
      <c r="W227" s="65">
        <v>2</v>
      </c>
      <c r="X227" s="110">
        <f t="shared" si="93"/>
        <v>21708</v>
      </c>
      <c r="Y227" s="81"/>
      <c r="Z227" s="141"/>
      <c r="AA227" s="371">
        <f t="shared" si="96"/>
        <v>188.85817465528561</v>
      </c>
      <c r="AB227" s="154">
        <f t="shared" si="94"/>
        <v>0</v>
      </c>
      <c r="AC227" s="281">
        <f t="shared" si="95"/>
        <v>0.32666666666666666</v>
      </c>
      <c r="AD227" s="394">
        <f t="shared" si="97"/>
        <v>36.863999999999997</v>
      </c>
      <c r="AE227" s="197">
        <v>252.83107200000001</v>
      </c>
      <c r="AF227" s="198">
        <f t="shared" si="98"/>
        <v>99.487318960751793</v>
      </c>
      <c r="AG227" s="6" t="s">
        <v>1069</v>
      </c>
    </row>
    <row r="228" spans="1:33" x14ac:dyDescent="0.2">
      <c r="A228" s="182" t="s">
        <v>929</v>
      </c>
      <c r="B228" s="17" t="s">
        <v>702</v>
      </c>
      <c r="C228" s="230"/>
      <c r="D228" s="213" t="s">
        <v>708</v>
      </c>
      <c r="E228" s="41" t="s">
        <v>1956</v>
      </c>
      <c r="F228" s="45" t="s">
        <v>1742</v>
      </c>
      <c r="G228" s="124">
        <v>2008</v>
      </c>
      <c r="H228" s="124">
        <v>35</v>
      </c>
      <c r="I228" s="162">
        <v>588</v>
      </c>
      <c r="J228" s="138"/>
      <c r="K228" s="20"/>
      <c r="L228" s="456">
        <v>250.54</v>
      </c>
      <c r="M228" s="457">
        <f t="shared" si="91"/>
        <v>663.93099999999993</v>
      </c>
      <c r="N228" s="65">
        <f t="shared" si="92"/>
        <v>330.64292828685251</v>
      </c>
      <c r="O228" s="64"/>
      <c r="P228" s="73">
        <v>2</v>
      </c>
      <c r="Q228" s="65">
        <v>3356</v>
      </c>
      <c r="R228" s="65">
        <v>32</v>
      </c>
      <c r="S228" s="65">
        <v>48</v>
      </c>
      <c r="T228" s="65">
        <v>588</v>
      </c>
      <c r="U228" s="151"/>
      <c r="V228" s="65">
        <v>2133</v>
      </c>
      <c r="W228" s="65">
        <v>2</v>
      </c>
      <c r="X228" s="110">
        <f t="shared" si="93"/>
        <v>25054</v>
      </c>
      <c r="Y228" s="81"/>
      <c r="Z228" s="141"/>
      <c r="AA228" s="371">
        <f t="shared" si="96"/>
        <v>197.83402860548267</v>
      </c>
      <c r="AB228" s="154">
        <f t="shared" si="94"/>
        <v>0</v>
      </c>
      <c r="AC228" s="281">
        <f t="shared" si="95"/>
        <v>0.27566807313642755</v>
      </c>
      <c r="AD228" s="394">
        <f t="shared" si="97"/>
        <v>43.683839999999996</v>
      </c>
      <c r="AE228" s="197">
        <v>351.29251199999999</v>
      </c>
      <c r="AF228" s="198">
        <f t="shared" si="98"/>
        <v>122.77826774167798</v>
      </c>
      <c r="AG228" s="492" t="s">
        <v>1957</v>
      </c>
    </row>
    <row r="229" spans="1:33" x14ac:dyDescent="0.2">
      <c r="A229" s="182" t="s">
        <v>929</v>
      </c>
      <c r="B229" s="17" t="s">
        <v>702</v>
      </c>
      <c r="C229" s="230"/>
      <c r="D229" s="213" t="s">
        <v>708</v>
      </c>
      <c r="E229" s="41" t="s">
        <v>1948</v>
      </c>
      <c r="F229" s="45" t="s">
        <v>1742</v>
      </c>
      <c r="G229" s="124">
        <v>3085.01</v>
      </c>
      <c r="H229" s="124">
        <v>35</v>
      </c>
      <c r="I229" s="162">
        <v>768</v>
      </c>
      <c r="J229" s="138"/>
      <c r="K229" s="20"/>
      <c r="L229" s="456">
        <v>339.62</v>
      </c>
      <c r="M229" s="457">
        <f t="shared" si="91"/>
        <v>899.99299999999994</v>
      </c>
      <c r="N229" s="65">
        <f t="shared" si="92"/>
        <v>291.73098304381506</v>
      </c>
      <c r="O229" s="64"/>
      <c r="P229" s="73">
        <v>2</v>
      </c>
      <c r="Q229" s="65">
        <v>3036</v>
      </c>
      <c r="R229" s="65">
        <v>48</v>
      </c>
      <c r="S229" s="469">
        <v>96</v>
      </c>
      <c r="T229" s="65">
        <v>768</v>
      </c>
      <c r="U229" s="151"/>
      <c r="V229" s="65">
        <v>2423</v>
      </c>
      <c r="W229" s="65">
        <v>4</v>
      </c>
      <c r="X229" s="110">
        <f t="shared" si="93"/>
        <v>33962</v>
      </c>
      <c r="Y229" s="81"/>
      <c r="Z229" s="141"/>
      <c r="AA229" s="371">
        <f t="shared" si="96"/>
        <v>296.44038208168638</v>
      </c>
      <c r="AB229" s="154">
        <f t="shared" si="94"/>
        <v>0</v>
      </c>
      <c r="AC229" s="281">
        <f t="shared" si="95"/>
        <v>0.31696244325216671</v>
      </c>
      <c r="AD229" s="394">
        <f t="shared" si="97"/>
        <v>49.623040000000003</v>
      </c>
      <c r="AE229" s="197">
        <v>351.29251199999999</v>
      </c>
      <c r="AF229" s="198">
        <f t="shared" si="98"/>
        <v>88.825590954596308</v>
      </c>
    </row>
    <row r="230" spans="1:33" ht="13.5" thickBot="1" x14ac:dyDescent="0.25">
      <c r="A230" s="182" t="s">
        <v>929</v>
      </c>
      <c r="B230" s="17" t="s">
        <v>702</v>
      </c>
      <c r="C230" s="230"/>
      <c r="D230" s="213" t="s">
        <v>708</v>
      </c>
      <c r="E230" s="41" t="s">
        <v>1949</v>
      </c>
      <c r="F230" s="45" t="s">
        <v>1742</v>
      </c>
      <c r="G230" s="127">
        <v>4001.01</v>
      </c>
      <c r="H230" s="124">
        <v>35</v>
      </c>
      <c r="I230" s="162">
        <v>768</v>
      </c>
      <c r="J230" s="138"/>
      <c r="K230" s="20"/>
      <c r="L230" s="456">
        <v>427.2</v>
      </c>
      <c r="M230" s="457">
        <f t="shared" si="91"/>
        <v>1132.08</v>
      </c>
      <c r="N230" s="65">
        <f t="shared" si="92"/>
        <v>282.94855548973885</v>
      </c>
      <c r="O230" s="64"/>
      <c r="P230" s="73">
        <v>2</v>
      </c>
      <c r="Q230" s="65">
        <v>3036</v>
      </c>
      <c r="R230" s="65">
        <v>48</v>
      </c>
      <c r="S230" s="469">
        <v>96</v>
      </c>
      <c r="T230" s="65">
        <v>768</v>
      </c>
      <c r="U230" s="151"/>
      <c r="V230" s="65">
        <v>2713</v>
      </c>
      <c r="W230" s="65">
        <v>4</v>
      </c>
      <c r="X230" s="110">
        <f t="shared" si="93"/>
        <v>42720</v>
      </c>
      <c r="Y230" s="81"/>
      <c r="Z230" s="141"/>
      <c r="AA230" s="371">
        <f t="shared" si="96"/>
        <v>372.88537549407113</v>
      </c>
      <c r="AB230" s="154">
        <f t="shared" si="94"/>
        <v>0</v>
      </c>
      <c r="AC230" s="281">
        <f t="shared" si="95"/>
        <v>0.28308145963877629</v>
      </c>
      <c r="AD230" s="394">
        <f t="shared" si="97"/>
        <v>55.562240000000003</v>
      </c>
      <c r="AE230" s="197">
        <v>351.29251199999999</v>
      </c>
      <c r="AF230" s="198">
        <f t="shared" si="98"/>
        <v>69.225250936329587</v>
      </c>
    </row>
    <row r="231" spans="1:33" ht="13.5" customHeight="1" x14ac:dyDescent="0.2">
      <c r="A231" s="182"/>
      <c r="B231" s="48" t="s">
        <v>717</v>
      </c>
      <c r="C231" s="226"/>
      <c r="D231" s="212"/>
      <c r="E231" s="12" t="s">
        <v>1720</v>
      </c>
      <c r="F231" s="466" t="s">
        <v>1721</v>
      </c>
      <c r="G231" s="14" t="s">
        <v>22</v>
      </c>
      <c r="H231" s="1029" t="s">
        <v>725</v>
      </c>
      <c r="I231" s="161"/>
      <c r="J231" s="136"/>
      <c r="K231" s="16" t="s">
        <v>22</v>
      </c>
      <c r="L231" s="1030" t="s">
        <v>1442</v>
      </c>
      <c r="M231" s="399" t="s">
        <v>1936</v>
      </c>
      <c r="N231" s="380">
        <f>AVERAGE(N232:N242)</f>
        <v>152.91712616492725</v>
      </c>
      <c r="O231" s="61"/>
      <c r="P231" s="399" t="s">
        <v>1171</v>
      </c>
      <c r="Q231" s="399" t="s">
        <v>1738</v>
      </c>
      <c r="R231" s="61"/>
      <c r="S231" s="399" t="s">
        <v>1438</v>
      </c>
      <c r="T231" s="61"/>
      <c r="U231" s="61" t="s">
        <v>1047</v>
      </c>
      <c r="V231" s="468" t="s">
        <v>1008</v>
      </c>
      <c r="W231" s="61" t="s">
        <v>634</v>
      </c>
      <c r="X231" s="109" t="s">
        <v>25</v>
      </c>
      <c r="Y231" s="215"/>
      <c r="Z231" s="164"/>
      <c r="AA231" s="370">
        <f>AVERAGE(AA232:AA335)</f>
        <v>343.84232048530214</v>
      </c>
      <c r="AB231" s="92" t="e">
        <f>AVERAGE(AB232:AB236)</f>
        <v>#DIV/0!</v>
      </c>
      <c r="AC231" s="1452">
        <f>AVERAGE(AC232:AC242)</f>
        <v>0.17439228122698039</v>
      </c>
      <c r="AD231" s="156" t="s">
        <v>650</v>
      </c>
      <c r="AE231" s="1128" t="s">
        <v>1880</v>
      </c>
      <c r="AF231" s="196">
        <f>AVERAGE(AF232:AF335)</f>
        <v>15.655258412570884</v>
      </c>
      <c r="AG231" s="236" t="s">
        <v>1044</v>
      </c>
    </row>
    <row r="232" spans="1:33" x14ac:dyDescent="0.2">
      <c r="A232" s="182"/>
      <c r="B232" s="17" t="s">
        <v>702</v>
      </c>
      <c r="C232" s="230" t="s">
        <v>697</v>
      </c>
      <c r="D232" s="213" t="s">
        <v>708</v>
      </c>
      <c r="E232" s="41" t="s">
        <v>1937</v>
      </c>
      <c r="F232" s="1287" t="s">
        <v>1440</v>
      </c>
      <c r="G232" s="124"/>
      <c r="H232" s="124">
        <v>35</v>
      </c>
      <c r="I232" s="162">
        <v>392</v>
      </c>
      <c r="J232" s="138"/>
      <c r="K232" s="20"/>
      <c r="L232" s="456">
        <v>128.16</v>
      </c>
      <c r="M232" s="474">
        <f>2.95*L232</f>
        <v>378.072</v>
      </c>
      <c r="N232" s="65" t="str">
        <f t="shared" si="92"/>
        <v/>
      </c>
      <c r="O232" s="64"/>
      <c r="P232" s="65">
        <v>4</v>
      </c>
      <c r="Q232" s="65">
        <v>1296</v>
      </c>
      <c r="R232" s="65">
        <v>18</v>
      </c>
      <c r="S232" s="65">
        <v>24</v>
      </c>
      <c r="T232" s="65">
        <v>392</v>
      </c>
      <c r="U232" s="151"/>
      <c r="V232" s="65">
        <v>1537</v>
      </c>
      <c r="W232" s="65">
        <v>1</v>
      </c>
      <c r="X232" s="112">
        <f t="shared" si="93"/>
        <v>12816</v>
      </c>
      <c r="Y232" s="81"/>
      <c r="Z232" s="141"/>
      <c r="AA232" s="371">
        <f t="shared" si="96"/>
        <v>291.72222222222223</v>
      </c>
      <c r="AB232" s="154"/>
      <c r="AC232" s="281">
        <f t="shared" ref="AC232:AC254" si="99">T232/V232</f>
        <v>0.25504229017566687</v>
      </c>
      <c r="AD232" s="191">
        <f t="shared" si="97"/>
        <v>31.47776</v>
      </c>
      <c r="AE232" s="17">
        <v>79</v>
      </c>
      <c r="AF232" s="198">
        <f t="shared" si="98"/>
        <v>37.080399500624218</v>
      </c>
      <c r="AG232" s="492" t="s">
        <v>1551</v>
      </c>
    </row>
    <row r="233" spans="1:33" x14ac:dyDescent="0.2">
      <c r="A233" s="182"/>
      <c r="B233" s="17" t="s">
        <v>702</v>
      </c>
      <c r="C233" s="230" t="s">
        <v>697</v>
      </c>
      <c r="D233" s="213" t="s">
        <v>708</v>
      </c>
      <c r="E233" s="41" t="s">
        <v>1938</v>
      </c>
      <c r="F233" s="1287" t="s">
        <v>1440</v>
      </c>
      <c r="G233" s="124"/>
      <c r="H233" s="124">
        <v>35</v>
      </c>
      <c r="I233" s="162">
        <v>400</v>
      </c>
      <c r="J233" s="138"/>
      <c r="K233" s="20"/>
      <c r="L233" s="456">
        <v>207.36</v>
      </c>
      <c r="M233" s="474">
        <f t="shared" ref="M233:M254" si="100">2.95*L233</f>
        <v>611.7120000000001</v>
      </c>
      <c r="N233" s="65" t="str">
        <f t="shared" si="92"/>
        <v/>
      </c>
      <c r="O233" s="64"/>
      <c r="P233" s="65">
        <v>4</v>
      </c>
      <c r="Q233" s="65">
        <v>2304</v>
      </c>
      <c r="R233" s="65">
        <v>18</v>
      </c>
      <c r="S233" s="65">
        <v>48</v>
      </c>
      <c r="T233" s="65">
        <v>488</v>
      </c>
      <c r="U233" s="151"/>
      <c r="V233" s="65">
        <v>2489</v>
      </c>
      <c r="W233" s="65">
        <v>2</v>
      </c>
      <c r="X233" s="110">
        <f t="shared" si="93"/>
        <v>20736</v>
      </c>
      <c r="Y233" s="81"/>
      <c r="Z233" s="141"/>
      <c r="AA233" s="371">
        <f t="shared" si="96"/>
        <v>265.50000000000006</v>
      </c>
      <c r="AB233" s="154"/>
      <c r="AC233" s="281">
        <f t="shared" si="99"/>
        <v>0.19606267577340297</v>
      </c>
      <c r="AD233" s="191">
        <f t="shared" si="97"/>
        <v>50.974719999999998</v>
      </c>
      <c r="AE233" s="17">
        <v>79</v>
      </c>
      <c r="AF233" s="198">
        <f t="shared" si="98"/>
        <v>13.515277777777776</v>
      </c>
      <c r="AG233" s="492" t="s">
        <v>1944</v>
      </c>
    </row>
    <row r="234" spans="1:33" x14ac:dyDescent="0.2">
      <c r="A234" s="182"/>
      <c r="B234" s="17" t="s">
        <v>702</v>
      </c>
      <c r="C234" s="230" t="s">
        <v>697</v>
      </c>
      <c r="D234" s="213" t="s">
        <v>708</v>
      </c>
      <c r="E234" s="41" t="s">
        <v>1939</v>
      </c>
      <c r="F234" s="1287" t="s">
        <v>1722</v>
      </c>
      <c r="G234" s="124"/>
      <c r="H234" s="124">
        <v>42.5</v>
      </c>
      <c r="I234" s="162">
        <v>736</v>
      </c>
      <c r="J234" s="138"/>
      <c r="K234" s="20"/>
      <c r="L234" s="896">
        <v>284.95999999999998</v>
      </c>
      <c r="M234" s="474">
        <f t="shared" si="100"/>
        <v>840.63199999999995</v>
      </c>
      <c r="N234" s="65" t="str">
        <f t="shared" si="92"/>
        <v/>
      </c>
      <c r="O234" s="64"/>
      <c r="P234" s="65">
        <v>4</v>
      </c>
      <c r="Q234" s="65">
        <v>4032</v>
      </c>
      <c r="R234" s="65">
        <v>31</v>
      </c>
      <c r="S234" s="65">
        <v>48</v>
      </c>
      <c r="T234" s="65">
        <v>736</v>
      </c>
      <c r="U234" s="151"/>
      <c r="V234" s="65">
        <v>3477</v>
      </c>
      <c r="W234" s="65">
        <v>2</v>
      </c>
      <c r="X234" s="110">
        <f t="shared" si="93"/>
        <v>28495.999999999996</v>
      </c>
      <c r="Y234" s="81"/>
      <c r="Z234" s="141"/>
      <c r="AA234" s="371">
        <f t="shared" si="96"/>
        <v>208.49007936507937</v>
      </c>
      <c r="AB234" s="154"/>
      <c r="AC234" s="281">
        <f t="shared" si="99"/>
        <v>0.21167673281564567</v>
      </c>
      <c r="AD234" s="191">
        <f t="shared" si="97"/>
        <v>71.208960000000005</v>
      </c>
      <c r="AE234" s="17">
        <v>133</v>
      </c>
      <c r="AF234" s="198">
        <f t="shared" si="98"/>
        <v>21.684110050533409</v>
      </c>
      <c r="AG234" s="492" t="s">
        <v>1946</v>
      </c>
    </row>
    <row r="235" spans="1:33" x14ac:dyDescent="0.2">
      <c r="A235" s="182"/>
      <c r="B235" s="17" t="s">
        <v>702</v>
      </c>
      <c r="C235" s="230" t="s">
        <v>697</v>
      </c>
      <c r="D235" s="213" t="s">
        <v>708</v>
      </c>
      <c r="E235" s="41" t="s">
        <v>1942</v>
      </c>
      <c r="F235" s="1287" t="s">
        <v>1722</v>
      </c>
      <c r="G235" s="124"/>
      <c r="H235" s="124">
        <v>42.5</v>
      </c>
      <c r="I235" s="162">
        <v>736</v>
      </c>
      <c r="J235" s="138"/>
      <c r="K235" s="20"/>
      <c r="L235" s="456">
        <v>370.08</v>
      </c>
      <c r="M235" s="474">
        <f t="shared" si="100"/>
        <v>1091.7360000000001</v>
      </c>
      <c r="N235" s="65" t="str">
        <f t="shared" si="92"/>
        <v/>
      </c>
      <c r="O235" s="64"/>
      <c r="P235" s="65">
        <v>4</v>
      </c>
      <c r="Q235" s="65">
        <v>5040</v>
      </c>
      <c r="R235" s="65">
        <v>31</v>
      </c>
      <c r="S235" s="65">
        <v>48</v>
      </c>
      <c r="T235" s="65">
        <v>736</v>
      </c>
      <c r="U235" s="151"/>
      <c r="V235" s="65">
        <v>4401</v>
      </c>
      <c r="W235" s="65">
        <v>2</v>
      </c>
      <c r="X235" s="110">
        <f t="shared" si="93"/>
        <v>37008</v>
      </c>
      <c r="Y235" s="81"/>
      <c r="Z235" s="141"/>
      <c r="AA235" s="371">
        <f t="shared" si="96"/>
        <v>216.61428571428573</v>
      </c>
      <c r="AB235" s="154"/>
      <c r="AC235" s="281">
        <f t="shared" si="99"/>
        <v>0.16723471938195864</v>
      </c>
      <c r="AD235" s="191">
        <f t="shared" si="97"/>
        <v>90.132480000000001</v>
      </c>
      <c r="AE235" s="17">
        <v>133</v>
      </c>
      <c r="AF235" s="198">
        <f t="shared" si="98"/>
        <v>11.583311716385646</v>
      </c>
      <c r="AG235" s="492" t="s">
        <v>1552</v>
      </c>
    </row>
    <row r="236" spans="1:33" x14ac:dyDescent="0.2">
      <c r="A236" s="182"/>
      <c r="B236" s="17" t="s">
        <v>702</v>
      </c>
      <c r="C236" s="230" t="s">
        <v>697</v>
      </c>
      <c r="D236" s="213" t="s">
        <v>708</v>
      </c>
      <c r="E236" s="41" t="s">
        <v>1943</v>
      </c>
      <c r="F236" s="1287" t="s">
        <v>1722</v>
      </c>
      <c r="G236" s="124"/>
      <c r="H236" s="124">
        <v>42.5</v>
      </c>
      <c r="I236" s="162">
        <v>704</v>
      </c>
      <c r="J236" s="138"/>
      <c r="K236" s="20"/>
      <c r="L236" s="456">
        <v>550.54</v>
      </c>
      <c r="M236" s="474">
        <f t="shared" si="100"/>
        <v>1624.0930000000001</v>
      </c>
      <c r="N236" s="65" t="str">
        <f t="shared" ref="N236:N242" si="101">IF(AND(G236&lt;&gt;"",M236&lt;&gt;""),1000*M236/G236,"")</f>
        <v/>
      </c>
      <c r="O236" s="64"/>
      <c r="P236" s="65">
        <v>4</v>
      </c>
      <c r="Q236" s="65">
        <v>6290</v>
      </c>
      <c r="R236" s="65">
        <v>46</v>
      </c>
      <c r="S236" s="65">
        <v>96</v>
      </c>
      <c r="T236" s="65">
        <v>704</v>
      </c>
      <c r="U236" s="151"/>
      <c r="V236" s="65">
        <v>5851</v>
      </c>
      <c r="W236" s="65">
        <v>4</v>
      </c>
      <c r="X236" s="110">
        <f t="shared" ref="X236:X254" si="102">L236*100</f>
        <v>55054</v>
      </c>
      <c r="Y236" s="81"/>
      <c r="Z236" s="141"/>
      <c r="AA236" s="371">
        <f t="shared" ref="AA236:AA242" si="103">1000*M236/Q236</f>
        <v>258.20238473767887</v>
      </c>
      <c r="AB236" s="154"/>
      <c r="AC236" s="281">
        <f t="shared" si="99"/>
        <v>0.12032131259613742</v>
      </c>
      <c r="AD236" s="191">
        <f t="shared" ref="AD236:AD242" si="104">(V236*20480)/1000000</f>
        <v>119.82848</v>
      </c>
      <c r="AE236" s="17">
        <v>227</v>
      </c>
      <c r="AF236" s="198">
        <f t="shared" ref="AF236:AF242" si="105">(AE236*1000000-V236*40*512)/(10000*L236)</f>
        <v>19.466618229374795</v>
      </c>
      <c r="AG236" s="492" t="s">
        <v>1727</v>
      </c>
    </row>
    <row r="237" spans="1:33" x14ac:dyDescent="0.2">
      <c r="A237" s="182"/>
      <c r="B237" s="17" t="s">
        <v>702</v>
      </c>
      <c r="C237" s="230" t="s">
        <v>697</v>
      </c>
      <c r="D237" s="213" t="s">
        <v>708</v>
      </c>
      <c r="E237" s="41" t="s">
        <v>1991</v>
      </c>
      <c r="F237" s="1287" t="s">
        <v>1935</v>
      </c>
      <c r="G237" s="124">
        <v>14223.02</v>
      </c>
      <c r="H237" s="124">
        <v>42.5</v>
      </c>
      <c r="I237" s="162">
        <v>704</v>
      </c>
      <c r="J237" s="138"/>
      <c r="K237" s="20"/>
      <c r="L237" s="456">
        <v>679.68</v>
      </c>
      <c r="M237" s="474">
        <f t="shared" si="100"/>
        <v>2005.056</v>
      </c>
      <c r="N237" s="65">
        <f t="shared" si="101"/>
        <v>140.97259231864962</v>
      </c>
      <c r="O237" s="65"/>
      <c r="P237" s="65">
        <v>4</v>
      </c>
      <c r="Q237" s="65">
        <v>7488</v>
      </c>
      <c r="R237" s="65">
        <v>46</v>
      </c>
      <c r="S237" s="65">
        <v>96</v>
      </c>
      <c r="T237" s="65">
        <v>704</v>
      </c>
      <c r="U237" s="151"/>
      <c r="V237" s="65">
        <v>6501</v>
      </c>
      <c r="W237" s="65">
        <v>4</v>
      </c>
      <c r="X237" s="110">
        <f t="shared" si="102"/>
        <v>67968</v>
      </c>
      <c r="Y237" s="216"/>
      <c r="Z237" s="141"/>
      <c r="AA237" s="378">
        <f t="shared" si="103"/>
        <v>267.76923076923077</v>
      </c>
      <c r="AB237" s="394"/>
      <c r="AC237" s="216">
        <f t="shared" si="99"/>
        <v>0.10829103214890017</v>
      </c>
      <c r="AD237" s="191">
        <f t="shared" si="104"/>
        <v>133.14048</v>
      </c>
      <c r="AE237" s="17">
        <v>227</v>
      </c>
      <c r="AF237" s="198">
        <f t="shared" si="105"/>
        <v>13.809369114877592</v>
      </c>
      <c r="AG237" s="492" t="s">
        <v>1947</v>
      </c>
    </row>
    <row r="238" spans="1:33" x14ac:dyDescent="0.2">
      <c r="A238" s="182"/>
      <c r="B238" s="17" t="s">
        <v>702</v>
      </c>
      <c r="C238" s="230" t="s">
        <v>697</v>
      </c>
      <c r="D238" s="213" t="s">
        <v>708</v>
      </c>
      <c r="E238" s="41" t="s">
        <v>1992</v>
      </c>
      <c r="F238" s="1287" t="s">
        <v>1940</v>
      </c>
      <c r="G238" s="124">
        <v>15420.0933</v>
      </c>
      <c r="H238" s="124">
        <v>42.5</v>
      </c>
      <c r="I238" s="162">
        <v>1160</v>
      </c>
      <c r="J238" s="138"/>
      <c r="K238" s="20"/>
      <c r="L238" s="456">
        <v>821.15</v>
      </c>
      <c r="M238" s="457">
        <f t="shared" si="100"/>
        <v>2422.3924999999999</v>
      </c>
      <c r="N238" s="65">
        <f t="shared" si="101"/>
        <v>157.09324534372305</v>
      </c>
      <c r="O238" s="64"/>
      <c r="P238" s="65">
        <v>4</v>
      </c>
      <c r="Q238" s="282">
        <v>10022</v>
      </c>
      <c r="R238" s="65">
        <v>72</v>
      </c>
      <c r="S238" s="65">
        <v>96</v>
      </c>
      <c r="T238" s="65">
        <v>1160</v>
      </c>
      <c r="U238" s="151"/>
      <c r="V238" s="65">
        <v>9963</v>
      </c>
      <c r="W238" s="65">
        <v>4</v>
      </c>
      <c r="X238" s="110">
        <f t="shared" si="102"/>
        <v>82115</v>
      </c>
      <c r="Y238" s="81"/>
      <c r="Z238" s="141"/>
      <c r="AA238" s="371">
        <f t="shared" si="103"/>
        <v>241.70749351426861</v>
      </c>
      <c r="AB238" s="154"/>
      <c r="AC238" s="281">
        <f t="shared" si="99"/>
        <v>0.116430793937569</v>
      </c>
      <c r="AD238" s="191">
        <f t="shared" si="104"/>
        <v>204.04223999999999</v>
      </c>
      <c r="AE238" s="17">
        <v>336</v>
      </c>
      <c r="AF238" s="198">
        <f t="shared" si="105"/>
        <v>16.069872739450769</v>
      </c>
      <c r="AG238" s="492" t="s">
        <v>1726</v>
      </c>
    </row>
    <row r="239" spans="1:33" x14ac:dyDescent="0.2">
      <c r="A239" s="182"/>
      <c r="B239" s="17" t="s">
        <v>702</v>
      </c>
      <c r="C239" s="230" t="s">
        <v>697</v>
      </c>
      <c r="D239" s="213" t="s">
        <v>708</v>
      </c>
      <c r="E239" s="41" t="s">
        <v>1993</v>
      </c>
      <c r="F239" s="1287" t="s">
        <v>1941</v>
      </c>
      <c r="G239" s="124">
        <v>17131</v>
      </c>
      <c r="H239" s="124">
        <v>42.5</v>
      </c>
      <c r="I239" s="162">
        <v>1160</v>
      </c>
      <c r="J239" s="138"/>
      <c r="K239" s="20"/>
      <c r="L239" s="456">
        <v>933.12</v>
      </c>
      <c r="M239" s="457">
        <f t="shared" si="100"/>
        <v>2752.7040000000002</v>
      </c>
      <c r="N239" s="65">
        <f t="shared" si="101"/>
        <v>160.68554083240909</v>
      </c>
      <c r="O239" s="64"/>
      <c r="P239" s="65">
        <v>4</v>
      </c>
      <c r="Q239" s="282">
        <v>11520</v>
      </c>
      <c r="R239" s="65">
        <v>72</v>
      </c>
      <c r="S239" s="469">
        <v>96</v>
      </c>
      <c r="T239" s="65">
        <v>1160</v>
      </c>
      <c r="U239" s="151"/>
      <c r="V239" s="65">
        <v>11721</v>
      </c>
      <c r="W239" s="65">
        <v>4</v>
      </c>
      <c r="X239" s="110">
        <f t="shared" si="102"/>
        <v>93312</v>
      </c>
      <c r="Y239" s="81"/>
      <c r="Z239" s="141"/>
      <c r="AA239" s="371">
        <f t="shared" si="103"/>
        <v>238.95</v>
      </c>
      <c r="AB239" s="154"/>
      <c r="AC239" s="281">
        <f t="shared" si="99"/>
        <v>9.8967664875010658E-2</v>
      </c>
      <c r="AD239" s="191">
        <f t="shared" si="104"/>
        <v>240.04607999999999</v>
      </c>
      <c r="AE239" s="17">
        <v>336</v>
      </c>
      <c r="AF239" s="198">
        <f t="shared" si="105"/>
        <v>10.283127572016461</v>
      </c>
      <c r="AG239" s="492" t="s">
        <v>1725</v>
      </c>
    </row>
    <row r="240" spans="1:33" x14ac:dyDescent="0.2">
      <c r="A240" s="182"/>
      <c r="B240" s="17" t="s">
        <v>702</v>
      </c>
      <c r="C240" s="230" t="s">
        <v>697</v>
      </c>
      <c r="D240" s="213" t="s">
        <v>708</v>
      </c>
      <c r="E240" s="41" t="s">
        <v>1994</v>
      </c>
      <c r="F240" s="1287" t="s">
        <v>1723</v>
      </c>
      <c r="G240" s="124"/>
      <c r="H240" s="124">
        <v>55</v>
      </c>
      <c r="I240" s="162">
        <v>1160</v>
      </c>
      <c r="J240" s="138"/>
      <c r="K240" s="20"/>
      <c r="L240" s="456">
        <v>1512.82</v>
      </c>
      <c r="M240" s="457">
        <f t="shared" si="100"/>
        <v>4462.8190000000004</v>
      </c>
      <c r="N240" s="65" t="str">
        <f t="shared" si="101"/>
        <v/>
      </c>
      <c r="O240" s="64"/>
      <c r="P240" s="65">
        <v>4</v>
      </c>
      <c r="Q240" s="65">
        <v>3960</v>
      </c>
      <c r="R240" s="65">
        <v>58</v>
      </c>
      <c r="S240" s="469">
        <v>24</v>
      </c>
      <c r="T240" s="65">
        <v>1640</v>
      </c>
      <c r="U240" s="151"/>
      <c r="V240" s="65">
        <v>7033</v>
      </c>
      <c r="W240" s="65">
        <v>1</v>
      </c>
      <c r="X240" s="110">
        <f t="shared" si="102"/>
        <v>151282</v>
      </c>
      <c r="Y240" s="81"/>
      <c r="Z240" s="141"/>
      <c r="AA240" s="371">
        <f t="shared" si="103"/>
        <v>1126.974494949495</v>
      </c>
      <c r="AB240" s="154"/>
      <c r="AC240" s="281">
        <f t="shared" si="99"/>
        <v>0.23318640693871748</v>
      </c>
      <c r="AD240" s="191">
        <f t="shared" si="104"/>
        <v>144.03584000000001</v>
      </c>
      <c r="AE240" s="17">
        <v>448</v>
      </c>
      <c r="AF240" s="198">
        <f t="shared" si="105"/>
        <v>20.092552980526435</v>
      </c>
      <c r="AG240" s="492" t="s">
        <v>1724</v>
      </c>
    </row>
    <row r="241" spans="1:33" x14ac:dyDescent="0.2">
      <c r="A241" s="182"/>
      <c r="B241" s="17" t="s">
        <v>702</v>
      </c>
      <c r="C241" s="230" t="s">
        <v>697</v>
      </c>
      <c r="D241" s="213" t="s">
        <v>708</v>
      </c>
      <c r="E241" s="41" t="s">
        <v>1995</v>
      </c>
      <c r="F241" s="1287" t="s">
        <v>1723</v>
      </c>
      <c r="G241" s="124"/>
      <c r="H241" s="124">
        <v>55</v>
      </c>
      <c r="I241" s="162">
        <v>1160</v>
      </c>
      <c r="J241" s="138"/>
      <c r="K241" s="20"/>
      <c r="L241" s="456">
        <v>1867.68</v>
      </c>
      <c r="M241" s="457">
        <f>2.95*L241</f>
        <v>5509.6560000000009</v>
      </c>
      <c r="N241" s="65" t="str">
        <f>IF(AND(G241&lt;&gt;"",M241&lt;&gt;""),1000*M241/G241,"")</f>
        <v/>
      </c>
      <c r="O241" s="65"/>
      <c r="P241" s="65">
        <v>4</v>
      </c>
      <c r="Q241" s="65">
        <v>3960</v>
      </c>
      <c r="R241" s="65">
        <v>58</v>
      </c>
      <c r="S241" s="469">
        <v>24</v>
      </c>
      <c r="T241" s="65">
        <v>1640</v>
      </c>
      <c r="U241" s="151"/>
      <c r="V241" s="65">
        <v>7033</v>
      </c>
      <c r="W241" s="65">
        <v>1</v>
      </c>
      <c r="X241" s="110">
        <f>L241*100</f>
        <v>186768</v>
      </c>
      <c r="Y241" s="216"/>
      <c r="Z241" s="141"/>
      <c r="AA241" s="378">
        <f t="shared" si="103"/>
        <v>1391.3272727272729</v>
      </c>
      <c r="AB241" s="394"/>
      <c r="AC241" s="216">
        <f>T241/V241</f>
        <v>0.23318640693871748</v>
      </c>
      <c r="AD241" s="191">
        <f>(V241*20480)/1000000</f>
        <v>144.03584000000001</v>
      </c>
      <c r="AE241" s="17">
        <v>448</v>
      </c>
      <c r="AF241" s="198">
        <f>(AE241*1000000-V241*40*512)/(10000*L241)</f>
        <v>16.274959307804334</v>
      </c>
      <c r="AG241" s="492" t="s">
        <v>1945</v>
      </c>
    </row>
    <row r="242" spans="1:33" ht="13.5" thickBot="1" x14ac:dyDescent="0.25">
      <c r="A242" s="182"/>
      <c r="B242" s="17" t="s">
        <v>702</v>
      </c>
      <c r="C242" s="232" t="s">
        <v>697</v>
      </c>
      <c r="D242" s="214" t="s">
        <v>708</v>
      </c>
      <c r="E242" s="33" t="s">
        <v>2223</v>
      </c>
      <c r="F242" s="1329"/>
      <c r="G242" s="125"/>
      <c r="H242" s="125">
        <v>55</v>
      </c>
      <c r="I242" s="163">
        <v>1160</v>
      </c>
      <c r="J242" s="150"/>
      <c r="K242" s="24"/>
      <c r="L242" s="458">
        <v>3466.08</v>
      </c>
      <c r="M242" s="68">
        <f t="shared" si="100"/>
        <v>10224.936</v>
      </c>
      <c r="N242" s="68" t="str">
        <f t="shared" si="101"/>
        <v/>
      </c>
      <c r="O242" s="68"/>
      <c r="P242" s="68">
        <v>4</v>
      </c>
      <c r="Q242" s="68">
        <v>6912</v>
      </c>
      <c r="R242" s="68">
        <v>58</v>
      </c>
      <c r="S242" s="533">
        <v>48</v>
      </c>
      <c r="T242" s="68">
        <v>2304</v>
      </c>
      <c r="U242" s="152"/>
      <c r="V242" s="68">
        <v>12950</v>
      </c>
      <c r="W242" s="68">
        <v>4</v>
      </c>
      <c r="X242" s="111">
        <f t="shared" si="102"/>
        <v>346608</v>
      </c>
      <c r="Y242" s="217"/>
      <c r="Z242" s="142"/>
      <c r="AA242" s="379">
        <f t="shared" si="103"/>
        <v>1479.3020833333333</v>
      </c>
      <c r="AB242" s="1242"/>
      <c r="AC242" s="217">
        <f t="shared" si="99"/>
        <v>0.17791505791505791</v>
      </c>
      <c r="AD242" s="192">
        <f t="shared" si="104"/>
        <v>265.21600000000001</v>
      </c>
      <c r="AE242" s="21"/>
      <c r="AF242" s="200">
        <f t="shared" si="105"/>
        <v>-7.6517564510917229</v>
      </c>
      <c r="AG242" s="492"/>
    </row>
    <row r="243" spans="1:33" ht="13.5" customHeight="1" x14ac:dyDescent="0.2">
      <c r="A243" s="182"/>
      <c r="B243" s="48" t="s">
        <v>717</v>
      </c>
      <c r="C243" s="226"/>
      <c r="D243" s="212"/>
      <c r="E243" s="12" t="s">
        <v>2186</v>
      </c>
      <c r="F243" s="466" t="s">
        <v>2185</v>
      </c>
      <c r="G243" s="14" t="s">
        <v>22</v>
      </c>
      <c r="H243" s="1029" t="s">
        <v>725</v>
      </c>
      <c r="I243" s="161"/>
      <c r="J243" s="136"/>
      <c r="K243" s="16" t="s">
        <v>22</v>
      </c>
      <c r="L243" s="1030" t="s">
        <v>1442</v>
      </c>
      <c r="M243" s="399" t="s">
        <v>1936</v>
      </c>
      <c r="N243" s="380"/>
      <c r="O243" s="61"/>
      <c r="P243" s="399" t="s">
        <v>1171</v>
      </c>
      <c r="Q243" s="399" t="s">
        <v>1738</v>
      </c>
      <c r="R243" s="61"/>
      <c r="S243" s="399" t="s">
        <v>2191</v>
      </c>
      <c r="T243" s="61"/>
      <c r="U243" s="399" t="s">
        <v>2193</v>
      </c>
      <c r="V243" s="468" t="s">
        <v>1008</v>
      </c>
      <c r="W243" s="61" t="s">
        <v>634</v>
      </c>
      <c r="X243" s="109" t="s">
        <v>25</v>
      </c>
      <c r="Y243" s="215"/>
      <c r="Z243" s="164"/>
      <c r="AA243" s="370">
        <f>AVERAGE(AA244:AA252)</f>
        <v>165.43179283761165</v>
      </c>
      <c r="AB243" s="92" t="e">
        <f>AVERAGE(AB244:AB248)</f>
        <v>#DIV/0!</v>
      </c>
      <c r="AC243" s="1452">
        <f>AVERAGE(AC244:AC252)</f>
        <v>0.11524209509865885</v>
      </c>
      <c r="AD243" s="156" t="s">
        <v>650</v>
      </c>
      <c r="AE243" s="1128" t="s">
        <v>1880</v>
      </c>
      <c r="AF243" s="196"/>
      <c r="AG243" s="236"/>
    </row>
    <row r="244" spans="1:33" s="751" customFormat="1" x14ac:dyDescent="0.2">
      <c r="A244" s="1400"/>
      <c r="B244" s="552"/>
      <c r="C244" s="553"/>
      <c r="D244" s="575"/>
      <c r="E244" s="552" t="s">
        <v>2187</v>
      </c>
      <c r="F244" s="1401"/>
      <c r="G244" s="880"/>
      <c r="H244" s="880"/>
      <c r="I244" s="881"/>
      <c r="J244" s="1071"/>
      <c r="K244" s="1072"/>
      <c r="L244" s="1465">
        <v>132.881</v>
      </c>
      <c r="M244" s="1466">
        <f t="shared" si="100"/>
        <v>391.99895000000004</v>
      </c>
      <c r="N244" s="564"/>
      <c r="O244" s="564"/>
      <c r="P244" s="564">
        <v>4</v>
      </c>
      <c r="Q244" s="564">
        <v>2300</v>
      </c>
      <c r="R244" s="564"/>
      <c r="S244" s="564"/>
      <c r="T244" s="586">
        <v>384</v>
      </c>
      <c r="U244" s="1467">
        <v>6644</v>
      </c>
      <c r="V244" s="586">
        <v>1900</v>
      </c>
      <c r="W244" s="586">
        <v>24</v>
      </c>
      <c r="X244" s="566">
        <f t="shared" si="102"/>
        <v>13288.1</v>
      </c>
      <c r="Y244" s="884"/>
      <c r="Z244" s="830"/>
      <c r="AA244" s="601">
        <f t="shared" ref="AA244:AA254" si="106">1000*M244/Q244</f>
        <v>170.43432608695653</v>
      </c>
      <c r="AB244" s="1406"/>
      <c r="AC244" s="1453">
        <f t="shared" si="99"/>
        <v>0.20210526315789473</v>
      </c>
      <c r="AD244" s="572">
        <f>(V244*20480+U244*640)/1000000</f>
        <v>43.164160000000003</v>
      </c>
      <c r="AE244" s="573"/>
      <c r="AF244" s="594"/>
      <c r="AG244" s="1468"/>
    </row>
    <row r="245" spans="1:33" x14ac:dyDescent="0.2">
      <c r="A245" s="183"/>
      <c r="B245" s="29"/>
      <c r="C245" s="1213"/>
      <c r="D245" s="300"/>
      <c r="E245" s="36" t="s">
        <v>2409</v>
      </c>
      <c r="F245" s="1337"/>
      <c r="G245" s="126"/>
      <c r="H245" s="126">
        <v>34</v>
      </c>
      <c r="I245" s="166">
        <v>384</v>
      </c>
      <c r="J245" s="140"/>
      <c r="K245" s="153"/>
      <c r="L245" s="485">
        <v>194.4</v>
      </c>
      <c r="M245" s="474">
        <f t="shared" si="100"/>
        <v>573.48</v>
      </c>
      <c r="N245" s="65"/>
      <c r="O245" s="65"/>
      <c r="P245" s="65">
        <v>4</v>
      </c>
      <c r="Q245" s="65">
        <v>3280</v>
      </c>
      <c r="R245" s="65"/>
      <c r="S245" s="469"/>
      <c r="T245" s="71">
        <v>384</v>
      </c>
      <c r="U245" s="1218">
        <v>9720</v>
      </c>
      <c r="V245" s="71">
        <v>2844</v>
      </c>
      <c r="W245" s="71">
        <v>24</v>
      </c>
      <c r="X245" s="110">
        <f t="shared" si="102"/>
        <v>19440</v>
      </c>
      <c r="Y245" s="83"/>
      <c r="Z245" s="172"/>
      <c r="AA245" s="371">
        <f t="shared" si="106"/>
        <v>174.84146341463415</v>
      </c>
      <c r="AB245" s="998"/>
      <c r="AC245" s="281">
        <f t="shared" si="99"/>
        <v>0.13502109704641349</v>
      </c>
      <c r="AD245" s="191">
        <f t="shared" ref="AD245:AD254" si="107">(V245*20480+U245*640)/1000000</f>
        <v>64.465919999999997</v>
      </c>
      <c r="AE245" s="17"/>
      <c r="AF245" s="198"/>
      <c r="AG245" s="492" t="s">
        <v>2190</v>
      </c>
    </row>
    <row r="246" spans="1:33" x14ac:dyDescent="0.2">
      <c r="A246" s="183"/>
      <c r="B246" s="29"/>
      <c r="C246" s="1213"/>
      <c r="D246" s="300"/>
      <c r="E246" s="36" t="s">
        <v>2410</v>
      </c>
      <c r="F246" s="1337"/>
      <c r="G246" s="126"/>
      <c r="H246" s="126">
        <v>34</v>
      </c>
      <c r="I246" s="166">
        <v>384</v>
      </c>
      <c r="J246" s="140"/>
      <c r="K246" s="153"/>
      <c r="L246" s="485">
        <v>259.2</v>
      </c>
      <c r="M246" s="474">
        <f t="shared" si="100"/>
        <v>764.64</v>
      </c>
      <c r="N246" s="65"/>
      <c r="O246" s="65"/>
      <c r="P246" s="65">
        <v>4</v>
      </c>
      <c r="Q246" s="65">
        <v>4592</v>
      </c>
      <c r="R246" s="65"/>
      <c r="S246" s="469"/>
      <c r="T246" s="71">
        <v>576</v>
      </c>
      <c r="U246" s="1218">
        <v>12960</v>
      </c>
      <c r="V246" s="71">
        <v>3792</v>
      </c>
      <c r="W246" s="71">
        <v>24</v>
      </c>
      <c r="X246" s="110">
        <f t="shared" si="102"/>
        <v>25920</v>
      </c>
      <c r="Y246" s="83"/>
      <c r="Z246" s="172"/>
      <c r="AA246" s="371">
        <f t="shared" si="106"/>
        <v>166.51567944250871</v>
      </c>
      <c r="AB246" s="998"/>
      <c r="AC246" s="281">
        <f t="shared" si="99"/>
        <v>0.15189873417721519</v>
      </c>
      <c r="AD246" s="191">
        <f t="shared" si="107"/>
        <v>85.954560000000001</v>
      </c>
      <c r="AE246" s="17"/>
      <c r="AF246" s="198"/>
      <c r="AG246" s="1339" t="s">
        <v>2189</v>
      </c>
    </row>
    <row r="247" spans="1:33" x14ac:dyDescent="0.2">
      <c r="A247" s="183"/>
      <c r="B247" s="29"/>
      <c r="C247" s="1213"/>
      <c r="D247" s="300"/>
      <c r="E247" s="36" t="s">
        <v>2411</v>
      </c>
      <c r="F247" s="1337"/>
      <c r="G247" s="126">
        <v>16375</v>
      </c>
      <c r="H247" s="126">
        <v>42</v>
      </c>
      <c r="I247" s="166">
        <v>576</v>
      </c>
      <c r="J247" s="140"/>
      <c r="K247" s="153"/>
      <c r="L247" s="485">
        <v>406.78</v>
      </c>
      <c r="M247" s="474">
        <f t="shared" si="100"/>
        <v>1200.001</v>
      </c>
      <c r="N247" s="65"/>
      <c r="O247" s="65"/>
      <c r="P247" s="65">
        <v>4</v>
      </c>
      <c r="Q247" s="65">
        <v>8000</v>
      </c>
      <c r="R247" s="65"/>
      <c r="S247" s="469"/>
      <c r="T247" s="71">
        <v>768</v>
      </c>
      <c r="U247" s="1218">
        <v>20338</v>
      </c>
      <c r="V247" s="71">
        <v>5568</v>
      </c>
      <c r="W247" s="71">
        <v>24</v>
      </c>
      <c r="X247" s="110">
        <f t="shared" si="102"/>
        <v>40678</v>
      </c>
      <c r="Y247" s="83"/>
      <c r="Z247" s="172"/>
      <c r="AA247" s="371">
        <f t="shared" si="106"/>
        <v>150.000125</v>
      </c>
      <c r="AB247" s="998"/>
      <c r="AC247" s="281">
        <f t="shared" si="99"/>
        <v>0.13793103448275862</v>
      </c>
      <c r="AD247" s="191">
        <f t="shared" si="107"/>
        <v>127.04895999999999</v>
      </c>
      <c r="AE247" s="17"/>
      <c r="AF247" s="198"/>
      <c r="AG247" s="492" t="s">
        <v>2188</v>
      </c>
    </row>
    <row r="248" spans="1:33" x14ac:dyDescent="0.2">
      <c r="A248" s="183"/>
      <c r="B248" s="29"/>
      <c r="C248" s="1213"/>
      <c r="D248" s="300"/>
      <c r="E248" s="36" t="s">
        <v>2412</v>
      </c>
      <c r="F248" s="1337"/>
      <c r="G248" s="126">
        <v>25165</v>
      </c>
      <c r="H248" s="126">
        <v>42</v>
      </c>
      <c r="I248" s="166">
        <v>576</v>
      </c>
      <c r="J248" s="140"/>
      <c r="K248" s="153"/>
      <c r="L248" s="485">
        <v>487.2</v>
      </c>
      <c r="M248" s="474">
        <f t="shared" si="100"/>
        <v>1437.24</v>
      </c>
      <c r="N248" s="65"/>
      <c r="O248" s="65"/>
      <c r="P248" s="65">
        <v>4</v>
      </c>
      <c r="Q248" s="65">
        <v>9020</v>
      </c>
      <c r="R248" s="65"/>
      <c r="S248" s="469"/>
      <c r="T248" s="71">
        <v>768</v>
      </c>
      <c r="U248" s="1218">
        <v>24360</v>
      </c>
      <c r="V248" s="71">
        <v>7110</v>
      </c>
      <c r="W248" s="71">
        <v>24</v>
      </c>
      <c r="X248" s="110">
        <f t="shared" si="102"/>
        <v>48720</v>
      </c>
      <c r="Y248" s="83"/>
      <c r="Z248" s="172"/>
      <c r="AA248" s="371">
        <f t="shared" si="106"/>
        <v>159.33924611973393</v>
      </c>
      <c r="AB248" s="998"/>
      <c r="AC248" s="281">
        <f t="shared" si="99"/>
        <v>0.1080168776371308</v>
      </c>
      <c r="AD248" s="191">
        <f t="shared" si="107"/>
        <v>161.20320000000001</v>
      </c>
      <c r="AE248" s="17"/>
      <c r="AF248" s="198"/>
      <c r="AG248" s="492" t="s">
        <v>1727</v>
      </c>
    </row>
    <row r="249" spans="1:33" x14ac:dyDescent="0.2">
      <c r="A249" s="183"/>
      <c r="B249" s="29"/>
      <c r="C249" s="1213"/>
      <c r="D249" s="300"/>
      <c r="E249" s="36" t="s">
        <v>2413</v>
      </c>
      <c r="F249" s="1337"/>
      <c r="G249" s="126">
        <v>41585</v>
      </c>
      <c r="H249" s="126">
        <v>40.5</v>
      </c>
      <c r="I249" s="166">
        <v>624</v>
      </c>
      <c r="J249" s="140"/>
      <c r="K249" s="153"/>
      <c r="L249" s="485">
        <v>745.76300000000003</v>
      </c>
      <c r="M249" s="474">
        <f t="shared" si="100"/>
        <v>2200.0008500000004</v>
      </c>
      <c r="N249" s="65"/>
      <c r="O249" s="65"/>
      <c r="P249" s="65">
        <v>4</v>
      </c>
      <c r="Q249" s="282">
        <v>12500</v>
      </c>
      <c r="R249" s="65"/>
      <c r="S249" s="469"/>
      <c r="T249" s="71">
        <v>768</v>
      </c>
      <c r="U249" s="1218">
        <v>32788</v>
      </c>
      <c r="V249" s="71">
        <v>11616</v>
      </c>
      <c r="W249" s="71">
        <v>24</v>
      </c>
      <c r="X249" s="110">
        <f t="shared" si="102"/>
        <v>74576.3</v>
      </c>
      <c r="Y249" s="83"/>
      <c r="Z249" s="172"/>
      <c r="AA249" s="371">
        <f t="shared" si="106"/>
        <v>176.00006800000006</v>
      </c>
      <c r="AB249" s="998"/>
      <c r="AC249" s="281">
        <f t="shared" si="99"/>
        <v>6.6115702479338845E-2</v>
      </c>
      <c r="AD249" s="191">
        <f t="shared" si="107"/>
        <v>258.88</v>
      </c>
      <c r="AE249" s="17"/>
      <c r="AF249" s="198"/>
      <c r="AG249" s="492" t="s">
        <v>2192</v>
      </c>
    </row>
    <row r="250" spans="1:33" x14ac:dyDescent="0.2">
      <c r="A250" s="183"/>
      <c r="B250" s="29"/>
      <c r="C250" s="1213"/>
      <c r="D250" s="300"/>
      <c r="E250" s="36" t="s">
        <v>2414</v>
      </c>
      <c r="F250" s="1337"/>
      <c r="G250" s="126">
        <v>20392</v>
      </c>
      <c r="H250" s="126">
        <v>40.5</v>
      </c>
      <c r="I250" s="166">
        <v>624</v>
      </c>
      <c r="J250" s="140"/>
      <c r="K250" s="153"/>
      <c r="L250" s="485">
        <v>912.8</v>
      </c>
      <c r="M250" s="474">
        <f t="shared" si="100"/>
        <v>2692.76</v>
      </c>
      <c r="N250" s="65"/>
      <c r="O250" s="65"/>
      <c r="P250" s="65">
        <v>4</v>
      </c>
      <c r="Q250" s="282">
        <v>17056</v>
      </c>
      <c r="R250" s="65"/>
      <c r="S250" s="469">
        <v>58</v>
      </c>
      <c r="T250" s="71">
        <v>768</v>
      </c>
      <c r="U250" s="1218">
        <v>45640</v>
      </c>
      <c r="V250" s="71">
        <v>13272</v>
      </c>
      <c r="W250" s="71">
        <v>24</v>
      </c>
      <c r="X250" s="110">
        <f t="shared" si="102"/>
        <v>91280</v>
      </c>
      <c r="Y250" s="83"/>
      <c r="Z250" s="172"/>
      <c r="AA250" s="371">
        <f t="shared" si="106"/>
        <v>157.87757973733582</v>
      </c>
      <c r="AB250" s="998"/>
      <c r="AC250" s="281">
        <f t="shared" si="99"/>
        <v>5.7866184448462928E-2</v>
      </c>
      <c r="AD250" s="191">
        <f t="shared" si="107"/>
        <v>301.02015999999998</v>
      </c>
      <c r="AE250" s="17"/>
      <c r="AF250" s="198"/>
      <c r="AG250" s="492"/>
    </row>
    <row r="251" spans="1:33" x14ac:dyDescent="0.2">
      <c r="A251" s="183"/>
      <c r="B251" s="29"/>
      <c r="C251" s="1213"/>
      <c r="D251" s="300"/>
      <c r="E251" s="36" t="s">
        <v>2415</v>
      </c>
      <c r="F251" s="1337"/>
      <c r="G251" s="126"/>
      <c r="H251" s="126">
        <v>45</v>
      </c>
      <c r="I251" s="166">
        <v>720</v>
      </c>
      <c r="J251" s="140"/>
      <c r="K251" s="153"/>
      <c r="L251" s="485">
        <v>745.76300000000003</v>
      </c>
      <c r="M251" s="474">
        <f t="shared" si="100"/>
        <v>2200.0008500000004</v>
      </c>
      <c r="N251" s="65"/>
      <c r="O251" s="65"/>
      <c r="P251" s="65">
        <v>4</v>
      </c>
      <c r="Q251" s="282">
        <v>12500</v>
      </c>
      <c r="R251" s="65"/>
      <c r="S251" s="469"/>
      <c r="T251" s="71">
        <v>1104</v>
      </c>
      <c r="U251" s="1218">
        <v>32788</v>
      </c>
      <c r="V251" s="71">
        <v>11616</v>
      </c>
      <c r="W251" s="71">
        <v>48</v>
      </c>
      <c r="X251" s="110">
        <f t="shared" si="102"/>
        <v>74576.3</v>
      </c>
      <c r="Y251" s="83"/>
      <c r="Z251" s="172"/>
      <c r="AA251" s="371">
        <f t="shared" si="106"/>
        <v>176.00006800000006</v>
      </c>
      <c r="AB251" s="998"/>
      <c r="AC251" s="281">
        <f t="shared" si="99"/>
        <v>9.5041322314049589E-2</v>
      </c>
      <c r="AD251" s="191">
        <f t="shared" si="107"/>
        <v>258.88</v>
      </c>
      <c r="AE251" s="17"/>
      <c r="AF251" s="198"/>
      <c r="AG251" s="492"/>
    </row>
    <row r="252" spans="1:33" ht="12.75" customHeight="1" x14ac:dyDescent="0.2">
      <c r="A252" s="186"/>
      <c r="B252" s="1469"/>
      <c r="C252" s="1470"/>
      <c r="D252" s="388"/>
      <c r="E252" s="1471" t="s">
        <v>2416</v>
      </c>
      <c r="F252" s="1472"/>
      <c r="G252" s="1473"/>
      <c r="H252" s="1473">
        <v>45</v>
      </c>
      <c r="I252" s="1474">
        <v>720</v>
      </c>
      <c r="J252" s="140"/>
      <c r="K252" s="153"/>
      <c r="L252" s="534">
        <v>912.8</v>
      </c>
      <c r="M252" s="474">
        <f t="shared" si="100"/>
        <v>2692.76</v>
      </c>
      <c r="N252" s="73"/>
      <c r="O252" s="73"/>
      <c r="P252" s="73">
        <v>4</v>
      </c>
      <c r="Q252" s="301">
        <v>17056</v>
      </c>
      <c r="R252" s="73"/>
      <c r="S252" s="496">
        <v>112</v>
      </c>
      <c r="T252" s="1478">
        <v>1104</v>
      </c>
      <c r="U252" s="1480">
        <v>45640</v>
      </c>
      <c r="V252" s="1478">
        <v>13272</v>
      </c>
      <c r="W252" s="1478">
        <v>48</v>
      </c>
      <c r="X252" s="112">
        <f t="shared" si="102"/>
        <v>91280</v>
      </c>
      <c r="Y252" s="1482"/>
      <c r="Z252" s="1483"/>
      <c r="AA252" s="376">
        <f t="shared" si="106"/>
        <v>157.87757973733582</v>
      </c>
      <c r="AB252" s="998"/>
      <c r="AC252" s="908">
        <f t="shared" si="99"/>
        <v>8.3182640144665462E-2</v>
      </c>
      <c r="AD252" s="478">
        <f t="shared" si="107"/>
        <v>301.02015999999998</v>
      </c>
      <c r="AE252" s="17"/>
      <c r="AF252" s="198"/>
      <c r="AG252" s="492"/>
    </row>
    <row r="253" spans="1:33" ht="12.75" customHeight="1" x14ac:dyDescent="0.2">
      <c r="A253" s="182"/>
      <c r="B253" s="17"/>
      <c r="C253" s="230"/>
      <c r="D253" s="213"/>
      <c r="E253" s="41" t="s">
        <v>2527</v>
      </c>
      <c r="F253" s="1517"/>
      <c r="G253" s="124"/>
      <c r="H253" s="124">
        <v>50</v>
      </c>
      <c r="I253" s="162">
        <v>720</v>
      </c>
      <c r="J253" s="138"/>
      <c r="K253" s="20"/>
      <c r="L253" s="485">
        <v>1100</v>
      </c>
      <c r="M253" s="1716">
        <f t="shared" si="100"/>
        <v>3245</v>
      </c>
      <c r="N253" s="64"/>
      <c r="O253" s="65"/>
      <c r="P253" s="65">
        <v>4</v>
      </c>
      <c r="Q253" s="282">
        <v>18750</v>
      </c>
      <c r="R253" s="65">
        <v>8</v>
      </c>
      <c r="S253" s="469">
        <v>64</v>
      </c>
      <c r="T253" s="65">
        <v>768</v>
      </c>
      <c r="U253" s="151">
        <v>55000</v>
      </c>
      <c r="V253" s="65">
        <v>15932</v>
      </c>
      <c r="W253" s="65">
        <v>16</v>
      </c>
      <c r="X253" s="110">
        <f t="shared" si="102"/>
        <v>110000</v>
      </c>
      <c r="Y253" s="81"/>
      <c r="Z253" s="141"/>
      <c r="AA253" s="371">
        <f t="shared" si="106"/>
        <v>173.06666666666666</v>
      </c>
      <c r="AB253" s="1717"/>
      <c r="AC253" s="81">
        <f t="shared" si="99"/>
        <v>4.8204870700477027E-2</v>
      </c>
      <c r="AD253" s="191">
        <f t="shared" si="107"/>
        <v>361.48736000000002</v>
      </c>
      <c r="AE253" s="17"/>
      <c r="AF253" s="198"/>
      <c r="AG253" s="492" t="s">
        <v>2543</v>
      </c>
    </row>
    <row r="254" spans="1:33" ht="12.75" customHeight="1" thickBot="1" x14ac:dyDescent="0.25">
      <c r="A254" s="184"/>
      <c r="B254" s="21"/>
      <c r="C254" s="232"/>
      <c r="D254" s="214"/>
      <c r="E254" s="33" t="s">
        <v>2528</v>
      </c>
      <c r="F254" s="1718"/>
      <c r="G254" s="125"/>
      <c r="H254" s="125">
        <v>50</v>
      </c>
      <c r="I254" s="163">
        <v>720</v>
      </c>
      <c r="J254" s="150"/>
      <c r="K254" s="24"/>
      <c r="L254" s="1338">
        <v>1305.5999999999999</v>
      </c>
      <c r="M254" s="1719">
        <f t="shared" si="100"/>
        <v>3851.52</v>
      </c>
      <c r="N254" s="67"/>
      <c r="O254" s="68"/>
      <c r="P254" s="68">
        <v>4</v>
      </c>
      <c r="Q254" s="295">
        <v>24600</v>
      </c>
      <c r="R254" s="68">
        <v>8</v>
      </c>
      <c r="S254" s="533">
        <v>64</v>
      </c>
      <c r="T254" s="68">
        <v>768</v>
      </c>
      <c r="U254" s="152">
        <v>65280</v>
      </c>
      <c r="V254" s="68">
        <v>18960</v>
      </c>
      <c r="W254" s="68">
        <v>16</v>
      </c>
      <c r="X254" s="111">
        <f t="shared" si="102"/>
        <v>130559.99999999999</v>
      </c>
      <c r="Y254" s="82"/>
      <c r="Z254" s="142"/>
      <c r="AA254" s="374">
        <f t="shared" si="106"/>
        <v>156.56585365853658</v>
      </c>
      <c r="AB254" s="1720"/>
      <c r="AC254" s="82">
        <f t="shared" si="99"/>
        <v>4.0506329113924051E-2</v>
      </c>
      <c r="AD254" s="192">
        <f t="shared" si="107"/>
        <v>430.08</v>
      </c>
      <c r="AE254" s="21"/>
      <c r="AF254" s="200"/>
      <c r="AG254" s="492" t="s">
        <v>2543</v>
      </c>
    </row>
    <row r="255" spans="1:33" x14ac:dyDescent="0.2">
      <c r="A255" s="186"/>
      <c r="B255" s="1469" t="s">
        <v>2329</v>
      </c>
      <c r="C255" s="1470"/>
      <c r="D255" s="388"/>
      <c r="E255" s="1471" t="s">
        <v>2330</v>
      </c>
      <c r="F255" s="1486" t="s">
        <v>1584</v>
      </c>
      <c r="G255" s="1473"/>
      <c r="H255" s="1473"/>
      <c r="I255" s="1474"/>
      <c r="J255" s="140"/>
      <c r="K255" s="153"/>
      <c r="L255" s="1475"/>
      <c r="M255" s="1476"/>
      <c r="N255" s="1477"/>
      <c r="O255" s="1478"/>
      <c r="P255" s="1478"/>
      <c r="Q255" s="1479"/>
      <c r="R255" s="1478"/>
      <c r="S255" s="1272"/>
      <c r="T255" s="1478"/>
      <c r="U255" s="1480" t="s">
        <v>2332</v>
      </c>
      <c r="V255" s="1478" t="s">
        <v>1430</v>
      </c>
      <c r="W255" s="1478" t="s">
        <v>2239</v>
      </c>
      <c r="X255" s="1481"/>
      <c r="Y255" s="1482"/>
      <c r="Z255" s="1483"/>
      <c r="AA255" s="1484"/>
      <c r="AB255" s="998"/>
      <c r="AC255" s="1482"/>
      <c r="AD255" s="1485"/>
      <c r="AE255" s="268"/>
      <c r="AF255" s="1508"/>
      <c r="AG255" s="492" t="s">
        <v>2333</v>
      </c>
    </row>
    <row r="256" spans="1:33" ht="13.5" thickBot="1" x14ac:dyDescent="0.25">
      <c r="A256" s="186"/>
      <c r="B256" s="1469"/>
      <c r="C256" s="1470"/>
      <c r="D256" s="388"/>
      <c r="E256" s="1471" t="s">
        <v>2331</v>
      </c>
      <c r="F256" s="1472"/>
      <c r="G256" s="1473"/>
      <c r="H256" s="1473">
        <v>10</v>
      </c>
      <c r="I256" s="1474">
        <v>71</v>
      </c>
      <c r="J256" s="140"/>
      <c r="K256" s="153"/>
      <c r="L256" s="1475"/>
      <c r="M256" s="1476">
        <v>19.600000000000001</v>
      </c>
      <c r="N256" s="1477"/>
      <c r="O256" s="1478"/>
      <c r="P256" s="1478"/>
      <c r="Q256" s="1479">
        <v>29</v>
      </c>
      <c r="R256" s="1478">
        <v>4</v>
      </c>
      <c r="S256" s="1272"/>
      <c r="T256" s="1478">
        <v>215</v>
      </c>
      <c r="U256" s="1480">
        <v>64</v>
      </c>
      <c r="V256" s="1478">
        <v>16</v>
      </c>
      <c r="W256" s="1478">
        <v>1</v>
      </c>
      <c r="X256" s="1481"/>
      <c r="Y256" s="1482"/>
      <c r="Z256" s="1483"/>
      <c r="AA256" s="1484"/>
      <c r="AB256" s="998"/>
      <c r="AC256" s="1482"/>
      <c r="AD256" s="1485"/>
      <c r="AE256" s="268">
        <v>4.9889279999999996</v>
      </c>
      <c r="AF256" s="1508"/>
      <c r="AG256" s="492" t="s">
        <v>2336</v>
      </c>
    </row>
    <row r="257" spans="1:34" x14ac:dyDescent="0.2">
      <c r="A257" s="185"/>
      <c r="B257" s="1489" t="s">
        <v>2329</v>
      </c>
      <c r="C257" s="1487"/>
      <c r="D257" s="1488"/>
      <c r="E257" s="1489" t="s">
        <v>2334</v>
      </c>
      <c r="F257" s="1490" t="s">
        <v>1584</v>
      </c>
      <c r="G257" s="1491"/>
      <c r="H257" s="1491"/>
      <c r="I257" s="1492"/>
      <c r="J257" s="277"/>
      <c r="K257" s="1172"/>
      <c r="L257" s="1493"/>
      <c r="M257" s="1494"/>
      <c r="N257" s="1495"/>
      <c r="O257" s="1445"/>
      <c r="P257" s="1449" t="s">
        <v>2335</v>
      </c>
      <c r="Q257" s="1496"/>
      <c r="R257" s="1445"/>
      <c r="S257" s="1449"/>
      <c r="T257" s="1445"/>
      <c r="U257" s="1497"/>
      <c r="V257" s="1445"/>
      <c r="W257" s="1445"/>
      <c r="X257" s="1498"/>
      <c r="Y257" s="1499"/>
      <c r="Z257" s="1500"/>
      <c r="AA257" s="1446"/>
      <c r="AB257" s="1429"/>
      <c r="AC257" s="1499"/>
      <c r="AD257" s="1447"/>
      <c r="AE257" s="1506"/>
      <c r="AF257" s="1507"/>
      <c r="AG257" s="492" t="s">
        <v>2333</v>
      </c>
    </row>
    <row r="258" spans="1:34" ht="13.5" thickBot="1" x14ac:dyDescent="0.25">
      <c r="A258" s="1363"/>
      <c r="B258" s="1364"/>
      <c r="C258" s="1365"/>
      <c r="D258" s="278"/>
      <c r="E258" s="1366" t="s">
        <v>2331</v>
      </c>
      <c r="F258" s="1367"/>
      <c r="G258" s="1368"/>
      <c r="H258" s="1368"/>
      <c r="I258" s="1369"/>
      <c r="J258" s="257"/>
      <c r="K258" s="258"/>
      <c r="L258" s="1501"/>
      <c r="M258" s="1502">
        <v>19.600000000000001</v>
      </c>
      <c r="N258" s="976"/>
      <c r="O258" s="1370"/>
      <c r="P258" s="1511">
        <v>1</v>
      </c>
      <c r="Q258" s="1503">
        <v>29</v>
      </c>
      <c r="R258" s="1370">
        <v>4</v>
      </c>
      <c r="S258" s="1504"/>
      <c r="T258" s="1370">
        <v>215</v>
      </c>
      <c r="U258" s="1371">
        <v>64</v>
      </c>
      <c r="V258" s="1370">
        <v>16</v>
      </c>
      <c r="W258" s="1370">
        <v>1</v>
      </c>
      <c r="X258" s="1505"/>
      <c r="Y258" s="1372"/>
      <c r="Z258" s="279"/>
      <c r="AA258" s="1193"/>
      <c r="AB258" s="1373"/>
      <c r="AC258" s="1372"/>
      <c r="AD258" s="981"/>
      <c r="AE258" s="1509"/>
      <c r="AF258" s="1510"/>
      <c r="AG258" s="492" t="s">
        <v>2336</v>
      </c>
    </row>
    <row r="259" spans="1:34" x14ac:dyDescent="0.2">
      <c r="A259" s="401"/>
      <c r="B259" s="241" t="s">
        <v>470</v>
      </c>
      <c r="C259" s="226"/>
      <c r="D259" s="212"/>
      <c r="E259" s="12" t="s">
        <v>471</v>
      </c>
      <c r="F259" s="466" t="s">
        <v>1015</v>
      </c>
      <c r="G259" s="14"/>
      <c r="H259" s="123"/>
      <c r="I259" s="161"/>
      <c r="J259" s="136"/>
      <c r="K259" s="16"/>
      <c r="L259" s="244" t="s">
        <v>477</v>
      </c>
      <c r="M259" s="60"/>
      <c r="N259" s="60"/>
      <c r="O259" s="61"/>
      <c r="P259" s="61" t="s">
        <v>481</v>
      </c>
      <c r="Q259" s="61"/>
      <c r="R259" s="61"/>
      <c r="S259" s="61"/>
      <c r="T259" s="61"/>
      <c r="U259" s="61"/>
      <c r="V259" s="62" t="s">
        <v>480</v>
      </c>
      <c r="W259" s="61"/>
      <c r="X259" s="109" t="s">
        <v>479</v>
      </c>
      <c r="Y259" s="80"/>
      <c r="Z259" s="164"/>
      <c r="AA259" s="373"/>
      <c r="AB259" s="92">
        <f>AVERAGE(AB260:AB265)</f>
        <v>4096</v>
      </c>
      <c r="AC259" s="106">
        <f>AVERAGE(AC260:AC265)</f>
        <v>9.3650856697328297</v>
      </c>
      <c r="AD259" s="109" t="s">
        <v>650</v>
      </c>
      <c r="AG259" s="516" t="s">
        <v>2322</v>
      </c>
    </row>
    <row r="260" spans="1:34" x14ac:dyDescent="0.2">
      <c r="A260" s="401"/>
      <c r="B260" s="17"/>
      <c r="C260" s="227"/>
      <c r="D260" s="213"/>
      <c r="E260" s="36" t="s">
        <v>472</v>
      </c>
      <c r="F260" s="37"/>
      <c r="G260" s="38"/>
      <c r="H260" s="129">
        <v>14</v>
      </c>
      <c r="I260" s="170">
        <v>68</v>
      </c>
      <c r="J260" s="137"/>
      <c r="K260" s="39"/>
      <c r="L260" s="247">
        <f t="shared" ref="L260:L265" si="108">2*M260</f>
        <v>53248</v>
      </c>
      <c r="M260" s="70">
        <v>26624</v>
      </c>
      <c r="N260" s="70"/>
      <c r="O260" s="71"/>
      <c r="P260" s="71">
        <v>1</v>
      </c>
      <c r="Q260" s="71"/>
      <c r="R260" s="71">
        <v>6</v>
      </c>
      <c r="S260" s="71"/>
      <c r="T260" s="71">
        <v>246</v>
      </c>
      <c r="U260" s="71"/>
      <c r="V260" s="77">
        <v>13</v>
      </c>
      <c r="W260" s="71"/>
      <c r="X260" s="117">
        <f t="shared" ref="X260:X265" si="109">M260/256</f>
        <v>104</v>
      </c>
      <c r="Y260" s="89"/>
      <c r="Z260" s="172"/>
      <c r="AA260" s="375"/>
      <c r="AB260" s="54">
        <f t="shared" ref="AB260:AB265" si="110">L260/V260</f>
        <v>4096</v>
      </c>
      <c r="AC260" s="99">
        <f t="shared" ref="AC260:AC265" si="111">T260/V260</f>
        <v>18.923076923076923</v>
      </c>
      <c r="AD260" s="191">
        <f t="shared" ref="AD260:AD265" si="112">32*1024*V260/1000000</f>
        <v>0.42598399999999997</v>
      </c>
      <c r="AG260" s="236"/>
    </row>
    <row r="261" spans="1:34" x14ac:dyDescent="0.2">
      <c r="A261" s="401"/>
      <c r="B261" s="17"/>
      <c r="C261" s="227"/>
      <c r="D261" s="213"/>
      <c r="E261" s="36" t="s">
        <v>478</v>
      </c>
      <c r="F261" s="37"/>
      <c r="G261" s="38"/>
      <c r="H261" s="129">
        <v>23</v>
      </c>
      <c r="I261" s="170">
        <v>298</v>
      </c>
      <c r="J261" s="137"/>
      <c r="K261" s="39"/>
      <c r="L261" s="247">
        <f t="shared" si="108"/>
        <v>110592</v>
      </c>
      <c r="M261" s="70">
        <v>55296</v>
      </c>
      <c r="N261" s="70"/>
      <c r="O261" s="71"/>
      <c r="P261" s="71">
        <v>1</v>
      </c>
      <c r="Q261" s="71"/>
      <c r="R261" s="71">
        <v>8</v>
      </c>
      <c r="S261" s="71"/>
      <c r="T261" s="71">
        <v>298</v>
      </c>
      <c r="U261" s="71"/>
      <c r="V261" s="77">
        <v>27</v>
      </c>
      <c r="W261" s="71"/>
      <c r="X261" s="117">
        <f t="shared" si="109"/>
        <v>216</v>
      </c>
      <c r="Y261" s="89"/>
      <c r="Z261" s="172"/>
      <c r="AA261" s="375"/>
      <c r="AB261" s="54">
        <f t="shared" si="110"/>
        <v>4096</v>
      </c>
      <c r="AC261" s="99">
        <f t="shared" si="111"/>
        <v>11.037037037037036</v>
      </c>
      <c r="AD261" s="191">
        <f t="shared" si="112"/>
        <v>0.88473599999999997</v>
      </c>
      <c r="AG261" s="236"/>
    </row>
    <row r="262" spans="1:34" x14ac:dyDescent="0.2">
      <c r="A262" s="401"/>
      <c r="B262" s="17"/>
      <c r="C262" s="227"/>
      <c r="D262" s="213"/>
      <c r="E262" s="36" t="s">
        <v>473</v>
      </c>
      <c r="F262" s="37"/>
      <c r="G262" s="38"/>
      <c r="H262" s="129">
        <v>23</v>
      </c>
      <c r="I262" s="170">
        <v>335</v>
      </c>
      <c r="J262" s="137"/>
      <c r="K262" s="39"/>
      <c r="L262" s="247">
        <f t="shared" si="108"/>
        <v>200704</v>
      </c>
      <c r="M262" s="70">
        <v>100352</v>
      </c>
      <c r="N262" s="70"/>
      <c r="O262" s="71"/>
      <c r="P262" s="71">
        <v>1</v>
      </c>
      <c r="Q262" s="71"/>
      <c r="R262" s="71">
        <v>8</v>
      </c>
      <c r="S262" s="71"/>
      <c r="T262" s="71">
        <v>450</v>
      </c>
      <c r="U262" s="71"/>
      <c r="V262" s="77">
        <v>49</v>
      </c>
      <c r="W262" s="71"/>
      <c r="X262" s="117">
        <f t="shared" si="109"/>
        <v>392</v>
      </c>
      <c r="Y262" s="89"/>
      <c r="Z262" s="172"/>
      <c r="AA262" s="375"/>
      <c r="AB262" s="54">
        <f t="shared" si="110"/>
        <v>4096</v>
      </c>
      <c r="AC262" s="99">
        <f t="shared" si="111"/>
        <v>9.183673469387756</v>
      </c>
      <c r="AD262" s="191">
        <f t="shared" si="112"/>
        <v>1.6056319999999999</v>
      </c>
      <c r="AG262" s="236"/>
    </row>
    <row r="263" spans="1:34" x14ac:dyDescent="0.2">
      <c r="A263" s="401"/>
      <c r="B263" s="17"/>
      <c r="C263" s="227"/>
      <c r="D263" s="213"/>
      <c r="E263" s="36" t="s">
        <v>474</v>
      </c>
      <c r="F263" s="37"/>
      <c r="G263" s="38"/>
      <c r="H263" s="129">
        <v>27</v>
      </c>
      <c r="I263" s="170">
        <v>452</v>
      </c>
      <c r="J263" s="137"/>
      <c r="K263" s="39"/>
      <c r="L263" s="245">
        <f t="shared" si="108"/>
        <v>339968</v>
      </c>
      <c r="M263" s="64">
        <v>169984</v>
      </c>
      <c r="N263" s="64"/>
      <c r="O263" s="65"/>
      <c r="P263" s="65">
        <v>1</v>
      </c>
      <c r="Q263" s="65"/>
      <c r="R263" s="65">
        <v>12</v>
      </c>
      <c r="S263" s="65"/>
      <c r="T263" s="65">
        <v>584</v>
      </c>
      <c r="U263" s="65"/>
      <c r="V263" s="65">
        <v>83</v>
      </c>
      <c r="W263" s="65"/>
      <c r="X263" s="110">
        <f t="shared" si="109"/>
        <v>664</v>
      </c>
      <c r="Y263" s="89"/>
      <c r="Z263" s="172"/>
      <c r="AA263" s="375"/>
      <c r="AB263" s="54">
        <f t="shared" si="110"/>
        <v>4096</v>
      </c>
      <c r="AC263" s="99">
        <f t="shared" si="111"/>
        <v>7.0361445783132526</v>
      </c>
      <c r="AD263" s="191">
        <f t="shared" si="112"/>
        <v>2.7197439999999999</v>
      </c>
      <c r="AG263" s="236"/>
    </row>
    <row r="264" spans="1:34" x14ac:dyDescent="0.2">
      <c r="A264" s="401"/>
      <c r="B264" s="17"/>
      <c r="C264" s="227"/>
      <c r="D264" s="213"/>
      <c r="E264" s="36" t="s">
        <v>475</v>
      </c>
      <c r="F264" s="37"/>
      <c r="G264" s="38"/>
      <c r="H264" s="129">
        <v>31</v>
      </c>
      <c r="I264" s="170">
        <v>621</v>
      </c>
      <c r="J264" s="137"/>
      <c r="K264" s="39"/>
      <c r="L264" s="245">
        <f t="shared" si="108"/>
        <v>552960</v>
      </c>
      <c r="M264" s="64">
        <v>276480</v>
      </c>
      <c r="N264" s="64"/>
      <c r="O264" s="65"/>
      <c r="P264" s="65">
        <v>1</v>
      </c>
      <c r="Q264" s="65"/>
      <c r="R264" s="65">
        <v>16</v>
      </c>
      <c r="S264" s="65"/>
      <c r="T264" s="65">
        <v>742</v>
      </c>
      <c r="U264" s="65"/>
      <c r="V264" s="75">
        <v>135</v>
      </c>
      <c r="W264" s="65"/>
      <c r="X264" s="115">
        <f t="shared" si="109"/>
        <v>1080</v>
      </c>
      <c r="Y264" s="89"/>
      <c r="Z264" s="172"/>
      <c r="AA264" s="375"/>
      <c r="AB264" s="54">
        <f t="shared" si="110"/>
        <v>4096</v>
      </c>
      <c r="AC264" s="99">
        <f t="shared" si="111"/>
        <v>5.496296296296296</v>
      </c>
      <c r="AD264" s="191">
        <f t="shared" si="112"/>
        <v>4.4236800000000001</v>
      </c>
      <c r="AG264" s="236"/>
    </row>
    <row r="265" spans="1:34" ht="13.5" thickBot="1" x14ac:dyDescent="0.25">
      <c r="A265" s="401"/>
      <c r="B265" s="21"/>
      <c r="C265" s="228"/>
      <c r="D265" s="214"/>
      <c r="E265" s="21" t="s">
        <v>476</v>
      </c>
      <c r="F265" s="22"/>
      <c r="G265" s="23"/>
      <c r="H265" s="125">
        <v>31</v>
      </c>
      <c r="I265" s="163">
        <v>629</v>
      </c>
      <c r="J265" s="150"/>
      <c r="K265" s="24"/>
      <c r="L265" s="246">
        <f t="shared" si="108"/>
        <v>716800</v>
      </c>
      <c r="M265" s="67">
        <v>358400</v>
      </c>
      <c r="N265" s="67"/>
      <c r="O265" s="68"/>
      <c r="P265" s="68">
        <v>1</v>
      </c>
      <c r="Q265" s="68"/>
      <c r="R265" s="68">
        <v>20</v>
      </c>
      <c r="S265" s="68"/>
      <c r="T265" s="68">
        <v>790</v>
      </c>
      <c r="U265" s="68"/>
      <c r="V265" s="76">
        <v>175</v>
      </c>
      <c r="W265" s="68"/>
      <c r="X265" s="116">
        <f t="shared" si="109"/>
        <v>1400</v>
      </c>
      <c r="Y265" s="82"/>
      <c r="Z265" s="142"/>
      <c r="AA265" s="374"/>
      <c r="AB265" s="55">
        <f t="shared" si="110"/>
        <v>4096</v>
      </c>
      <c r="AC265" s="100">
        <f t="shared" si="111"/>
        <v>4.5142857142857142</v>
      </c>
      <c r="AD265" s="191">
        <f t="shared" si="112"/>
        <v>5.7343999999999999</v>
      </c>
      <c r="AG265" s="236"/>
    </row>
    <row r="266" spans="1:34" x14ac:dyDescent="0.2">
      <c r="A266" s="401"/>
      <c r="B266" s="241" t="s">
        <v>470</v>
      </c>
      <c r="C266" s="226"/>
      <c r="D266" s="212"/>
      <c r="E266" s="12" t="s">
        <v>610</v>
      </c>
      <c r="F266" s="466" t="s">
        <v>1019</v>
      </c>
      <c r="G266" s="14"/>
      <c r="H266" s="123"/>
      <c r="I266" s="161"/>
      <c r="J266" s="136"/>
      <c r="K266" s="16"/>
      <c r="L266" s="254" t="s">
        <v>713</v>
      </c>
      <c r="M266" s="60" t="s">
        <v>712</v>
      </c>
      <c r="N266" s="60"/>
      <c r="O266" s="61"/>
      <c r="P266" s="61" t="s">
        <v>481</v>
      </c>
      <c r="Q266" s="61"/>
      <c r="R266" s="61"/>
      <c r="S266" s="399" t="s">
        <v>1363</v>
      </c>
      <c r="T266" s="61"/>
      <c r="U266" s="61"/>
      <c r="V266" s="62" t="s">
        <v>618</v>
      </c>
      <c r="W266" s="61"/>
      <c r="X266" s="109" t="s">
        <v>479</v>
      </c>
      <c r="Y266" s="80"/>
      <c r="Z266" s="164"/>
      <c r="AA266" s="373"/>
      <c r="AB266" s="92">
        <f>AVERAGE(AB267:AB275)</f>
        <v>4.1156923076923081E-3</v>
      </c>
      <c r="AC266" s="1461">
        <f>AVERAGE(AC267:AC275)</f>
        <v>2.3078547609797608</v>
      </c>
      <c r="AD266" s="109" t="s">
        <v>650</v>
      </c>
      <c r="AF266" s="237"/>
      <c r="AG266" s="516" t="s">
        <v>2322</v>
      </c>
    </row>
    <row r="267" spans="1:34" x14ac:dyDescent="0.2">
      <c r="A267" s="401"/>
      <c r="B267" s="17"/>
      <c r="C267" s="227"/>
      <c r="D267" s="213"/>
      <c r="E267" s="36" t="s">
        <v>611</v>
      </c>
      <c r="F267" s="42"/>
      <c r="G267" s="38"/>
      <c r="H267" s="129">
        <v>15</v>
      </c>
      <c r="I267" s="170">
        <v>159</v>
      </c>
      <c r="J267" s="137"/>
      <c r="K267" s="39"/>
      <c r="L267" s="255">
        <f>2*M267</f>
        <v>0.516096</v>
      </c>
      <c r="M267" s="234">
        <v>0.258048</v>
      </c>
      <c r="N267" s="234"/>
      <c r="O267" s="71"/>
      <c r="P267" s="71">
        <v>1</v>
      </c>
      <c r="Q267" s="71"/>
      <c r="R267" s="71">
        <v>8</v>
      </c>
      <c r="S267" s="71"/>
      <c r="T267" s="71">
        <v>464</v>
      </c>
      <c r="U267" s="71"/>
      <c r="V267" s="77">
        <v>112</v>
      </c>
      <c r="W267" s="71"/>
      <c r="X267" s="117">
        <f>1000000*M267/256</f>
        <v>1008</v>
      </c>
      <c r="Y267" s="89"/>
      <c r="Z267" s="172"/>
      <c r="AA267" s="375"/>
      <c r="AB267" s="54">
        <f t="shared" ref="AB267:AB275" si="113">L267/V267</f>
        <v>4.6080000000000001E-3</v>
      </c>
      <c r="AC267" s="281">
        <f t="shared" ref="AC267:AC275" si="114">T267/V267</f>
        <v>4.1428571428571432</v>
      </c>
      <c r="AD267" s="191">
        <f t="shared" ref="AD267:AD275" si="115">32*1024*V267/1000000</f>
        <v>3.6700159999999999</v>
      </c>
      <c r="AF267" s="237"/>
      <c r="AG267" s="238"/>
      <c r="AH267" s="233"/>
    </row>
    <row r="268" spans="1:34" x14ac:dyDescent="0.2">
      <c r="A268" s="401"/>
      <c r="B268" s="17"/>
      <c r="C268" s="227"/>
      <c r="D268" s="213"/>
      <c r="E268" s="36" t="s">
        <v>612</v>
      </c>
      <c r="F268" s="37"/>
      <c r="G268" s="38"/>
      <c r="H268" s="129">
        <v>23</v>
      </c>
      <c r="I268" s="170">
        <v>328</v>
      </c>
      <c r="J268" s="137"/>
      <c r="K268" s="39"/>
      <c r="L268" s="255">
        <f t="shared" ref="L268:L275" si="116">2*M268</f>
        <v>0.77414400000000005</v>
      </c>
      <c r="M268" s="234">
        <v>0.38707200000000003</v>
      </c>
      <c r="N268" s="234"/>
      <c r="O268" s="71"/>
      <c r="P268" s="71">
        <v>1</v>
      </c>
      <c r="Q268" s="71"/>
      <c r="R268" s="71">
        <v>8</v>
      </c>
      <c r="S268" s="71"/>
      <c r="T268" s="71">
        <v>576</v>
      </c>
      <c r="U268" s="71"/>
      <c r="V268" s="77">
        <v>168</v>
      </c>
      <c r="W268" s="71"/>
      <c r="X268" s="117">
        <f t="shared" ref="X268:X276" si="117">1000000*M268/256</f>
        <v>1512</v>
      </c>
      <c r="Y268" s="89"/>
      <c r="Z268" s="172"/>
      <c r="AA268" s="375"/>
      <c r="AB268" s="54">
        <f t="shared" si="113"/>
        <v>4.6080000000000001E-3</v>
      </c>
      <c r="AC268" s="281">
        <f t="shared" si="114"/>
        <v>3.4285714285714284</v>
      </c>
      <c r="AD268" s="191">
        <f t="shared" si="115"/>
        <v>5.5050239999999997</v>
      </c>
      <c r="AF268" s="237"/>
      <c r="AG268" s="238"/>
      <c r="AH268" s="233"/>
    </row>
    <row r="269" spans="1:34" x14ac:dyDescent="0.2">
      <c r="A269" s="182"/>
      <c r="B269" s="17"/>
      <c r="C269" s="227"/>
      <c r="D269" s="213"/>
      <c r="E269" s="36" t="s">
        <v>613</v>
      </c>
      <c r="F269" s="37"/>
      <c r="G269" s="38"/>
      <c r="H269" s="129">
        <v>27</v>
      </c>
      <c r="I269" s="170">
        <v>468</v>
      </c>
      <c r="J269" s="137"/>
      <c r="K269" s="39"/>
      <c r="L269" s="255">
        <f t="shared" si="116"/>
        <v>1.10592</v>
      </c>
      <c r="M269" s="234">
        <v>0.55296000000000001</v>
      </c>
      <c r="N269" s="234"/>
      <c r="O269" s="71"/>
      <c r="P269" s="71">
        <v>1</v>
      </c>
      <c r="Q269" s="71"/>
      <c r="R269" s="71">
        <v>16</v>
      </c>
      <c r="S269" s="71"/>
      <c r="T269" s="71">
        <v>688</v>
      </c>
      <c r="U269" s="71"/>
      <c r="V269" s="77">
        <v>240</v>
      </c>
      <c r="W269" s="71"/>
      <c r="X269" s="117">
        <f t="shared" si="117"/>
        <v>2160</v>
      </c>
      <c r="Y269" s="89"/>
      <c r="Z269" s="172"/>
      <c r="AA269" s="375"/>
      <c r="AB269" s="54">
        <f t="shared" si="113"/>
        <v>4.6080000000000001E-3</v>
      </c>
      <c r="AC269" s="281">
        <f t="shared" si="114"/>
        <v>2.8666666666666667</v>
      </c>
      <c r="AD269" s="191">
        <f t="shared" si="115"/>
        <v>7.8643200000000002</v>
      </c>
      <c r="AF269" s="237"/>
      <c r="AG269" s="238"/>
      <c r="AH269" s="233"/>
    </row>
    <row r="270" spans="1:34" x14ac:dyDescent="0.2">
      <c r="A270" s="182"/>
      <c r="B270" s="17"/>
      <c r="C270" s="227"/>
      <c r="D270" s="213"/>
      <c r="E270" s="36" t="s">
        <v>614</v>
      </c>
      <c r="F270" s="37"/>
      <c r="G270" s="38"/>
      <c r="H270" s="129">
        <v>27</v>
      </c>
      <c r="I270" s="170">
        <v>468</v>
      </c>
      <c r="J270" s="137"/>
      <c r="K270" s="39"/>
      <c r="L270" s="255">
        <f t="shared" si="116"/>
        <v>1.4745600000000001</v>
      </c>
      <c r="M270" s="234">
        <v>0.73728000000000005</v>
      </c>
      <c r="N270" s="234"/>
      <c r="O270" s="71"/>
      <c r="P270" s="71">
        <v>1</v>
      </c>
      <c r="Q270" s="71"/>
      <c r="R270" s="71">
        <v>16</v>
      </c>
      <c r="S270" s="71"/>
      <c r="T270" s="71">
        <v>792</v>
      </c>
      <c r="U270" s="71"/>
      <c r="V270" s="77">
        <v>320</v>
      </c>
      <c r="W270" s="71"/>
      <c r="X270" s="117">
        <f t="shared" si="117"/>
        <v>2880</v>
      </c>
      <c r="Y270" s="89"/>
      <c r="Z270" s="172"/>
      <c r="AA270" s="375"/>
      <c r="AB270" s="54">
        <f t="shared" si="113"/>
        <v>4.6080000000000001E-3</v>
      </c>
      <c r="AC270" s="281">
        <f t="shared" si="114"/>
        <v>2.4750000000000001</v>
      </c>
      <c r="AD270" s="191">
        <f t="shared" si="115"/>
        <v>10.485760000000001</v>
      </c>
      <c r="AF270" s="237"/>
      <c r="AG270" s="238"/>
      <c r="AH270" s="233"/>
    </row>
    <row r="271" spans="1:34" x14ac:dyDescent="0.2">
      <c r="A271" s="182"/>
      <c r="B271" s="17"/>
      <c r="C271" s="227"/>
      <c r="D271" s="213"/>
      <c r="E271" s="36" t="s">
        <v>1364</v>
      </c>
      <c r="F271" s="37"/>
      <c r="G271" s="38"/>
      <c r="H271" s="129">
        <v>29</v>
      </c>
      <c r="I271" s="170">
        <v>400</v>
      </c>
      <c r="J271" s="137"/>
      <c r="K271" s="39"/>
      <c r="L271" s="255">
        <f t="shared" si="116"/>
        <v>0.66355200000000003</v>
      </c>
      <c r="M271" s="234">
        <v>0.33177600000000002</v>
      </c>
      <c r="N271" s="234"/>
      <c r="O271" s="71"/>
      <c r="P271" s="71">
        <v>1</v>
      </c>
      <c r="Q271" s="71"/>
      <c r="R271" s="71">
        <v>16</v>
      </c>
      <c r="S271" s="71">
        <v>24</v>
      </c>
      <c r="T271" s="71">
        <v>556</v>
      </c>
      <c r="U271" s="71"/>
      <c r="V271" s="77">
        <v>288</v>
      </c>
      <c r="W271" s="71"/>
      <c r="X271" s="117">
        <f t="shared" si="117"/>
        <v>1296</v>
      </c>
      <c r="Y271" s="89"/>
      <c r="Z271" s="172"/>
      <c r="AA271" s="375"/>
      <c r="AB271" s="54">
        <f t="shared" si="113"/>
        <v>2.3040000000000001E-3</v>
      </c>
      <c r="AC271" s="281">
        <f t="shared" si="114"/>
        <v>1.9305555555555556</v>
      </c>
      <c r="AD271" s="191">
        <f t="shared" si="115"/>
        <v>9.4371840000000002</v>
      </c>
      <c r="AF271" s="237"/>
      <c r="AG271" s="238"/>
      <c r="AH271" s="233"/>
    </row>
    <row r="272" spans="1:34" x14ac:dyDescent="0.2">
      <c r="A272" s="182"/>
      <c r="B272" s="17"/>
      <c r="C272" s="227"/>
      <c r="D272" s="213"/>
      <c r="E272" s="36" t="s">
        <v>1365</v>
      </c>
      <c r="F272" s="37"/>
      <c r="G272" s="38"/>
      <c r="H272" s="129">
        <v>29</v>
      </c>
      <c r="I272" s="170">
        <v>400</v>
      </c>
      <c r="J272" s="137"/>
      <c r="K272" s="39"/>
      <c r="L272" s="255">
        <f t="shared" si="116"/>
        <v>1.161216</v>
      </c>
      <c r="M272" s="234">
        <v>0.58060800000000001</v>
      </c>
      <c r="N272" s="234"/>
      <c r="O272" s="71"/>
      <c r="P272" s="71">
        <v>1</v>
      </c>
      <c r="Q272" s="71"/>
      <c r="R272" s="71">
        <v>16</v>
      </c>
      <c r="S272" s="71">
        <v>32</v>
      </c>
      <c r="T272" s="71">
        <v>556</v>
      </c>
      <c r="U272" s="71"/>
      <c r="V272" s="77">
        <v>468</v>
      </c>
      <c r="W272" s="71"/>
      <c r="X272" s="117">
        <f t="shared" si="117"/>
        <v>2268</v>
      </c>
      <c r="Y272" s="89"/>
      <c r="Z272" s="172"/>
      <c r="AA272" s="375"/>
      <c r="AB272" s="54">
        <f t="shared" si="113"/>
        <v>2.4812307692307694E-3</v>
      </c>
      <c r="AC272" s="281">
        <f t="shared" si="114"/>
        <v>1.188034188034188</v>
      </c>
      <c r="AD272" s="191">
        <f t="shared" si="115"/>
        <v>15.335424</v>
      </c>
      <c r="AF272" s="237"/>
      <c r="AG272" s="238"/>
      <c r="AH272" s="233"/>
    </row>
    <row r="273" spans="1:34" s="751" customFormat="1" x14ac:dyDescent="0.2">
      <c r="A273" s="769"/>
      <c r="B273" s="573"/>
      <c r="C273" s="574"/>
      <c r="D273" s="554"/>
      <c r="E273" s="552" t="s">
        <v>615</v>
      </c>
      <c r="F273" s="825"/>
      <c r="G273" s="577"/>
      <c r="H273" s="826">
        <v>27</v>
      </c>
      <c r="I273" s="827">
        <v>540</v>
      </c>
      <c r="J273" s="580"/>
      <c r="K273" s="581"/>
      <c r="L273" s="828">
        <f t="shared" si="116"/>
        <v>2.02752</v>
      </c>
      <c r="M273" s="829">
        <v>1.01376</v>
      </c>
      <c r="N273" s="829"/>
      <c r="O273" s="586"/>
      <c r="P273" s="586">
        <v>1</v>
      </c>
      <c r="Q273" s="586"/>
      <c r="R273" s="586">
        <v>16</v>
      </c>
      <c r="S273" s="586"/>
      <c r="T273" s="586">
        <v>808</v>
      </c>
      <c r="U273" s="586"/>
      <c r="V273" s="587">
        <v>440</v>
      </c>
      <c r="W273" s="586"/>
      <c r="X273" s="588">
        <f t="shared" si="117"/>
        <v>3960</v>
      </c>
      <c r="Y273" s="589"/>
      <c r="Z273" s="830"/>
      <c r="AA273" s="831"/>
      <c r="AB273" s="602">
        <f t="shared" si="113"/>
        <v>4.6080000000000001E-3</v>
      </c>
      <c r="AC273" s="1453">
        <f t="shared" si="114"/>
        <v>1.8363636363636364</v>
      </c>
      <c r="AD273" s="572">
        <f t="shared" si="115"/>
        <v>14.417920000000001</v>
      </c>
      <c r="AF273" s="788"/>
      <c r="AG273" s="832"/>
      <c r="AH273" s="833"/>
    </row>
    <row r="274" spans="1:34" s="751" customFormat="1" x14ac:dyDescent="0.2">
      <c r="A274" s="769"/>
      <c r="B274" s="573"/>
      <c r="C274" s="574"/>
      <c r="D274" s="554"/>
      <c r="E274" s="552" t="s">
        <v>616</v>
      </c>
      <c r="F274" s="825"/>
      <c r="G274" s="577"/>
      <c r="H274" s="826">
        <v>27</v>
      </c>
      <c r="I274" s="827">
        <v>540</v>
      </c>
      <c r="J274" s="580"/>
      <c r="K274" s="581"/>
      <c r="L274" s="828">
        <f t="shared" si="116"/>
        <v>3.8338559999999999</v>
      </c>
      <c r="M274" s="834">
        <v>1.916928</v>
      </c>
      <c r="N274" s="834"/>
      <c r="O274" s="564"/>
      <c r="P274" s="564">
        <v>1</v>
      </c>
      <c r="Q274" s="564"/>
      <c r="R274" s="564">
        <v>16</v>
      </c>
      <c r="S274" s="564"/>
      <c r="T274" s="564">
        <v>1288</v>
      </c>
      <c r="U274" s="564"/>
      <c r="V274" s="564">
        <v>832</v>
      </c>
      <c r="W274" s="564"/>
      <c r="X274" s="588">
        <f t="shared" si="117"/>
        <v>7488</v>
      </c>
      <c r="Y274" s="589"/>
      <c r="Z274" s="830"/>
      <c r="AA274" s="831"/>
      <c r="AB274" s="602">
        <f t="shared" si="113"/>
        <v>4.6080000000000001E-3</v>
      </c>
      <c r="AC274" s="1453">
        <f t="shared" si="114"/>
        <v>1.5480769230769231</v>
      </c>
      <c r="AD274" s="572">
        <f t="shared" si="115"/>
        <v>27.262975999999998</v>
      </c>
      <c r="AF274" s="788"/>
      <c r="AG274" s="832"/>
      <c r="AH274" s="833"/>
    </row>
    <row r="275" spans="1:34" s="751" customFormat="1" ht="13.5" thickBot="1" x14ac:dyDescent="0.25">
      <c r="A275" s="873"/>
      <c r="B275" s="555"/>
      <c r="C275" s="819"/>
      <c r="D275" s="757"/>
      <c r="E275" s="555" t="s">
        <v>617</v>
      </c>
      <c r="F275" s="556"/>
      <c r="G275" s="557"/>
      <c r="H275" s="558">
        <v>31</v>
      </c>
      <c r="I275" s="559">
        <v>626</v>
      </c>
      <c r="J275" s="560"/>
      <c r="K275" s="561"/>
      <c r="L275" s="836">
        <f t="shared" si="116"/>
        <v>3.8338559999999999</v>
      </c>
      <c r="M275" s="837">
        <v>1.916928</v>
      </c>
      <c r="N275" s="837"/>
      <c r="O275" s="565"/>
      <c r="P275" s="565">
        <v>1</v>
      </c>
      <c r="Q275" s="565"/>
      <c r="R275" s="565">
        <v>16</v>
      </c>
      <c r="S275" s="565">
        <v>56</v>
      </c>
      <c r="T275" s="565">
        <v>1127</v>
      </c>
      <c r="U275" s="565"/>
      <c r="V275" s="838">
        <v>832</v>
      </c>
      <c r="W275" s="565"/>
      <c r="X275" s="763">
        <f t="shared" si="117"/>
        <v>7488</v>
      </c>
      <c r="Y275" s="816"/>
      <c r="Z275" s="765"/>
      <c r="AA275" s="569"/>
      <c r="AB275" s="766">
        <f t="shared" si="113"/>
        <v>4.6080000000000001E-3</v>
      </c>
      <c r="AC275" s="1462">
        <f t="shared" si="114"/>
        <v>1.3545673076923077</v>
      </c>
      <c r="AD275" s="839">
        <f t="shared" si="115"/>
        <v>27.262975999999998</v>
      </c>
      <c r="AF275" s="788"/>
      <c r="AG275" s="832"/>
      <c r="AH275" s="833"/>
    </row>
    <row r="276" spans="1:34" ht="13.5" thickBot="1" x14ac:dyDescent="0.25">
      <c r="A276" s="401"/>
      <c r="B276" s="21"/>
      <c r="C276" s="228"/>
      <c r="D276" s="214"/>
      <c r="E276" s="33" t="s">
        <v>1685</v>
      </c>
      <c r="F276" s="22"/>
      <c r="G276" s="23"/>
      <c r="H276" s="125">
        <v>35</v>
      </c>
      <c r="I276" s="163">
        <v>600</v>
      </c>
      <c r="J276" s="150"/>
      <c r="K276" s="24"/>
      <c r="L276" s="256">
        <v>1.8247679999999999</v>
      </c>
      <c r="M276" s="155">
        <f>0.5*L276</f>
        <v>0.91238399999999997</v>
      </c>
      <c r="N276" s="67"/>
      <c r="O276" s="68"/>
      <c r="P276" s="68">
        <v>1</v>
      </c>
      <c r="Q276" s="533">
        <f>1000000*L276/(18*18)</f>
        <v>5632</v>
      </c>
      <c r="R276" s="68">
        <v>28</v>
      </c>
      <c r="S276" s="68"/>
      <c r="T276" s="68">
        <v>770</v>
      </c>
      <c r="U276" s="68"/>
      <c r="V276" s="76">
        <v>6144</v>
      </c>
      <c r="W276" s="68"/>
      <c r="X276" s="116">
        <f t="shared" si="117"/>
        <v>3564</v>
      </c>
      <c r="Y276" s="217"/>
      <c r="Z276" s="142"/>
      <c r="AA276" s="1193">
        <f>M276*1000000/Q276</f>
        <v>162</v>
      </c>
      <c r="AB276" s="55">
        <f>L276/V276</f>
        <v>2.9700000000000001E-4</v>
      </c>
      <c r="AC276" s="294">
        <f>T276/V276</f>
        <v>0.12532552083333334</v>
      </c>
      <c r="AD276" s="192">
        <f>9*1024*V276/1000000</f>
        <v>56.623103999999998</v>
      </c>
      <c r="AG276" s="516" t="s">
        <v>2322</v>
      </c>
    </row>
    <row r="277" spans="1:34" x14ac:dyDescent="0.2">
      <c r="A277" s="401"/>
      <c r="B277" s="241" t="s">
        <v>470</v>
      </c>
      <c r="C277" s="226"/>
      <c r="D277" s="212"/>
      <c r="E277" s="12" t="s">
        <v>2305</v>
      </c>
      <c r="F277" s="466" t="s">
        <v>1630</v>
      </c>
      <c r="G277" s="14"/>
      <c r="H277" s="123"/>
      <c r="I277" s="161"/>
      <c r="J277" s="136"/>
      <c r="K277" s="16"/>
      <c r="L277" s="254" t="s">
        <v>713</v>
      </c>
      <c r="M277" s="60" t="s">
        <v>712</v>
      </c>
      <c r="N277" s="60"/>
      <c r="O277" s="61"/>
      <c r="P277" s="491" t="s">
        <v>2316</v>
      </c>
      <c r="Q277" s="61"/>
      <c r="R277" s="61"/>
      <c r="S277" s="491" t="s">
        <v>2317</v>
      </c>
      <c r="T277" s="61"/>
      <c r="U277" s="399" t="s">
        <v>2312</v>
      </c>
      <c r="V277" s="468" t="s">
        <v>2311</v>
      </c>
      <c r="W277" s="61"/>
      <c r="X277" s="109" t="s">
        <v>479</v>
      </c>
      <c r="Y277" s="80"/>
      <c r="Z277" s="164"/>
      <c r="AA277" s="373"/>
      <c r="AB277" s="397" t="e">
        <f>AVERAGE(AB278:AB282)</f>
        <v>#DIV/0!</v>
      </c>
      <c r="AC277" s="907">
        <f>AVERAGE(AC278:AC282)</f>
        <v>0.1221463341280736</v>
      </c>
      <c r="AD277" s="109" t="s">
        <v>650</v>
      </c>
      <c r="AG277" s="492" t="s">
        <v>2315</v>
      </c>
    </row>
    <row r="278" spans="1:34" x14ac:dyDescent="0.2">
      <c r="A278" s="401"/>
      <c r="B278" s="17"/>
      <c r="C278" s="227"/>
      <c r="D278" s="213"/>
      <c r="E278" s="36" t="s">
        <v>2307</v>
      </c>
      <c r="F278" s="1451" t="s">
        <v>2318</v>
      </c>
      <c r="G278" s="38"/>
      <c r="H278" s="129">
        <v>27</v>
      </c>
      <c r="I278" s="170"/>
      <c r="J278" s="137"/>
      <c r="K278" s="39"/>
      <c r="L278" s="247">
        <v>700</v>
      </c>
      <c r="M278" s="70">
        <f>0.5*L278</f>
        <v>350</v>
      </c>
      <c r="N278" s="70"/>
      <c r="O278" s="71"/>
      <c r="P278" s="71">
        <v>4</v>
      </c>
      <c r="Q278" s="71"/>
      <c r="R278" s="71"/>
      <c r="S278" s="71">
        <v>16</v>
      </c>
      <c r="T278" s="71">
        <v>416</v>
      </c>
      <c r="U278" s="71">
        <v>12488</v>
      </c>
      <c r="V278" s="77">
        <v>1752</v>
      </c>
      <c r="W278" s="71"/>
      <c r="X278" s="117"/>
      <c r="Y278" s="89"/>
      <c r="Z278" s="172"/>
      <c r="AA278" s="375"/>
      <c r="AB278" s="1450"/>
      <c r="AC278" s="216">
        <f>T278/V278</f>
        <v>0.23744292237442921</v>
      </c>
      <c r="AD278" s="191">
        <f>(128*U278+40*256*V278)/1000000</f>
        <v>19.538944000000001</v>
      </c>
      <c r="AG278" t="s">
        <v>2314</v>
      </c>
    </row>
    <row r="279" spans="1:34" x14ac:dyDescent="0.2">
      <c r="A279" s="401"/>
      <c r="B279" s="17"/>
      <c r="C279" s="227"/>
      <c r="D279" s="213"/>
      <c r="E279" s="36" t="s">
        <v>2306</v>
      </c>
      <c r="F279" s="1451" t="s">
        <v>2319</v>
      </c>
      <c r="G279" s="38"/>
      <c r="H279" s="129">
        <v>29</v>
      </c>
      <c r="I279" s="170"/>
      <c r="J279" s="137"/>
      <c r="K279" s="39"/>
      <c r="L279" s="247">
        <v>1470</v>
      </c>
      <c r="M279" s="70">
        <f>0.5*L279</f>
        <v>735</v>
      </c>
      <c r="N279" s="70"/>
      <c r="O279" s="71"/>
      <c r="P279" s="71">
        <v>4</v>
      </c>
      <c r="Q279" s="71"/>
      <c r="R279" s="71"/>
      <c r="S279" s="71">
        <v>24</v>
      </c>
      <c r="T279" s="71">
        <v>560</v>
      </c>
      <c r="U279" s="71">
        <v>26180</v>
      </c>
      <c r="V279" s="77">
        <v>3684</v>
      </c>
      <c r="W279" s="71"/>
      <c r="X279" s="117"/>
      <c r="Y279" s="89"/>
      <c r="Z279" s="172"/>
      <c r="AA279" s="375"/>
      <c r="AB279" s="1450"/>
      <c r="AC279" s="216">
        <f>T279/V279</f>
        <v>0.15200868621064062</v>
      </c>
      <c r="AD279" s="191">
        <f>(128*U279+40*256*V279)/1000000</f>
        <v>41.075200000000002</v>
      </c>
      <c r="AG279" s="516" t="s">
        <v>2313</v>
      </c>
    </row>
    <row r="280" spans="1:34" x14ac:dyDescent="0.2">
      <c r="A280" s="401"/>
      <c r="B280" s="17"/>
      <c r="C280" s="227"/>
      <c r="D280" s="213"/>
      <c r="E280" s="36" t="s">
        <v>2308</v>
      </c>
      <c r="F280" s="1451" t="s">
        <v>2320</v>
      </c>
      <c r="G280" s="38"/>
      <c r="H280" s="129">
        <v>31</v>
      </c>
      <c r="I280" s="170"/>
      <c r="J280" s="137"/>
      <c r="K280" s="39"/>
      <c r="L280" s="245">
        <v>2380</v>
      </c>
      <c r="M280" s="70">
        <f>0.5*L280</f>
        <v>1190</v>
      </c>
      <c r="N280" s="64"/>
      <c r="O280" s="65"/>
      <c r="P280" s="65">
        <v>4</v>
      </c>
      <c r="Q280" s="65"/>
      <c r="R280" s="65"/>
      <c r="S280" s="65">
        <v>32</v>
      </c>
      <c r="T280" s="65">
        <v>682</v>
      </c>
      <c r="U280" s="65">
        <v>42560</v>
      </c>
      <c r="V280" s="65">
        <v>6004</v>
      </c>
      <c r="W280" s="65"/>
      <c r="X280" s="110"/>
      <c r="Y280" s="89"/>
      <c r="Z280" s="172"/>
      <c r="AA280" s="375"/>
      <c r="AB280" s="1450"/>
      <c r="AC280" s="216">
        <f>T280/V280</f>
        <v>0.11359093937375084</v>
      </c>
      <c r="AD280" s="191">
        <f>(128*U280+40*256*V280)/1000000</f>
        <v>66.928640000000001</v>
      </c>
      <c r="AG280" s="236"/>
    </row>
    <row r="281" spans="1:34" x14ac:dyDescent="0.2">
      <c r="A281" s="401"/>
      <c r="B281" s="17"/>
      <c r="C281" s="227"/>
      <c r="D281" s="213"/>
      <c r="E281" s="36" t="s">
        <v>2309</v>
      </c>
      <c r="F281" s="1451" t="s">
        <v>1322</v>
      </c>
      <c r="G281" s="38"/>
      <c r="H281" s="129">
        <v>40</v>
      </c>
      <c r="I281" s="170"/>
      <c r="J281" s="137"/>
      <c r="K281" s="39"/>
      <c r="L281" s="245">
        <v>4650</v>
      </c>
      <c r="M281" s="70">
        <f>0.5*L281</f>
        <v>2325</v>
      </c>
      <c r="N281" s="64"/>
      <c r="O281" s="65"/>
      <c r="P281" s="65">
        <v>4</v>
      </c>
      <c r="Q281" s="65"/>
      <c r="R281" s="65"/>
      <c r="S281" s="65">
        <v>64</v>
      </c>
      <c r="T281" s="65">
        <v>682</v>
      </c>
      <c r="U281" s="65">
        <v>82992</v>
      </c>
      <c r="V281" s="75">
        <v>11780</v>
      </c>
      <c r="W281" s="65"/>
      <c r="X281" s="115"/>
      <c r="Y281" s="89"/>
      <c r="Z281" s="172"/>
      <c r="AA281" s="375"/>
      <c r="AB281" s="1450"/>
      <c r="AC281" s="216">
        <f>T281/V281</f>
        <v>5.7894736842105263E-2</v>
      </c>
      <c r="AD281" s="191">
        <f>(128*U281+40*256*V281)/1000000</f>
        <v>131.25017600000001</v>
      </c>
      <c r="AG281" s="236"/>
    </row>
    <row r="282" spans="1:34" ht="13.5" thickBot="1" x14ac:dyDescent="0.25">
      <c r="A282" s="401"/>
      <c r="B282" s="21"/>
      <c r="C282" s="228"/>
      <c r="D282" s="214"/>
      <c r="E282" s="33" t="s">
        <v>2310</v>
      </c>
      <c r="F282" s="1275" t="s">
        <v>2321</v>
      </c>
      <c r="G282" s="23"/>
      <c r="H282" s="125">
        <v>40</v>
      </c>
      <c r="I282" s="163"/>
      <c r="J282" s="150"/>
      <c r="K282" s="24"/>
      <c r="L282" s="246">
        <v>8830</v>
      </c>
      <c r="M282" s="70">
        <f>0.5*L282</f>
        <v>4415</v>
      </c>
      <c r="N282" s="67"/>
      <c r="O282" s="68"/>
      <c r="P282" s="68">
        <v>4</v>
      </c>
      <c r="Q282" s="68"/>
      <c r="R282" s="68"/>
      <c r="S282" s="68">
        <v>80</v>
      </c>
      <c r="T282" s="68">
        <v>1114</v>
      </c>
      <c r="U282" s="295">
        <v>157640</v>
      </c>
      <c r="V282" s="76">
        <v>22372</v>
      </c>
      <c r="W282" s="68"/>
      <c r="X282" s="116"/>
      <c r="Y282" s="82"/>
      <c r="Z282" s="142"/>
      <c r="AA282" s="374"/>
      <c r="AB282" s="472"/>
      <c r="AC282" s="217">
        <f>T282/V282</f>
        <v>4.9794385839442158E-2</v>
      </c>
      <c r="AD282" s="191">
        <f>(128*U282+40*256*V282)/1000000</f>
        <v>249.2672</v>
      </c>
      <c r="AG282" s="236"/>
    </row>
    <row r="283" spans="1:34" x14ac:dyDescent="0.2">
      <c r="A283" s="183"/>
      <c r="B283" s="448" t="s">
        <v>2202</v>
      </c>
      <c r="C283" s="1213"/>
      <c r="D283" s="300"/>
      <c r="E283" s="448" t="s">
        <v>2201</v>
      </c>
      <c r="F283" s="1379" t="s">
        <v>1017</v>
      </c>
      <c r="G283" s="14" t="s">
        <v>22</v>
      </c>
      <c r="H283" s="1376" t="s">
        <v>512</v>
      </c>
      <c r="I283" s="165"/>
      <c r="J283" s="140"/>
      <c r="K283" s="153"/>
      <c r="L283" s="1380" t="s">
        <v>1316</v>
      </c>
      <c r="M283" s="1374"/>
      <c r="N283" s="380">
        <f>AVERAGE(N284:N293)</f>
        <v>2876.6830614416176</v>
      </c>
      <c r="O283" s="61"/>
      <c r="P283" s="61"/>
      <c r="Q283" s="382" t="s">
        <v>2213</v>
      </c>
      <c r="R283" s="61"/>
      <c r="S283" s="399" t="s">
        <v>2215</v>
      </c>
      <c r="T283" s="61"/>
      <c r="U283" s="1375"/>
      <c r="V283" s="399" t="s">
        <v>2214</v>
      </c>
      <c r="W283" s="61" t="s">
        <v>634</v>
      </c>
      <c r="X283" s="113"/>
      <c r="Y283" s="83"/>
      <c r="Z283" s="172"/>
      <c r="AA283" s="370">
        <f>AVERAGE(AA284:AA293)</f>
        <v>452.85529780564264</v>
      </c>
      <c r="AB283" s="998"/>
      <c r="AC283" s="102"/>
      <c r="AD283" s="109" t="s">
        <v>650</v>
      </c>
      <c r="AE283" s="237"/>
      <c r="AF283" s="1183"/>
      <c r="AG283" s="492" t="s">
        <v>2217</v>
      </c>
    </row>
    <row r="284" spans="1:34" x14ac:dyDescent="0.2">
      <c r="A284" s="182" t="s">
        <v>929</v>
      </c>
      <c r="B284" s="36" t="s">
        <v>2218</v>
      </c>
      <c r="C284" s="1213"/>
      <c r="D284" s="470" t="s">
        <v>708</v>
      </c>
      <c r="E284" s="36" t="s">
        <v>2203</v>
      </c>
      <c r="F284" s="1337">
        <v>49</v>
      </c>
      <c r="G284" s="1377">
        <v>2.36</v>
      </c>
      <c r="H284" s="1546">
        <v>3</v>
      </c>
      <c r="I284" s="166">
        <v>33</v>
      </c>
      <c r="J284" s="140"/>
      <c r="K284" s="153"/>
      <c r="L284" s="521">
        <v>3.8879999999999999</v>
      </c>
      <c r="M284" s="521">
        <v>3.8879999999999999</v>
      </c>
      <c r="N284" s="65">
        <f t="shared" ref="N284:N293" si="118">IF(AND(G284&lt;&gt;"",M284&lt;&gt;""),1000*M284/G284,"")</f>
        <v>1647.4576271186443</v>
      </c>
      <c r="O284" s="65"/>
      <c r="P284" s="65"/>
      <c r="Q284" s="282">
        <v>4</v>
      </c>
      <c r="R284" s="65">
        <v>1</v>
      </c>
      <c r="S284" s="469"/>
      <c r="T284" s="65">
        <v>55</v>
      </c>
      <c r="U284" s="151"/>
      <c r="V284" s="65">
        <v>15</v>
      </c>
      <c r="W284" s="65"/>
      <c r="X284" s="110"/>
      <c r="Y284" s="83"/>
      <c r="Z284" s="172"/>
      <c r="AA284" s="371">
        <f t="shared" ref="AA284:AA293" si="119">1000*M284/Q284</f>
        <v>972</v>
      </c>
      <c r="AB284" s="998"/>
      <c r="AC284" s="102"/>
      <c r="AD284" s="1378">
        <f>(V284*5120)/1000000</f>
        <v>7.6799999999999993E-2</v>
      </c>
      <c r="AE284" s="237"/>
      <c r="AF284" s="1183"/>
      <c r="AG284" s="492" t="s">
        <v>2216</v>
      </c>
    </row>
    <row r="285" spans="1:34" x14ac:dyDescent="0.2">
      <c r="A285" s="182" t="s">
        <v>929</v>
      </c>
      <c r="B285" s="36" t="s">
        <v>2218</v>
      </c>
      <c r="C285" s="1213"/>
      <c r="D285" s="470" t="s">
        <v>708</v>
      </c>
      <c r="E285" s="36" t="s">
        <v>2204</v>
      </c>
      <c r="F285" s="1337">
        <v>49</v>
      </c>
      <c r="G285" s="1377">
        <v>2.74</v>
      </c>
      <c r="H285" s="1546">
        <v>3</v>
      </c>
      <c r="I285" s="166">
        <v>33</v>
      </c>
      <c r="J285" s="140"/>
      <c r="K285" s="153"/>
      <c r="L285" s="521">
        <v>7.3840000000000003</v>
      </c>
      <c r="M285" s="521">
        <v>7.3840000000000003</v>
      </c>
      <c r="N285" s="65">
        <f t="shared" si="118"/>
        <v>2694.8905109489051</v>
      </c>
      <c r="O285" s="65"/>
      <c r="P285" s="65"/>
      <c r="Q285" s="282">
        <v>8</v>
      </c>
      <c r="R285" s="65">
        <v>5</v>
      </c>
      <c r="S285" s="469"/>
      <c r="T285" s="65">
        <v>97</v>
      </c>
      <c r="U285" s="151"/>
      <c r="V285" s="65">
        <v>24</v>
      </c>
      <c r="W285" s="65"/>
      <c r="X285" s="110"/>
      <c r="Y285" s="83"/>
      <c r="Z285" s="172"/>
      <c r="AA285" s="371">
        <f t="shared" si="119"/>
        <v>923</v>
      </c>
      <c r="AB285" s="998"/>
      <c r="AC285" s="102"/>
      <c r="AD285" s="1378">
        <f t="shared" ref="AD285:AD293" si="120">(V285*5120)/1000000</f>
        <v>0.12288</v>
      </c>
      <c r="AE285" s="237"/>
      <c r="AF285" s="1183"/>
      <c r="AG285" s="492" t="s">
        <v>2244</v>
      </c>
    </row>
    <row r="286" spans="1:34" x14ac:dyDescent="0.2">
      <c r="A286" s="182" t="s">
        <v>929</v>
      </c>
      <c r="B286" s="36" t="s">
        <v>2218</v>
      </c>
      <c r="C286" s="1213"/>
      <c r="D286" s="470" t="s">
        <v>708</v>
      </c>
      <c r="E286" s="36" t="s">
        <v>2205</v>
      </c>
      <c r="F286" s="1337">
        <v>169</v>
      </c>
      <c r="G286" s="1377">
        <v>5.79</v>
      </c>
      <c r="H286" s="1546">
        <v>9</v>
      </c>
      <c r="I286" s="166">
        <v>73</v>
      </c>
      <c r="J286" s="140"/>
      <c r="K286" s="153"/>
      <c r="L286" s="521">
        <v>12.827999999999999</v>
      </c>
      <c r="M286" s="521">
        <v>12.827999999999999</v>
      </c>
      <c r="N286" s="65">
        <f t="shared" si="118"/>
        <v>2215.5440414507771</v>
      </c>
      <c r="O286" s="65"/>
      <c r="P286" s="65"/>
      <c r="Q286" s="282">
        <v>24</v>
      </c>
      <c r="R286" s="65">
        <v>5</v>
      </c>
      <c r="S286" s="469">
        <v>2</v>
      </c>
      <c r="T286" s="65">
        <v>195</v>
      </c>
      <c r="U286" s="151"/>
      <c r="V286" s="65">
        <v>142</v>
      </c>
      <c r="W286" s="65"/>
      <c r="X286" s="110"/>
      <c r="Y286" s="83"/>
      <c r="Z286" s="172"/>
      <c r="AA286" s="371">
        <f t="shared" si="119"/>
        <v>534.5</v>
      </c>
      <c r="AB286" s="998"/>
      <c r="AC286" s="102"/>
      <c r="AD286" s="1378">
        <f t="shared" si="120"/>
        <v>0.72704000000000002</v>
      </c>
      <c r="AE286" s="237"/>
      <c r="AF286" s="1183"/>
      <c r="AG286" s="492"/>
    </row>
    <row r="287" spans="1:34" x14ac:dyDescent="0.2">
      <c r="A287" s="182" t="s">
        <v>929</v>
      </c>
      <c r="B287" s="36" t="s">
        <v>2218</v>
      </c>
      <c r="C287" s="1213"/>
      <c r="D287" s="470" t="s">
        <v>708</v>
      </c>
      <c r="E287" s="36" t="s">
        <v>2206</v>
      </c>
      <c r="F287" s="1337">
        <v>169</v>
      </c>
      <c r="G287" s="1377">
        <v>8.44</v>
      </c>
      <c r="H287" s="1546">
        <v>9</v>
      </c>
      <c r="I287" s="166">
        <v>73</v>
      </c>
      <c r="J287" s="140"/>
      <c r="K287" s="153"/>
      <c r="L287" s="521">
        <v>19.728000000000002</v>
      </c>
      <c r="M287" s="521">
        <v>19.728000000000002</v>
      </c>
      <c r="N287" s="65">
        <f t="shared" si="118"/>
        <v>2337.4407582938388</v>
      </c>
      <c r="O287" s="65"/>
      <c r="P287" s="65"/>
      <c r="Q287" s="282">
        <v>36</v>
      </c>
      <c r="R287" s="65">
        <v>7</v>
      </c>
      <c r="S287" s="469">
        <v>2</v>
      </c>
      <c r="T287" s="65">
        <v>222</v>
      </c>
      <c r="U287" s="151"/>
      <c r="V287" s="65">
        <v>204</v>
      </c>
      <c r="W287" s="65"/>
      <c r="X287" s="110"/>
      <c r="Y287" s="83"/>
      <c r="Z287" s="172"/>
      <c r="AA287" s="371">
        <f t="shared" si="119"/>
        <v>548</v>
      </c>
      <c r="AB287" s="998"/>
      <c r="AC287" s="102"/>
      <c r="AD287" s="1378">
        <f t="shared" si="120"/>
        <v>1.0444800000000001</v>
      </c>
      <c r="AE287" s="237"/>
      <c r="AF287" s="1183"/>
      <c r="AG287" s="492"/>
    </row>
    <row r="288" spans="1:34" x14ac:dyDescent="0.2">
      <c r="A288" s="183"/>
      <c r="B288" s="29"/>
      <c r="C288" s="1213"/>
      <c r="D288" s="470" t="s">
        <v>708</v>
      </c>
      <c r="E288" s="36" t="s">
        <v>2207</v>
      </c>
      <c r="F288" s="1337">
        <v>324</v>
      </c>
      <c r="G288" s="1377"/>
      <c r="H288" s="126">
        <v>12</v>
      </c>
      <c r="I288" s="110">
        <v>222</v>
      </c>
      <c r="J288" s="140"/>
      <c r="K288" s="153"/>
      <c r="L288" s="521">
        <v>31.68</v>
      </c>
      <c r="M288" s="521">
        <v>31.68</v>
      </c>
      <c r="N288" s="65" t="str">
        <f t="shared" si="118"/>
        <v/>
      </c>
      <c r="O288" s="65"/>
      <c r="P288" s="65"/>
      <c r="Q288" s="282">
        <v>120</v>
      </c>
      <c r="R288" s="65">
        <v>7</v>
      </c>
      <c r="S288" s="469">
        <v>2</v>
      </c>
      <c r="T288" s="65">
        <v>222</v>
      </c>
      <c r="U288" s="151"/>
      <c r="V288" s="65">
        <v>288</v>
      </c>
      <c r="W288" s="65"/>
      <c r="X288" s="110"/>
      <c r="Y288" s="83"/>
      <c r="Z288" s="172"/>
      <c r="AA288" s="371">
        <f t="shared" si="119"/>
        <v>264</v>
      </c>
      <c r="AB288" s="998"/>
      <c r="AC288" s="102"/>
      <c r="AD288" s="1378">
        <f t="shared" si="120"/>
        <v>1.4745600000000001</v>
      </c>
      <c r="AE288" s="237"/>
      <c r="AF288" s="1183"/>
      <c r="AG288" s="492"/>
    </row>
    <row r="289" spans="1:33" x14ac:dyDescent="0.2">
      <c r="A289" s="182" t="s">
        <v>929</v>
      </c>
      <c r="B289" s="29"/>
      <c r="C289" s="1213"/>
      <c r="D289" s="470" t="s">
        <v>708</v>
      </c>
      <c r="E289" s="36" t="s">
        <v>2208</v>
      </c>
      <c r="F289" s="1337">
        <v>324</v>
      </c>
      <c r="G289" s="1377">
        <v>18.45</v>
      </c>
      <c r="H289" s="126">
        <v>12</v>
      </c>
      <c r="I289" s="110">
        <v>278</v>
      </c>
      <c r="J289" s="140"/>
      <c r="K289" s="153"/>
      <c r="L289" s="521">
        <v>54.195</v>
      </c>
      <c r="M289" s="521">
        <v>54.195</v>
      </c>
      <c r="N289" s="65">
        <f t="shared" si="118"/>
        <v>2937.3983739837399</v>
      </c>
      <c r="O289" s="65"/>
      <c r="P289" s="65"/>
      <c r="Q289" s="282">
        <v>150</v>
      </c>
      <c r="R289" s="65">
        <v>8</v>
      </c>
      <c r="S289" s="469">
        <v>3</v>
      </c>
      <c r="T289" s="65">
        <v>278</v>
      </c>
      <c r="U289" s="151"/>
      <c r="V289" s="65">
        <v>540</v>
      </c>
      <c r="W289" s="65"/>
      <c r="X289" s="110"/>
      <c r="Y289" s="83"/>
      <c r="Z289" s="172"/>
      <c r="AA289" s="371">
        <f t="shared" si="119"/>
        <v>361.3</v>
      </c>
      <c r="AB289" s="998"/>
      <c r="AC289" s="102"/>
      <c r="AD289" s="1378">
        <f t="shared" si="120"/>
        <v>2.7648000000000001</v>
      </c>
      <c r="AE289" s="237"/>
      <c r="AF289" s="1183"/>
      <c r="AG289" s="492"/>
    </row>
    <row r="290" spans="1:33" x14ac:dyDescent="0.2">
      <c r="A290" s="182" t="s">
        <v>929</v>
      </c>
      <c r="B290" s="29"/>
      <c r="C290" s="1213"/>
      <c r="D290" s="470" t="s">
        <v>708</v>
      </c>
      <c r="E290" s="36" t="s">
        <v>2209</v>
      </c>
      <c r="F290" s="1337">
        <v>324</v>
      </c>
      <c r="G290" s="1377">
        <v>21.65</v>
      </c>
      <c r="H290" s="126">
        <v>12</v>
      </c>
      <c r="I290" s="110">
        <v>278</v>
      </c>
      <c r="J290" s="140"/>
      <c r="K290" s="153"/>
      <c r="L290" s="521">
        <v>84.096000000000004</v>
      </c>
      <c r="M290" s="521">
        <v>84.096000000000004</v>
      </c>
      <c r="N290" s="65">
        <f t="shared" si="118"/>
        <v>3884.3418013856817</v>
      </c>
      <c r="O290" s="65"/>
      <c r="P290" s="65"/>
      <c r="Q290" s="282">
        <v>240</v>
      </c>
      <c r="R290" s="65">
        <v>8</v>
      </c>
      <c r="S290" s="469">
        <v>3</v>
      </c>
      <c r="T290" s="65">
        <v>278</v>
      </c>
      <c r="U290" s="151"/>
      <c r="V290" s="65">
        <v>792</v>
      </c>
      <c r="W290" s="65"/>
      <c r="X290" s="110"/>
      <c r="Y290" s="83"/>
      <c r="Z290" s="172"/>
      <c r="AA290" s="371">
        <f t="shared" si="119"/>
        <v>350.4</v>
      </c>
      <c r="AB290" s="998"/>
      <c r="AC290" s="102"/>
      <c r="AD290" s="1378">
        <f t="shared" si="120"/>
        <v>4.05504</v>
      </c>
      <c r="AE290" s="237"/>
      <c r="AF290" s="1183"/>
      <c r="AG290" s="492"/>
    </row>
    <row r="291" spans="1:33" x14ac:dyDescent="0.2">
      <c r="A291" s="182" t="s">
        <v>929</v>
      </c>
      <c r="B291" s="29"/>
      <c r="C291" s="1213"/>
      <c r="D291" s="470" t="s">
        <v>708</v>
      </c>
      <c r="E291" s="36" t="s">
        <v>2210</v>
      </c>
      <c r="F291" s="1337">
        <v>324</v>
      </c>
      <c r="G291" s="1377">
        <v>25.37</v>
      </c>
      <c r="H291" s="126">
        <v>12</v>
      </c>
      <c r="I291" s="110">
        <v>256</v>
      </c>
      <c r="J291" s="140"/>
      <c r="K291" s="153"/>
      <c r="L291" s="521">
        <v>112.128</v>
      </c>
      <c r="M291" s="521">
        <v>112.128</v>
      </c>
      <c r="N291" s="65">
        <f t="shared" si="118"/>
        <v>4419.7083169097359</v>
      </c>
      <c r="O291" s="65"/>
      <c r="P291" s="65"/>
      <c r="Q291" s="282">
        <v>320</v>
      </c>
      <c r="R291" s="65">
        <v>8</v>
      </c>
      <c r="S291" s="469">
        <v>3</v>
      </c>
      <c r="T291" s="65">
        <v>278</v>
      </c>
      <c r="U291" s="151"/>
      <c r="V291" s="65">
        <v>1056</v>
      </c>
      <c r="W291" s="65"/>
      <c r="X291" s="110"/>
      <c r="Y291" s="83"/>
      <c r="Z291" s="172"/>
      <c r="AA291" s="371">
        <f t="shared" si="119"/>
        <v>350.4</v>
      </c>
      <c r="AB291" s="998"/>
      <c r="AC291" s="102"/>
      <c r="AD291" s="1378">
        <f t="shared" si="120"/>
        <v>5.40672</v>
      </c>
      <c r="AE291" s="237"/>
      <c r="AF291" s="1183"/>
      <c r="AG291" s="492"/>
    </row>
    <row r="292" spans="1:33" s="751" customFormat="1" x14ac:dyDescent="0.2">
      <c r="A292" s="1400"/>
      <c r="B292" s="552"/>
      <c r="C292" s="553"/>
      <c r="D292" s="575" t="s">
        <v>708</v>
      </c>
      <c r="E292" s="552" t="s">
        <v>2211</v>
      </c>
      <c r="F292" s="1401">
        <v>676</v>
      </c>
      <c r="G292" s="1243"/>
      <c r="H292" s="880">
        <v>21</v>
      </c>
      <c r="I292" s="566">
        <v>415</v>
      </c>
      <c r="J292" s="1071"/>
      <c r="K292" s="1072"/>
      <c r="L292" s="1410">
        <v>168</v>
      </c>
      <c r="M292" s="1410">
        <v>168</v>
      </c>
      <c r="N292" s="564" t="str">
        <f t="shared" si="118"/>
        <v/>
      </c>
      <c r="O292" s="564"/>
      <c r="P292" s="564"/>
      <c r="Q292" s="822">
        <v>1450</v>
      </c>
      <c r="R292" s="564">
        <v>10</v>
      </c>
      <c r="S292" s="564">
        <v>3</v>
      </c>
      <c r="T292" s="564">
        <v>415</v>
      </c>
      <c r="U292" s="1014"/>
      <c r="V292" s="564">
        <v>2414</v>
      </c>
      <c r="W292" s="564">
        <v>4</v>
      </c>
      <c r="X292" s="566"/>
      <c r="Y292" s="884"/>
      <c r="Z292" s="830"/>
      <c r="AA292" s="601">
        <f t="shared" si="119"/>
        <v>115.86206896551724</v>
      </c>
      <c r="AB292" s="1406"/>
      <c r="AC292" s="1407"/>
      <c r="AD292" s="1408">
        <f t="shared" si="120"/>
        <v>12.359680000000001</v>
      </c>
      <c r="AE292" s="788"/>
      <c r="AF292" s="1409"/>
      <c r="AG292" s="756"/>
    </row>
    <row r="293" spans="1:33" s="751" customFormat="1" ht="13.5" thickBot="1" x14ac:dyDescent="0.25">
      <c r="A293" s="1400"/>
      <c r="B293" s="1411"/>
      <c r="C293" s="1412"/>
      <c r="D293" s="1413" t="s">
        <v>708</v>
      </c>
      <c r="E293" s="1411" t="s">
        <v>2212</v>
      </c>
      <c r="F293" s="1414">
        <v>676</v>
      </c>
      <c r="G293" s="1402"/>
      <c r="H293" s="1403">
        <v>21</v>
      </c>
      <c r="I293" s="815">
        <v>415</v>
      </c>
      <c r="J293" s="1071"/>
      <c r="K293" s="1072"/>
      <c r="L293" s="1404">
        <v>192</v>
      </c>
      <c r="M293" s="1404">
        <v>192</v>
      </c>
      <c r="N293" s="564" t="str">
        <f t="shared" si="118"/>
        <v/>
      </c>
      <c r="O293" s="565"/>
      <c r="P293" s="565"/>
      <c r="Q293" s="1405">
        <v>1760</v>
      </c>
      <c r="R293" s="565">
        <v>10</v>
      </c>
      <c r="S293" s="565">
        <v>3</v>
      </c>
      <c r="T293" s="565">
        <v>415</v>
      </c>
      <c r="U293" s="563"/>
      <c r="V293" s="565">
        <v>2760</v>
      </c>
      <c r="W293" s="565">
        <v>4</v>
      </c>
      <c r="X293" s="815"/>
      <c r="Y293" s="1424"/>
      <c r="Z293" s="1425"/>
      <c r="AA293" s="569">
        <f t="shared" si="119"/>
        <v>109.09090909090909</v>
      </c>
      <c r="AB293" s="1426"/>
      <c r="AC293" s="1427"/>
      <c r="AD293" s="1428">
        <f t="shared" si="120"/>
        <v>14.1312</v>
      </c>
      <c r="AE293" s="788"/>
      <c r="AF293" s="1409"/>
      <c r="AG293" s="756"/>
    </row>
    <row r="294" spans="1:33" x14ac:dyDescent="0.2">
      <c r="A294" s="183"/>
      <c r="B294" s="48" t="s">
        <v>2202</v>
      </c>
      <c r="C294" s="1077"/>
      <c r="D294" s="212"/>
      <c r="E294" s="48" t="s">
        <v>2293</v>
      </c>
      <c r="F294" s="1415" t="s">
        <v>1630</v>
      </c>
      <c r="G294" s="14" t="s">
        <v>22</v>
      </c>
      <c r="H294" s="1376"/>
      <c r="I294" s="165"/>
      <c r="J294" s="140"/>
      <c r="K294" s="153"/>
      <c r="L294" s="1380" t="s">
        <v>1316</v>
      </c>
      <c r="M294" s="1374"/>
      <c r="N294" s="380" t="e">
        <f>AVERAGE(N295:N304)</f>
        <v>#DIV/0!</v>
      </c>
      <c r="O294" s="61"/>
      <c r="P294" s="61"/>
      <c r="Q294" s="382" t="s">
        <v>2213</v>
      </c>
      <c r="R294" s="61"/>
      <c r="S294" s="399"/>
      <c r="T294" s="61"/>
      <c r="U294" s="1375"/>
      <c r="V294" s="399" t="s">
        <v>2297</v>
      </c>
      <c r="W294" s="61" t="s">
        <v>634</v>
      </c>
      <c r="X294" s="113"/>
      <c r="Y294" s="171"/>
      <c r="Z294" s="164"/>
      <c r="AA294" s="370">
        <f>AVERAGE(AA295:AA304)</f>
        <v>290.46938074147425</v>
      </c>
      <c r="AB294" s="1429"/>
      <c r="AC294" s="105"/>
      <c r="AD294" s="109" t="s">
        <v>650</v>
      </c>
      <c r="AE294" s="237"/>
      <c r="AF294" s="1183"/>
      <c r="AG294" s="492" t="s">
        <v>2348</v>
      </c>
    </row>
    <row r="295" spans="1:33" x14ac:dyDescent="0.2">
      <c r="A295" s="182"/>
      <c r="B295" s="36"/>
      <c r="C295" s="1213"/>
      <c r="D295" s="470"/>
      <c r="E295" s="36" t="s">
        <v>2349</v>
      </c>
      <c r="F295" s="1337"/>
      <c r="G295" s="1051"/>
      <c r="H295" s="1521"/>
      <c r="I295" s="1522"/>
      <c r="J295" s="1215"/>
      <c r="K295" s="1418"/>
      <c r="L295" s="1419">
        <v>36.176000000000002</v>
      </c>
      <c r="M295" s="1419">
        <f>L295</f>
        <v>36.176000000000002</v>
      </c>
      <c r="N295" s="469" t="str">
        <f t="shared" ref="N295:N304" si="121">IF(AND(G295&lt;&gt;"",M295&lt;&gt;""),1000*M295/G295,"")</f>
        <v/>
      </c>
      <c r="O295" s="469"/>
      <c r="P295" s="469"/>
      <c r="Q295" s="290">
        <v>93</v>
      </c>
      <c r="R295" s="469">
        <v>4</v>
      </c>
      <c r="S295" s="469"/>
      <c r="T295" s="469"/>
      <c r="U295" s="1332"/>
      <c r="V295" s="469">
        <v>150</v>
      </c>
      <c r="W295" s="469"/>
      <c r="X295" s="1131"/>
      <c r="Y295" s="1060"/>
      <c r="Z295" s="1061"/>
      <c r="AA295" s="1046">
        <f t="shared" ref="AA295:AA304" si="122">1000*M295/Q295</f>
        <v>388.98924731182797</v>
      </c>
      <c r="AB295" s="1420"/>
      <c r="AC295" s="1421"/>
      <c r="AD295" s="1523">
        <f>(V295*10240)/1000000</f>
        <v>1.536</v>
      </c>
      <c r="AE295" s="237"/>
      <c r="AF295" s="1183"/>
      <c r="AG295" s="492" t="s">
        <v>2298</v>
      </c>
    </row>
    <row r="296" spans="1:33" x14ac:dyDescent="0.2">
      <c r="A296" s="182"/>
      <c r="B296" s="36"/>
      <c r="C296" s="1213"/>
      <c r="D296" s="470"/>
      <c r="E296" s="36" t="s">
        <v>2294</v>
      </c>
      <c r="F296" s="1337"/>
      <c r="G296" s="1377"/>
      <c r="H296" s="1423"/>
      <c r="I296" s="166"/>
      <c r="J296" s="140"/>
      <c r="K296" s="153"/>
      <c r="L296" s="521">
        <v>62.015999999999998</v>
      </c>
      <c r="M296" s="521">
        <f t="shared" ref="M296:M304" si="123">L296</f>
        <v>62.015999999999998</v>
      </c>
      <c r="N296" s="65" t="str">
        <f t="shared" si="121"/>
        <v/>
      </c>
      <c r="O296" s="65"/>
      <c r="P296" s="65"/>
      <c r="Q296" s="282">
        <v>160</v>
      </c>
      <c r="R296" s="65">
        <v>4</v>
      </c>
      <c r="S296" s="469"/>
      <c r="T296" s="65"/>
      <c r="U296" s="151"/>
      <c r="V296" s="65">
        <v>250</v>
      </c>
      <c r="W296" s="65"/>
      <c r="X296" s="110"/>
      <c r="Y296" s="83"/>
      <c r="Z296" s="172"/>
      <c r="AA296" s="371">
        <f t="shared" si="122"/>
        <v>387.6</v>
      </c>
      <c r="AB296" s="998"/>
      <c r="AC296" s="102"/>
      <c r="AD296" s="1523">
        <f t="shared" ref="AD296:AD304" si="124">(V296*10240)/1000000</f>
        <v>2.56</v>
      </c>
      <c r="AE296" s="237"/>
      <c r="AF296" s="1183"/>
      <c r="AG296" s="492" t="s">
        <v>2244</v>
      </c>
    </row>
    <row r="297" spans="1:33" x14ac:dyDescent="0.2">
      <c r="A297" s="183"/>
      <c r="B297" s="36"/>
      <c r="C297" s="1213"/>
      <c r="D297" s="470"/>
      <c r="E297" s="36" t="s">
        <v>2295</v>
      </c>
      <c r="F297" s="1337"/>
      <c r="G297" s="1377"/>
      <c r="H297" s="1423"/>
      <c r="I297" s="166"/>
      <c r="J297" s="140"/>
      <c r="K297" s="153"/>
      <c r="L297" s="521">
        <v>89.811999999999998</v>
      </c>
      <c r="M297" s="521">
        <f t="shared" si="123"/>
        <v>89.811999999999998</v>
      </c>
      <c r="N297" s="65" t="str">
        <f t="shared" si="121"/>
        <v/>
      </c>
      <c r="O297" s="65"/>
      <c r="P297" s="65"/>
      <c r="Q297" s="282">
        <v>359</v>
      </c>
      <c r="R297" s="65">
        <v>10</v>
      </c>
      <c r="S297" s="469">
        <v>8</v>
      </c>
      <c r="T297" s="65"/>
      <c r="U297" s="151"/>
      <c r="V297" s="65">
        <v>720</v>
      </c>
      <c r="W297" s="65">
        <v>4</v>
      </c>
      <c r="X297" s="110"/>
      <c r="Y297" s="83"/>
      <c r="Z297" s="172"/>
      <c r="AA297" s="371">
        <f t="shared" si="122"/>
        <v>250.17270194986074</v>
      </c>
      <c r="AB297" s="998"/>
      <c r="AC297" s="102"/>
      <c r="AD297" s="1523">
        <f t="shared" si="124"/>
        <v>7.3727999999999998</v>
      </c>
      <c r="AE297" s="237"/>
      <c r="AF297" s="1183"/>
      <c r="AG297" s="492"/>
    </row>
    <row r="298" spans="1:33" x14ac:dyDescent="0.2">
      <c r="A298" s="183"/>
      <c r="B298" s="36"/>
      <c r="C298" s="1213"/>
      <c r="D298" s="470"/>
      <c r="E298" s="36" t="s">
        <v>2350</v>
      </c>
      <c r="F298" s="1337"/>
      <c r="G298" s="1377"/>
      <c r="H298" s="126"/>
      <c r="I298" s="166"/>
      <c r="J298" s="140"/>
      <c r="K298" s="153"/>
      <c r="L298" s="521">
        <v>119.75</v>
      </c>
      <c r="M298" s="521">
        <f t="shared" si="123"/>
        <v>119.75</v>
      </c>
      <c r="N298" s="65" t="str">
        <f t="shared" si="121"/>
        <v/>
      </c>
      <c r="O298" s="65"/>
      <c r="P298" s="65"/>
      <c r="Q298" s="282">
        <v>478</v>
      </c>
      <c r="R298" s="65">
        <v>10</v>
      </c>
      <c r="S298" s="469">
        <v>8</v>
      </c>
      <c r="T298" s="65"/>
      <c r="U298" s="151"/>
      <c r="V298" s="58">
        <v>960</v>
      </c>
      <c r="W298" s="65">
        <v>4</v>
      </c>
      <c r="X298" s="110"/>
      <c r="Y298" s="83"/>
      <c r="Z298" s="172"/>
      <c r="AA298" s="371">
        <f t="shared" si="122"/>
        <v>250.52301255230125</v>
      </c>
      <c r="AB298" s="998"/>
      <c r="AC298" s="102"/>
      <c r="AD298" s="1523">
        <f t="shared" si="124"/>
        <v>9.8303999999999991</v>
      </c>
      <c r="AE298" s="237"/>
      <c r="AF298" s="1183"/>
      <c r="AG298" s="492"/>
    </row>
    <row r="299" spans="1:33" x14ac:dyDescent="0.2">
      <c r="A299" s="183"/>
      <c r="B299" s="29"/>
      <c r="C299" s="1213"/>
      <c r="D299" s="470"/>
      <c r="E299" s="36" t="s">
        <v>2351</v>
      </c>
      <c r="F299" s="1337"/>
      <c r="G299" s="1377"/>
      <c r="H299" s="126"/>
      <c r="I299" s="110"/>
      <c r="J299" s="140"/>
      <c r="K299" s="153"/>
      <c r="L299" s="521">
        <v>169.64599999999999</v>
      </c>
      <c r="M299" s="521">
        <f t="shared" si="123"/>
        <v>169.64599999999999</v>
      </c>
      <c r="N299" s="65" t="str">
        <f t="shared" si="121"/>
        <v/>
      </c>
      <c r="O299" s="65"/>
      <c r="P299" s="65"/>
      <c r="Q299" s="282">
        <v>616</v>
      </c>
      <c r="R299" s="65">
        <v>10</v>
      </c>
      <c r="S299" s="469">
        <v>8</v>
      </c>
      <c r="T299" s="65"/>
      <c r="U299" s="151"/>
      <c r="V299" s="65">
        <v>1250</v>
      </c>
      <c r="W299" s="65">
        <v>4</v>
      </c>
      <c r="X299" s="110"/>
      <c r="Y299" s="83"/>
      <c r="Z299" s="172"/>
      <c r="AA299" s="371">
        <f t="shared" si="122"/>
        <v>275.39935064935065</v>
      </c>
      <c r="AB299" s="998"/>
      <c r="AC299" s="102"/>
      <c r="AD299" s="1523">
        <f t="shared" si="124"/>
        <v>12.8</v>
      </c>
      <c r="AE299" s="237"/>
      <c r="AF299" s="1183"/>
      <c r="AG299" s="492"/>
    </row>
    <row r="300" spans="1:33" x14ac:dyDescent="0.2">
      <c r="A300" s="183"/>
      <c r="B300" s="29"/>
      <c r="C300" s="1213"/>
      <c r="D300" s="470"/>
      <c r="E300" s="36" t="s">
        <v>2352</v>
      </c>
      <c r="F300" s="1337"/>
      <c r="G300" s="1377"/>
      <c r="H300" s="126"/>
      <c r="I300" s="110"/>
      <c r="J300" s="140"/>
      <c r="K300" s="153"/>
      <c r="L300" s="521">
        <v>236.88800000000001</v>
      </c>
      <c r="M300" s="521">
        <f t="shared" si="123"/>
        <v>236.88800000000001</v>
      </c>
      <c r="N300" s="65" t="str">
        <f t="shared" si="121"/>
        <v/>
      </c>
      <c r="O300" s="65"/>
      <c r="P300" s="65"/>
      <c r="Q300" s="282">
        <v>946</v>
      </c>
      <c r="R300" s="65">
        <v>10</v>
      </c>
      <c r="S300" s="469">
        <v>12</v>
      </c>
      <c r="T300" s="65"/>
      <c r="U300" s="151"/>
      <c r="V300" s="65">
        <v>1920</v>
      </c>
      <c r="W300" s="65">
        <v>8</v>
      </c>
      <c r="X300" s="110"/>
      <c r="Y300" s="83"/>
      <c r="Z300" s="172"/>
      <c r="AA300" s="371">
        <f t="shared" si="122"/>
        <v>250.41014799154334</v>
      </c>
      <c r="AB300" s="998"/>
      <c r="AC300" s="102"/>
      <c r="AD300" s="1523">
        <f t="shared" si="124"/>
        <v>19.660799999999998</v>
      </c>
      <c r="AE300" s="237"/>
      <c r="AF300" s="1183"/>
      <c r="AG300" s="492"/>
    </row>
    <row r="301" spans="1:33" x14ac:dyDescent="0.2">
      <c r="A301" s="183"/>
      <c r="B301" s="29"/>
      <c r="C301" s="1213"/>
      <c r="D301" s="470"/>
      <c r="E301" s="36" t="s">
        <v>2296</v>
      </c>
      <c r="F301" s="1337"/>
      <c r="G301" s="1377"/>
      <c r="H301" s="126"/>
      <c r="I301" s="110"/>
      <c r="J301" s="140"/>
      <c r="K301" s="153"/>
      <c r="L301" s="521">
        <v>370.137</v>
      </c>
      <c r="M301" s="521">
        <f t="shared" si="123"/>
        <v>370.137</v>
      </c>
      <c r="N301" s="65" t="str">
        <f t="shared" si="121"/>
        <v/>
      </c>
      <c r="O301" s="65"/>
      <c r="P301" s="65"/>
      <c r="Q301" s="282">
        <v>1344</v>
      </c>
      <c r="R301" s="65">
        <v>10</v>
      </c>
      <c r="S301" s="469">
        <v>12</v>
      </c>
      <c r="T301" s="65"/>
      <c r="U301" s="151"/>
      <c r="V301" s="65">
        <v>2700</v>
      </c>
      <c r="W301" s="65">
        <v>8</v>
      </c>
      <c r="X301" s="110"/>
      <c r="Y301" s="83"/>
      <c r="Z301" s="172"/>
      <c r="AA301" s="371">
        <f t="shared" si="122"/>
        <v>275.39955357142856</v>
      </c>
      <c r="AB301" s="998"/>
      <c r="AC301" s="102"/>
      <c r="AD301" s="1523">
        <f t="shared" si="124"/>
        <v>27.648</v>
      </c>
      <c r="AE301" s="237"/>
      <c r="AF301" s="1183"/>
      <c r="AG301" s="492"/>
    </row>
    <row r="302" spans="1:33" x14ac:dyDescent="0.2">
      <c r="A302" s="183"/>
      <c r="B302" s="29"/>
      <c r="C302" s="1213"/>
      <c r="D302" s="470"/>
      <c r="E302" s="36" t="s">
        <v>2353</v>
      </c>
      <c r="F302" s="1337"/>
      <c r="G302" s="1377"/>
      <c r="H302" s="126"/>
      <c r="I302" s="110"/>
      <c r="J302" s="140"/>
      <c r="K302" s="153"/>
      <c r="L302" s="521">
        <v>533.17399999999998</v>
      </c>
      <c r="M302" s="521">
        <f t="shared" si="123"/>
        <v>533.17399999999998</v>
      </c>
      <c r="N302" s="65" t="str">
        <f t="shared" si="121"/>
        <v/>
      </c>
      <c r="O302" s="65"/>
      <c r="P302" s="65"/>
      <c r="Q302" s="282">
        <v>1936</v>
      </c>
      <c r="R302" s="65">
        <v>10</v>
      </c>
      <c r="S302" s="469">
        <v>24</v>
      </c>
      <c r="T302" s="65"/>
      <c r="U302" s="151"/>
      <c r="V302" s="65">
        <v>3900</v>
      </c>
      <c r="W302" s="65">
        <v>16</v>
      </c>
      <c r="X302" s="110"/>
      <c r="Y302" s="83"/>
      <c r="Z302" s="172"/>
      <c r="AA302" s="371">
        <f t="shared" si="122"/>
        <v>275.39979338842977</v>
      </c>
      <c r="AB302" s="998"/>
      <c r="AC302" s="102"/>
      <c r="AD302" s="1523">
        <f t="shared" si="124"/>
        <v>39.936</v>
      </c>
      <c r="AE302" s="237"/>
      <c r="AF302" s="1183"/>
      <c r="AG302" s="492"/>
    </row>
    <row r="303" spans="1:33" x14ac:dyDescent="0.2">
      <c r="A303" s="183"/>
      <c r="B303" s="29"/>
      <c r="C303" s="1213"/>
      <c r="D303" s="470"/>
      <c r="E303" s="36" t="s">
        <v>2354</v>
      </c>
      <c r="F303" s="1337"/>
      <c r="G303" s="1377"/>
      <c r="H303" s="126"/>
      <c r="I303" s="110"/>
      <c r="J303" s="140"/>
      <c r="K303" s="153"/>
      <c r="L303" s="521">
        <v>727.05600000000004</v>
      </c>
      <c r="M303" s="521">
        <f t="shared" si="123"/>
        <v>727.05600000000004</v>
      </c>
      <c r="N303" s="65" t="str">
        <f t="shared" si="121"/>
        <v/>
      </c>
      <c r="O303" s="65"/>
      <c r="P303" s="65"/>
      <c r="Q303" s="282">
        <v>2640</v>
      </c>
      <c r="R303" s="65">
        <v>10</v>
      </c>
      <c r="S303" s="469">
        <v>24</v>
      </c>
      <c r="T303" s="65"/>
      <c r="U303" s="151"/>
      <c r="V303" s="65">
        <v>5300</v>
      </c>
      <c r="W303" s="65">
        <v>16</v>
      </c>
      <c r="X303" s="110"/>
      <c r="Y303" s="83"/>
      <c r="Z303" s="172"/>
      <c r="AA303" s="371">
        <f t="shared" si="122"/>
        <v>275.39999999999998</v>
      </c>
      <c r="AB303" s="998"/>
      <c r="AC303" s="102"/>
      <c r="AD303" s="1523">
        <f t="shared" si="124"/>
        <v>54.271999999999998</v>
      </c>
      <c r="AE303" s="237"/>
      <c r="AF303" s="1183"/>
      <c r="AG303" s="492"/>
    </row>
    <row r="304" spans="1:33" s="493" customFormat="1" ht="13.5" thickBot="1" x14ac:dyDescent="0.25">
      <c r="A304" s="1416"/>
      <c r="B304" s="36"/>
      <c r="C304" s="1213"/>
      <c r="D304" s="470"/>
      <c r="E304" s="36" t="s">
        <v>2355</v>
      </c>
      <c r="F304" s="1337"/>
      <c r="G304" s="1051"/>
      <c r="H304" s="1417"/>
      <c r="I304" s="1131"/>
      <c r="J304" s="1215"/>
      <c r="K304" s="1418"/>
      <c r="L304" s="1419">
        <v>969.40800000000002</v>
      </c>
      <c r="M304" s="521">
        <f t="shared" si="123"/>
        <v>969.40800000000002</v>
      </c>
      <c r="N304" s="469" t="str">
        <f t="shared" si="121"/>
        <v/>
      </c>
      <c r="O304" s="469"/>
      <c r="P304" s="469"/>
      <c r="Q304" s="290">
        <v>3520</v>
      </c>
      <c r="R304" s="469">
        <v>10</v>
      </c>
      <c r="S304" s="469">
        <v>24</v>
      </c>
      <c r="T304" s="469"/>
      <c r="U304" s="1332"/>
      <c r="V304" s="469">
        <v>7100</v>
      </c>
      <c r="W304" s="469">
        <v>16</v>
      </c>
      <c r="X304" s="1131"/>
      <c r="Y304" s="1060"/>
      <c r="Z304" s="1061"/>
      <c r="AA304" s="1046">
        <f t="shared" si="122"/>
        <v>275.39999999999998</v>
      </c>
      <c r="AB304" s="1420"/>
      <c r="AC304" s="1421"/>
      <c r="AD304" s="1523">
        <f t="shared" si="124"/>
        <v>72.703999999999994</v>
      </c>
      <c r="AE304" s="1191"/>
      <c r="AF304" s="1422"/>
      <c r="AG304" s="492"/>
    </row>
    <row r="305" spans="1:33" x14ac:dyDescent="0.2">
      <c r="A305" s="183"/>
      <c r="B305" s="48" t="s">
        <v>1649</v>
      </c>
      <c r="C305" s="272"/>
      <c r="D305" s="273"/>
      <c r="E305" s="1185" t="s">
        <v>1650</v>
      </c>
      <c r="F305" s="858" t="s">
        <v>1018</v>
      </c>
      <c r="G305" s="49"/>
      <c r="H305" s="131"/>
      <c r="I305" s="165"/>
      <c r="J305" s="136"/>
      <c r="K305" s="50"/>
      <c r="L305" s="244"/>
      <c r="M305" s="60"/>
      <c r="N305" s="61"/>
      <c r="O305" s="61"/>
      <c r="P305" s="61"/>
      <c r="Q305" s="61"/>
      <c r="R305" s="61"/>
      <c r="S305" s="61"/>
      <c r="T305" s="61"/>
      <c r="U305" s="61"/>
      <c r="V305" s="399" t="s">
        <v>1652</v>
      </c>
      <c r="W305" s="61"/>
      <c r="X305" s="861" t="s">
        <v>25</v>
      </c>
      <c r="Y305" s="171"/>
      <c r="Z305" s="164"/>
      <c r="AA305" s="373"/>
      <c r="AB305" s="53"/>
      <c r="AC305" s="1184"/>
      <c r="AD305" s="113"/>
      <c r="AE305" s="237"/>
      <c r="AF305" s="1183"/>
      <c r="AG305" s="492"/>
    </row>
    <row r="306" spans="1:33" ht="13.5" thickBot="1" x14ac:dyDescent="0.25">
      <c r="A306" s="183"/>
      <c r="B306" s="33"/>
      <c r="C306" s="228"/>
      <c r="D306" s="214"/>
      <c r="E306" s="1186" t="s">
        <v>1651</v>
      </c>
      <c r="F306" s="150"/>
      <c r="G306" s="23"/>
      <c r="H306" s="125"/>
      <c r="I306" s="163"/>
      <c r="J306" s="150"/>
      <c r="K306" s="24"/>
      <c r="L306" s="256">
        <v>2.5</v>
      </c>
      <c r="M306" s="909">
        <f>L306</f>
        <v>2.5</v>
      </c>
      <c r="N306" s="68"/>
      <c r="O306" s="68"/>
      <c r="P306" s="68"/>
      <c r="Q306" s="68"/>
      <c r="R306" s="68"/>
      <c r="S306" s="68"/>
      <c r="T306" s="68">
        <v>632</v>
      </c>
      <c r="U306" s="68"/>
      <c r="V306" s="68">
        <v>4</v>
      </c>
      <c r="W306" s="68"/>
      <c r="X306" s="111">
        <v>250</v>
      </c>
      <c r="Y306" s="82"/>
      <c r="Z306" s="142"/>
      <c r="AA306" s="374"/>
      <c r="AB306" s="55"/>
      <c r="AC306" s="100"/>
      <c r="AD306" s="111">
        <f>256*20*V306</f>
        <v>20480</v>
      </c>
      <c r="AE306" s="237"/>
      <c r="AF306" s="1183"/>
      <c r="AG306" s="492" t="s">
        <v>1653</v>
      </c>
    </row>
    <row r="307" spans="1:33" ht="13.5" customHeight="1" x14ac:dyDescent="0.2">
      <c r="A307" s="183"/>
      <c r="B307" s="448" t="s">
        <v>2128</v>
      </c>
      <c r="C307" s="296"/>
      <c r="D307" s="300"/>
      <c r="E307" s="482" t="s">
        <v>2160</v>
      </c>
      <c r="F307" s="304" t="s">
        <v>1584</v>
      </c>
      <c r="G307" s="38" t="s">
        <v>22</v>
      </c>
      <c r="H307" s="1396" t="s">
        <v>2282</v>
      </c>
      <c r="I307" s="170"/>
      <c r="J307" s="483"/>
      <c r="K307" s="39" t="s">
        <v>22</v>
      </c>
      <c r="L307" s="247" t="s">
        <v>23</v>
      </c>
      <c r="M307" s="70"/>
      <c r="N307" s="484" t="e">
        <f>AVERAGE(N308:N310)</f>
        <v>#DIV/0!</v>
      </c>
      <c r="O307" s="71"/>
      <c r="P307" s="71"/>
      <c r="Q307" s="1004" t="s">
        <v>92</v>
      </c>
      <c r="R307" s="71"/>
      <c r="S307" s="71"/>
      <c r="T307" s="71"/>
      <c r="U307" s="71"/>
      <c r="V307" s="468" t="s">
        <v>2146</v>
      </c>
      <c r="W307" s="71" t="s">
        <v>66</v>
      </c>
      <c r="X307" s="117" t="s">
        <v>158</v>
      </c>
      <c r="Y307" s="89"/>
      <c r="Z307" s="172"/>
      <c r="AA307" s="375"/>
      <c r="AB307" s="95" t="e">
        <f>AVERAGE(AB308:AB310)</f>
        <v>#DIV/0!</v>
      </c>
      <c r="AC307" s="1459">
        <f>AVERAGE(AC308:AC310)</f>
        <v>6.5418219461697724</v>
      </c>
      <c r="AD307" s="109" t="s">
        <v>650</v>
      </c>
      <c r="AG307" s="471" t="s">
        <v>2147</v>
      </c>
    </row>
    <row r="308" spans="1:33" x14ac:dyDescent="0.2">
      <c r="A308" s="182"/>
      <c r="B308" s="41"/>
      <c r="C308" s="227"/>
      <c r="D308" s="213"/>
      <c r="E308" s="1036" t="s">
        <v>2162</v>
      </c>
      <c r="F308" s="45" t="s">
        <v>2163</v>
      </c>
      <c r="G308" s="19"/>
      <c r="H308" s="124">
        <v>8</v>
      </c>
      <c r="I308" s="162">
        <v>114</v>
      </c>
      <c r="J308" s="138"/>
      <c r="K308" s="20"/>
      <c r="L308" s="245">
        <v>20736</v>
      </c>
      <c r="M308" s="1326">
        <f>L308</f>
        <v>20736</v>
      </c>
      <c r="N308" s="65"/>
      <c r="O308" s="65"/>
      <c r="P308" s="65"/>
      <c r="Q308" s="65">
        <v>48</v>
      </c>
      <c r="R308" s="469" t="s">
        <v>2165</v>
      </c>
      <c r="S308" s="65"/>
      <c r="T308" s="65">
        <v>319</v>
      </c>
      <c r="U308" s="65"/>
      <c r="V308" s="65">
        <v>46</v>
      </c>
      <c r="W308" s="65"/>
      <c r="X308" s="110">
        <f>L308/8</f>
        <v>2592</v>
      </c>
      <c r="Y308" s="81"/>
      <c r="Z308" s="141"/>
      <c r="AA308" s="371"/>
      <c r="AB308" s="54"/>
      <c r="AC308" s="281">
        <f>T308/V308</f>
        <v>6.9347826086956523</v>
      </c>
      <c r="AD308" s="191">
        <f>V308*18*1024/1000000</f>
        <v>0.84787199999999996</v>
      </c>
      <c r="AF308" s="6"/>
      <c r="AG308" s="516" t="s">
        <v>2372</v>
      </c>
    </row>
    <row r="309" spans="1:33" x14ac:dyDescent="0.2">
      <c r="A309" s="182"/>
      <c r="B309" s="41"/>
      <c r="C309" s="227"/>
      <c r="D309" s="213"/>
      <c r="E309" s="1036" t="s">
        <v>2167</v>
      </c>
      <c r="F309" s="45" t="s">
        <v>2141</v>
      </c>
      <c r="G309" s="19"/>
      <c r="H309" s="124">
        <v>10</v>
      </c>
      <c r="I309" s="162">
        <v>66</v>
      </c>
      <c r="J309" s="138"/>
      <c r="K309" s="20"/>
      <c r="L309" s="245">
        <v>20736</v>
      </c>
      <c r="M309" s="1326">
        <f>L309</f>
        <v>20736</v>
      </c>
      <c r="N309" s="65"/>
      <c r="O309" s="65"/>
      <c r="P309" s="65"/>
      <c r="Q309" s="65">
        <v>48</v>
      </c>
      <c r="R309" s="469" t="s">
        <v>2165</v>
      </c>
      <c r="S309" s="65"/>
      <c r="T309" s="65">
        <v>384</v>
      </c>
      <c r="U309" s="65"/>
      <c r="V309" s="65">
        <v>46</v>
      </c>
      <c r="W309" s="469" t="s">
        <v>2371</v>
      </c>
      <c r="X309" s="110">
        <f>L309/8</f>
        <v>2592</v>
      </c>
      <c r="Y309" s="81"/>
      <c r="Z309" s="141"/>
      <c r="AA309" s="371"/>
      <c r="AB309" s="54"/>
      <c r="AC309" s="281">
        <f>T309/V309</f>
        <v>8.3478260869565215</v>
      </c>
      <c r="AD309" s="191">
        <f>V309*18*1024/1000000</f>
        <v>0.84787199999999996</v>
      </c>
      <c r="AF309" s="6"/>
      <c r="AG309" s="516" t="s">
        <v>2168</v>
      </c>
    </row>
    <row r="310" spans="1:33" ht="13.5" thickBot="1" x14ac:dyDescent="0.25">
      <c r="A310" s="182"/>
      <c r="B310" s="33"/>
      <c r="C310" s="228"/>
      <c r="D310" s="213"/>
      <c r="E310" s="1186" t="s">
        <v>2161</v>
      </c>
      <c r="F310" s="133" t="s">
        <v>2164</v>
      </c>
      <c r="G310" s="23"/>
      <c r="H310" s="125">
        <v>15</v>
      </c>
      <c r="I310" s="163">
        <v>319</v>
      </c>
      <c r="J310" s="150"/>
      <c r="K310" s="24"/>
      <c r="L310" s="246">
        <v>54720</v>
      </c>
      <c r="M310" s="1326">
        <f>L310</f>
        <v>54720</v>
      </c>
      <c r="N310" s="65"/>
      <c r="O310" s="68"/>
      <c r="P310" s="68"/>
      <c r="Q310" s="68">
        <v>40</v>
      </c>
      <c r="R310" s="533" t="s">
        <v>2166</v>
      </c>
      <c r="S310" s="68"/>
      <c r="T310" s="68">
        <v>608</v>
      </c>
      <c r="U310" s="68"/>
      <c r="V310" s="68">
        <v>140</v>
      </c>
      <c r="W310" s="68"/>
      <c r="X310" s="110">
        <f>L310/8</f>
        <v>6840</v>
      </c>
      <c r="Y310" s="82"/>
      <c r="Z310" s="142"/>
      <c r="AA310" s="371"/>
      <c r="AB310" s="55"/>
      <c r="AC310" s="281">
        <f>T310/V310</f>
        <v>4.3428571428571425</v>
      </c>
      <c r="AD310" s="191">
        <f>V310*18*1024/1000000</f>
        <v>2.5804800000000001</v>
      </c>
      <c r="AF310" s="6"/>
      <c r="AG310" s="236"/>
    </row>
    <row r="311" spans="1:33" ht="13.5" customHeight="1" x14ac:dyDescent="0.2">
      <c r="A311" s="183"/>
      <c r="B311" s="48" t="s">
        <v>2128</v>
      </c>
      <c r="C311" s="226"/>
      <c r="D311" s="212"/>
      <c r="E311" s="12" t="s">
        <v>2129</v>
      </c>
      <c r="F311" s="466" t="s">
        <v>1584</v>
      </c>
      <c r="G311" s="14" t="s">
        <v>22</v>
      </c>
      <c r="H311" s="1029" t="s">
        <v>2130</v>
      </c>
      <c r="I311" s="161"/>
      <c r="J311" s="145"/>
      <c r="K311" s="16" t="s">
        <v>22</v>
      </c>
      <c r="L311" s="244" t="s">
        <v>23</v>
      </c>
      <c r="M311" s="60"/>
      <c r="N311" s="385" t="e">
        <f>AVERAGE(N312:N315)</f>
        <v>#DIV/0!</v>
      </c>
      <c r="O311" s="61"/>
      <c r="P311" s="399" t="s">
        <v>2134</v>
      </c>
      <c r="Q311" s="399" t="s">
        <v>92</v>
      </c>
      <c r="R311" s="61"/>
      <c r="S311" s="399" t="s">
        <v>2144</v>
      </c>
      <c r="T311" s="399"/>
      <c r="U311" s="399"/>
      <c r="V311" s="468" t="s">
        <v>2146</v>
      </c>
      <c r="W311" s="61" t="s">
        <v>66</v>
      </c>
      <c r="X311" s="522" t="s">
        <v>158</v>
      </c>
      <c r="Y311" s="80"/>
      <c r="Z311" s="164"/>
      <c r="AA311" s="373"/>
      <c r="AB311" s="92" t="e">
        <f>AVERAGE(AB312:AB315)</f>
        <v>#DIV/0!</v>
      </c>
      <c r="AC311" s="98">
        <f>AVERAGE(AC312:AC315)</f>
        <v>15.1875</v>
      </c>
      <c r="AD311" s="109" t="s">
        <v>650</v>
      </c>
      <c r="AG311" s="471" t="s">
        <v>2147</v>
      </c>
    </row>
    <row r="312" spans="1:33" x14ac:dyDescent="0.2">
      <c r="A312" s="182"/>
      <c r="B312" s="36" t="s">
        <v>701</v>
      </c>
      <c r="C312" s="296"/>
      <c r="D312" s="470"/>
      <c r="E312" s="1036" t="s">
        <v>2268</v>
      </c>
      <c r="F312" s="45" t="s">
        <v>2131</v>
      </c>
      <c r="G312" s="19"/>
      <c r="H312" s="1538">
        <v>1.8</v>
      </c>
      <c r="I312" s="162">
        <v>11</v>
      </c>
      <c r="J312" s="138"/>
      <c r="K312" s="20"/>
      <c r="L312" s="1325">
        <v>1152</v>
      </c>
      <c r="M312" s="1326">
        <f>L312</f>
        <v>1152</v>
      </c>
      <c r="N312" s="65"/>
      <c r="O312" s="65"/>
      <c r="P312" s="65"/>
      <c r="Q312" s="65"/>
      <c r="R312" s="469" t="s">
        <v>2155</v>
      </c>
      <c r="S312" s="65"/>
      <c r="T312" s="65">
        <v>25</v>
      </c>
      <c r="U312" s="65"/>
      <c r="V312" s="65">
        <v>4</v>
      </c>
      <c r="W312" s="469" t="s">
        <v>2159</v>
      </c>
      <c r="X312" s="110">
        <f>L312/8</f>
        <v>144</v>
      </c>
      <c r="Y312" s="81"/>
      <c r="Z312" s="141"/>
      <c r="AA312" s="371"/>
      <c r="AB312" s="54"/>
      <c r="AC312" s="99">
        <f>T312/V312</f>
        <v>6.25</v>
      </c>
      <c r="AD312" s="191">
        <f t="shared" ref="AD312:AD323" si="125">V312*18*1024/1000000</f>
        <v>7.3728000000000002E-2</v>
      </c>
      <c r="AF312" s="6"/>
      <c r="AG312" s="236" t="s">
        <v>2222</v>
      </c>
    </row>
    <row r="313" spans="1:33" x14ac:dyDescent="0.2">
      <c r="A313" s="182"/>
      <c r="B313" s="36" t="s">
        <v>701</v>
      </c>
      <c r="C313" s="227"/>
      <c r="D313" s="470"/>
      <c r="E313" s="1036" t="s">
        <v>2269</v>
      </c>
      <c r="F313" s="45" t="s">
        <v>2132</v>
      </c>
      <c r="G313" s="19"/>
      <c r="H313" s="1538">
        <v>2.5</v>
      </c>
      <c r="I313" s="162">
        <v>30</v>
      </c>
      <c r="J313" s="138"/>
      <c r="K313" s="20"/>
      <c r="L313" s="1325">
        <v>1728</v>
      </c>
      <c r="M313" s="1326">
        <f t="shared" ref="M313:M323" si="126">L313</f>
        <v>1728</v>
      </c>
      <c r="N313" s="65"/>
      <c r="O313" s="65"/>
      <c r="P313" s="65"/>
      <c r="Q313" s="65"/>
      <c r="R313" s="469" t="s">
        <v>2158</v>
      </c>
      <c r="S313" s="65"/>
      <c r="T313" s="65">
        <v>95</v>
      </c>
      <c r="U313" s="65"/>
      <c r="V313" s="65">
        <v>4</v>
      </c>
      <c r="W313" s="469" t="s">
        <v>1820</v>
      </c>
      <c r="X313" s="110">
        <f t="shared" ref="X313:X323" si="127">L313/8</f>
        <v>216</v>
      </c>
      <c r="Y313" s="81"/>
      <c r="Z313" s="141"/>
      <c r="AA313" s="371"/>
      <c r="AB313" s="54"/>
      <c r="AC313" s="99">
        <f>T313/V313</f>
        <v>23.75</v>
      </c>
      <c r="AD313" s="191">
        <f t="shared" si="125"/>
        <v>7.3728000000000002E-2</v>
      </c>
      <c r="AF313" s="6"/>
      <c r="AG313" s="516" t="s">
        <v>2133</v>
      </c>
    </row>
    <row r="314" spans="1:33" x14ac:dyDescent="0.2">
      <c r="A314" s="182"/>
      <c r="B314" s="36" t="s">
        <v>701</v>
      </c>
      <c r="C314" s="227"/>
      <c r="D314" s="470"/>
      <c r="E314" s="1036" t="s">
        <v>2270</v>
      </c>
      <c r="F314" s="45" t="s">
        <v>2132</v>
      </c>
      <c r="G314" s="19"/>
      <c r="H314" s="1538">
        <v>2.5</v>
      </c>
      <c r="I314" s="162">
        <v>30</v>
      </c>
      <c r="J314" s="138"/>
      <c r="K314" s="20"/>
      <c r="L314" s="1325">
        <v>1728</v>
      </c>
      <c r="M314" s="1326">
        <f t="shared" si="126"/>
        <v>1728</v>
      </c>
      <c r="N314" s="65"/>
      <c r="O314" s="65"/>
      <c r="P314" s="65">
        <v>1</v>
      </c>
      <c r="Q314" s="65"/>
      <c r="R314" s="469" t="s">
        <v>2158</v>
      </c>
      <c r="S314" s="65"/>
      <c r="T314" s="65">
        <v>95</v>
      </c>
      <c r="U314" s="65"/>
      <c r="V314" s="65">
        <v>4</v>
      </c>
      <c r="W314" s="469" t="s">
        <v>1820</v>
      </c>
      <c r="X314" s="110">
        <f t="shared" si="127"/>
        <v>216</v>
      </c>
      <c r="Y314" s="81"/>
      <c r="Z314" s="141"/>
      <c r="AA314" s="371"/>
      <c r="AB314" s="54"/>
      <c r="AC314" s="99">
        <f t="shared" ref="AC314:AC323" si="128">T314/V314</f>
        <v>23.75</v>
      </c>
      <c r="AD314" s="191">
        <f t="shared" si="125"/>
        <v>7.3728000000000002E-2</v>
      </c>
      <c r="AE314" t="s">
        <v>2273</v>
      </c>
      <c r="AF314" s="6"/>
      <c r="AG314" s="516" t="s">
        <v>2135</v>
      </c>
    </row>
    <row r="315" spans="1:33" x14ac:dyDescent="0.2">
      <c r="A315" s="182"/>
      <c r="B315" s="36" t="s">
        <v>701</v>
      </c>
      <c r="C315" s="227"/>
      <c r="D315" s="470"/>
      <c r="E315" s="1036" t="s">
        <v>2271</v>
      </c>
      <c r="F315" s="45" t="s">
        <v>2136</v>
      </c>
      <c r="G315" s="19"/>
      <c r="H315" s="1538">
        <v>4.5</v>
      </c>
      <c r="I315" s="162">
        <v>68</v>
      </c>
      <c r="J315" s="138"/>
      <c r="K315" s="20"/>
      <c r="L315" s="1325">
        <v>4068</v>
      </c>
      <c r="M315" s="1326">
        <f t="shared" si="126"/>
        <v>4068</v>
      </c>
      <c r="N315" s="65"/>
      <c r="O315" s="65"/>
      <c r="P315" s="65"/>
      <c r="Q315" s="65">
        <v>16</v>
      </c>
      <c r="R315" s="469" t="s">
        <v>2138</v>
      </c>
      <c r="S315" s="65"/>
      <c r="T315" s="65">
        <v>70</v>
      </c>
      <c r="U315" s="65"/>
      <c r="V315" s="65">
        <v>10</v>
      </c>
      <c r="W315" s="469" t="s">
        <v>2137</v>
      </c>
      <c r="X315" s="110">
        <f t="shared" si="127"/>
        <v>508.5</v>
      </c>
      <c r="Y315" s="81"/>
      <c r="Z315" s="141"/>
      <c r="AA315" s="371">
        <f>L315/Q315</f>
        <v>254.25</v>
      </c>
      <c r="AB315" s="54"/>
      <c r="AC315" s="99">
        <f t="shared" si="128"/>
        <v>7</v>
      </c>
      <c r="AD315" s="191">
        <f t="shared" si="125"/>
        <v>0.18432000000000001</v>
      </c>
      <c r="AF315" s="6"/>
      <c r="AG315" s="516" t="s">
        <v>2139</v>
      </c>
    </row>
    <row r="316" spans="1:33" x14ac:dyDescent="0.2">
      <c r="A316" s="182"/>
      <c r="B316" s="36" t="s">
        <v>701</v>
      </c>
      <c r="C316" s="227"/>
      <c r="D316" s="470"/>
      <c r="E316" s="1036" t="s">
        <v>2272</v>
      </c>
      <c r="F316" s="45" t="s">
        <v>2136</v>
      </c>
      <c r="G316" s="19"/>
      <c r="H316" s="1538">
        <v>4.5</v>
      </c>
      <c r="I316" s="162">
        <v>68</v>
      </c>
      <c r="J316" s="138"/>
      <c r="K316" s="20"/>
      <c r="L316" s="1325">
        <v>4068</v>
      </c>
      <c r="M316" s="1326">
        <f>L316</f>
        <v>4068</v>
      </c>
      <c r="N316" s="65"/>
      <c r="O316" s="65"/>
      <c r="P316" s="65">
        <v>1</v>
      </c>
      <c r="Q316" s="65">
        <v>16</v>
      </c>
      <c r="R316" s="469" t="s">
        <v>2138</v>
      </c>
      <c r="S316" s="65"/>
      <c r="T316" s="65">
        <v>70</v>
      </c>
      <c r="U316" s="65"/>
      <c r="V316" s="65">
        <v>10</v>
      </c>
      <c r="W316" s="469" t="s">
        <v>2137</v>
      </c>
      <c r="X316" s="110">
        <f>L316/8</f>
        <v>508.5</v>
      </c>
      <c r="Y316" s="81"/>
      <c r="Z316" s="141"/>
      <c r="AA316" s="371">
        <f>L316/Q316</f>
        <v>254.25</v>
      </c>
      <c r="AB316" s="54"/>
      <c r="AC316" s="99">
        <f>T316/V316</f>
        <v>7</v>
      </c>
      <c r="AD316" s="191">
        <f>V316*18*1024/1000000</f>
        <v>0.18432000000000001</v>
      </c>
      <c r="AE316" t="s">
        <v>2273</v>
      </c>
      <c r="AF316" s="6"/>
      <c r="AG316" s="516" t="s">
        <v>2139</v>
      </c>
    </row>
    <row r="317" spans="1:33" x14ac:dyDescent="0.2">
      <c r="A317" s="182"/>
      <c r="B317" s="36" t="s">
        <v>701</v>
      </c>
      <c r="C317" s="227"/>
      <c r="D317" s="229"/>
      <c r="E317" s="1036" t="s">
        <v>2140</v>
      </c>
      <c r="F317" s="45" t="s">
        <v>2141</v>
      </c>
      <c r="G317" s="19"/>
      <c r="H317" s="462">
        <v>10</v>
      </c>
      <c r="I317" s="162">
        <v>70</v>
      </c>
      <c r="J317" s="138"/>
      <c r="K317" s="20"/>
      <c r="L317" s="1325">
        <v>8640</v>
      </c>
      <c r="M317" s="1326">
        <f t="shared" si="126"/>
        <v>8640</v>
      </c>
      <c r="N317" s="65"/>
      <c r="O317" s="65"/>
      <c r="P317" s="65"/>
      <c r="Q317" s="65">
        <v>20</v>
      </c>
      <c r="R317" s="469" t="s">
        <v>2142</v>
      </c>
      <c r="S317" s="65"/>
      <c r="T317" s="65">
        <v>120</v>
      </c>
      <c r="U317" s="65"/>
      <c r="V317" s="65">
        <v>26</v>
      </c>
      <c r="W317" s="469" t="s">
        <v>2157</v>
      </c>
      <c r="X317" s="110">
        <f t="shared" si="127"/>
        <v>1080</v>
      </c>
      <c r="Y317" s="81"/>
      <c r="Z317" s="141"/>
      <c r="AA317" s="371">
        <f t="shared" ref="AA317:AA323" si="129">L317/Q317</f>
        <v>432</v>
      </c>
      <c r="AB317" s="54"/>
      <c r="AC317" s="99">
        <f t="shared" si="128"/>
        <v>4.615384615384615</v>
      </c>
      <c r="AD317" s="191">
        <f t="shared" si="125"/>
        <v>0.47923199999999999</v>
      </c>
      <c r="AF317" s="6"/>
      <c r="AG317" s="516" t="s">
        <v>2139</v>
      </c>
    </row>
    <row r="318" spans="1:33" x14ac:dyDescent="0.2">
      <c r="A318" s="182"/>
      <c r="B318" s="36" t="s">
        <v>701</v>
      </c>
      <c r="C318" s="227"/>
      <c r="D318" s="229"/>
      <c r="E318" s="1036" t="s">
        <v>2143</v>
      </c>
      <c r="F318" s="45" t="s">
        <v>2152</v>
      </c>
      <c r="G318" s="19"/>
      <c r="H318" s="1538">
        <v>2.4</v>
      </c>
      <c r="I318" s="162">
        <v>24</v>
      </c>
      <c r="J318" s="138"/>
      <c r="K318" s="20"/>
      <c r="L318" s="1325">
        <v>1152</v>
      </c>
      <c r="M318" s="1326">
        <f t="shared" si="126"/>
        <v>1152</v>
      </c>
      <c r="N318" s="65"/>
      <c r="O318" s="65"/>
      <c r="P318" s="65"/>
      <c r="Q318" s="65"/>
      <c r="R318" s="469" t="s">
        <v>2155</v>
      </c>
      <c r="S318" s="65"/>
      <c r="T318" s="65">
        <v>119</v>
      </c>
      <c r="U318" s="65"/>
      <c r="V318" s="65">
        <v>4</v>
      </c>
      <c r="W318" s="469" t="s">
        <v>2156</v>
      </c>
      <c r="X318" s="110">
        <f t="shared" si="127"/>
        <v>144</v>
      </c>
      <c r="Y318" s="81"/>
      <c r="Z318" s="141"/>
      <c r="AA318" s="371"/>
      <c r="AB318" s="54"/>
      <c r="AC318" s="99">
        <f t="shared" si="128"/>
        <v>29.75</v>
      </c>
      <c r="AD318" s="191">
        <f t="shared" si="125"/>
        <v>7.3728000000000002E-2</v>
      </c>
      <c r="AF318" s="6"/>
      <c r="AG318" s="516" t="s">
        <v>2145</v>
      </c>
    </row>
    <row r="319" spans="1:33" x14ac:dyDescent="0.2">
      <c r="A319" s="182"/>
      <c r="B319" s="36" t="s">
        <v>701</v>
      </c>
      <c r="C319" s="227"/>
      <c r="D319" s="229"/>
      <c r="E319" s="1036" t="s">
        <v>2148</v>
      </c>
      <c r="F319" s="45" t="s">
        <v>2153</v>
      </c>
      <c r="G319" s="19"/>
      <c r="H319" s="1538">
        <v>3.6</v>
      </c>
      <c r="I319" s="162">
        <v>57</v>
      </c>
      <c r="J319" s="138"/>
      <c r="K319" s="20"/>
      <c r="L319" s="1325">
        <v>2304</v>
      </c>
      <c r="M319" s="1326">
        <f t="shared" si="126"/>
        <v>2304</v>
      </c>
      <c r="N319" s="65"/>
      <c r="O319" s="65"/>
      <c r="P319" s="65"/>
      <c r="Q319" s="65">
        <v>16</v>
      </c>
      <c r="R319" s="469" t="s">
        <v>2138</v>
      </c>
      <c r="S319" s="65"/>
      <c r="T319" s="65">
        <v>207</v>
      </c>
      <c r="U319" s="65"/>
      <c r="V319" s="65">
        <v>10</v>
      </c>
      <c r="W319" s="469" t="s">
        <v>2137</v>
      </c>
      <c r="X319" s="110">
        <f t="shared" si="127"/>
        <v>288</v>
      </c>
      <c r="Y319" s="81"/>
      <c r="Z319" s="141"/>
      <c r="AA319" s="371">
        <f t="shared" si="129"/>
        <v>144</v>
      </c>
      <c r="AB319" s="54"/>
      <c r="AC319" s="99">
        <f t="shared" si="128"/>
        <v>20.7</v>
      </c>
      <c r="AD319" s="191">
        <f t="shared" si="125"/>
        <v>0.18432000000000001</v>
      </c>
      <c r="AF319" s="6"/>
      <c r="AG319" s="516" t="s">
        <v>2145</v>
      </c>
    </row>
    <row r="320" spans="1:33" x14ac:dyDescent="0.2">
      <c r="A320" s="182"/>
      <c r="B320" s="36" t="s">
        <v>701</v>
      </c>
      <c r="C320" s="227"/>
      <c r="D320" s="229"/>
      <c r="E320" s="1036" t="s">
        <v>2149</v>
      </c>
      <c r="F320" s="45" t="s">
        <v>2153</v>
      </c>
      <c r="G320" s="19"/>
      <c r="H320" s="1538">
        <v>3.6</v>
      </c>
      <c r="I320" s="162">
        <v>57</v>
      </c>
      <c r="J320" s="138"/>
      <c r="K320" s="20"/>
      <c r="L320" s="1325">
        <v>4606</v>
      </c>
      <c r="M320" s="1326">
        <f>L320</f>
        <v>4606</v>
      </c>
      <c r="N320" s="65"/>
      <c r="O320" s="65"/>
      <c r="P320" s="65"/>
      <c r="Q320" s="65">
        <v>16</v>
      </c>
      <c r="R320" s="469" t="s">
        <v>2138</v>
      </c>
      <c r="S320" s="65"/>
      <c r="T320" s="65">
        <v>207</v>
      </c>
      <c r="U320" s="65"/>
      <c r="V320" s="65">
        <v>10</v>
      </c>
      <c r="W320" s="469" t="s">
        <v>2137</v>
      </c>
      <c r="X320" s="110">
        <f>L320/8</f>
        <v>575.75</v>
      </c>
      <c r="Y320" s="81"/>
      <c r="Z320" s="141"/>
      <c r="AA320" s="371">
        <f>L320/Q320</f>
        <v>287.875</v>
      </c>
      <c r="AB320" s="54"/>
      <c r="AC320" s="99">
        <f>T320/V320</f>
        <v>20.7</v>
      </c>
      <c r="AD320" s="191">
        <f>V320*18*1024/1000000</f>
        <v>0.18432000000000001</v>
      </c>
      <c r="AF320" s="6"/>
      <c r="AG320" s="516" t="s">
        <v>2145</v>
      </c>
    </row>
    <row r="321" spans="1:33" x14ac:dyDescent="0.2">
      <c r="A321" s="182"/>
      <c r="B321" s="36" t="s">
        <v>701</v>
      </c>
      <c r="C321" s="227"/>
      <c r="D321" s="229"/>
      <c r="E321" s="1036" t="s">
        <v>2274</v>
      </c>
      <c r="F321" s="45" t="s">
        <v>2153</v>
      </c>
      <c r="G321" s="19"/>
      <c r="H321" s="1538">
        <v>3.6</v>
      </c>
      <c r="I321" s="162">
        <v>57</v>
      </c>
      <c r="J321" s="138"/>
      <c r="K321" s="20"/>
      <c r="L321" s="1325">
        <v>4606</v>
      </c>
      <c r="M321" s="1326">
        <f t="shared" si="126"/>
        <v>4606</v>
      </c>
      <c r="N321" s="65"/>
      <c r="O321" s="65"/>
      <c r="P321" s="65">
        <v>1</v>
      </c>
      <c r="Q321" s="65">
        <v>16</v>
      </c>
      <c r="R321" s="469" t="s">
        <v>2138</v>
      </c>
      <c r="S321" s="65"/>
      <c r="T321" s="65">
        <v>207</v>
      </c>
      <c r="U321" s="65"/>
      <c r="V321" s="65">
        <v>10</v>
      </c>
      <c r="W321" s="469" t="s">
        <v>2137</v>
      </c>
      <c r="X321" s="110">
        <f t="shared" si="127"/>
        <v>575.75</v>
      </c>
      <c r="Y321" s="81"/>
      <c r="Z321" s="141"/>
      <c r="AA321" s="371">
        <f t="shared" si="129"/>
        <v>287.875</v>
      </c>
      <c r="AB321" s="54"/>
      <c r="AC321" s="99">
        <f t="shared" si="128"/>
        <v>20.7</v>
      </c>
      <c r="AD321" s="191">
        <f t="shared" si="125"/>
        <v>0.18432000000000001</v>
      </c>
      <c r="AE321" t="s">
        <v>2275</v>
      </c>
      <c r="AF321" s="6"/>
      <c r="AG321" s="516" t="s">
        <v>2145</v>
      </c>
    </row>
    <row r="322" spans="1:33" x14ac:dyDescent="0.2">
      <c r="A322" s="182"/>
      <c r="B322" s="36" t="s">
        <v>701</v>
      </c>
      <c r="C322" s="227"/>
      <c r="D322" s="229"/>
      <c r="E322" s="1036" t="s">
        <v>2150</v>
      </c>
      <c r="F322" s="45" t="s">
        <v>2154</v>
      </c>
      <c r="G322" s="19"/>
      <c r="H322" s="1538">
        <v>4.0999999999999996</v>
      </c>
      <c r="I322" s="162">
        <v>55</v>
      </c>
      <c r="J322" s="138"/>
      <c r="K322" s="20"/>
      <c r="L322" s="1325">
        <v>6912</v>
      </c>
      <c r="M322" s="1326">
        <f t="shared" si="126"/>
        <v>6912</v>
      </c>
      <c r="N322" s="65"/>
      <c r="O322" s="65"/>
      <c r="P322" s="65"/>
      <c r="Q322" s="65">
        <v>26</v>
      </c>
      <c r="R322" s="469" t="s">
        <v>2142</v>
      </c>
      <c r="S322" s="65"/>
      <c r="T322" s="65">
        <v>273</v>
      </c>
      <c r="U322" s="65"/>
      <c r="V322" s="65">
        <v>26</v>
      </c>
      <c r="W322" s="469" t="s">
        <v>2157</v>
      </c>
      <c r="X322" s="110">
        <f t="shared" si="127"/>
        <v>864</v>
      </c>
      <c r="Y322" s="81"/>
      <c r="Z322" s="141"/>
      <c r="AA322" s="371">
        <f t="shared" si="129"/>
        <v>265.84615384615387</v>
      </c>
      <c r="AB322" s="54"/>
      <c r="AC322" s="99">
        <f t="shared" si="128"/>
        <v>10.5</v>
      </c>
      <c r="AD322" s="191">
        <f t="shared" si="125"/>
        <v>0.47923199999999999</v>
      </c>
      <c r="AF322" s="6"/>
      <c r="AG322" s="516" t="s">
        <v>2145</v>
      </c>
    </row>
    <row r="323" spans="1:33" ht="13.5" thickBot="1" x14ac:dyDescent="0.25">
      <c r="A323" s="182"/>
      <c r="B323" s="33" t="s">
        <v>701</v>
      </c>
      <c r="C323" s="228"/>
      <c r="D323" s="231"/>
      <c r="E323" s="1186" t="s">
        <v>2151</v>
      </c>
      <c r="F323" s="133" t="s">
        <v>2154</v>
      </c>
      <c r="G323" s="23"/>
      <c r="H323" s="1545">
        <v>4.0999999999999996</v>
      </c>
      <c r="I323" s="163">
        <v>55</v>
      </c>
      <c r="J323" s="150"/>
      <c r="K323" s="24"/>
      <c r="L323" s="1327">
        <v>8640</v>
      </c>
      <c r="M323" s="1328">
        <f t="shared" si="126"/>
        <v>8640</v>
      </c>
      <c r="N323" s="68"/>
      <c r="O323" s="68"/>
      <c r="P323" s="68"/>
      <c r="Q323" s="68">
        <v>26</v>
      </c>
      <c r="R323" s="533" t="s">
        <v>2142</v>
      </c>
      <c r="S323" s="68"/>
      <c r="T323" s="68">
        <v>273</v>
      </c>
      <c r="U323" s="68"/>
      <c r="V323" s="68">
        <v>26</v>
      </c>
      <c r="W323" s="533" t="s">
        <v>2157</v>
      </c>
      <c r="X323" s="111">
        <f t="shared" si="127"/>
        <v>1080</v>
      </c>
      <c r="Y323" s="82"/>
      <c r="Z323" s="142"/>
      <c r="AA323" s="374">
        <f t="shared" si="129"/>
        <v>332.30769230769232</v>
      </c>
      <c r="AB323" s="55"/>
      <c r="AC323" s="100">
        <f t="shared" si="128"/>
        <v>10.5</v>
      </c>
      <c r="AD323" s="192">
        <f t="shared" si="125"/>
        <v>0.47923199999999999</v>
      </c>
      <c r="AF323" s="6"/>
      <c r="AG323" s="516" t="s">
        <v>2145</v>
      </c>
    </row>
    <row r="324" spans="1:33" x14ac:dyDescent="0.2">
      <c r="A324" s="183"/>
      <c r="B324" s="48" t="s">
        <v>716</v>
      </c>
      <c r="C324" s="272"/>
      <c r="D324" s="273"/>
      <c r="E324" s="1397" t="s">
        <v>2279</v>
      </c>
      <c r="F324" s="466" t="s">
        <v>1018</v>
      </c>
      <c r="G324" s="856" t="s">
        <v>22</v>
      </c>
      <c r="H324" s="1396" t="s">
        <v>2282</v>
      </c>
      <c r="I324" s="165"/>
      <c r="J324" s="136"/>
      <c r="K324" s="50"/>
      <c r="L324" s="1395" t="s">
        <v>1089</v>
      </c>
      <c r="M324" s="1394"/>
      <c r="N324" s="60"/>
      <c r="O324" s="61"/>
      <c r="P324" s="61"/>
      <c r="Q324" s="399" t="s">
        <v>92</v>
      </c>
      <c r="R324" s="399"/>
      <c r="S324" s="61"/>
      <c r="T324" s="61"/>
      <c r="U324" s="61"/>
      <c r="V324" s="399" t="s">
        <v>206</v>
      </c>
      <c r="W324" s="399"/>
      <c r="X324" s="113"/>
      <c r="Y324" s="171"/>
      <c r="Z324" s="164"/>
      <c r="AA324" s="373"/>
      <c r="AB324" s="53"/>
      <c r="AC324" s="105"/>
      <c r="AD324" s="109" t="s">
        <v>650</v>
      </c>
      <c r="AF324" s="6"/>
      <c r="AG324" s="516" t="s">
        <v>2283</v>
      </c>
    </row>
    <row r="325" spans="1:33" x14ac:dyDescent="0.2">
      <c r="A325" s="183"/>
      <c r="B325" s="41"/>
      <c r="C325" s="227"/>
      <c r="D325" s="229"/>
      <c r="E325" t="s">
        <v>2280</v>
      </c>
      <c r="F325" s="45" t="s">
        <v>2379</v>
      </c>
      <c r="G325" s="19"/>
      <c r="H325" s="124">
        <v>6</v>
      </c>
      <c r="I325" s="162">
        <v>78</v>
      </c>
      <c r="J325" s="138"/>
      <c r="K325" s="20"/>
      <c r="L325" s="1325">
        <v>17000</v>
      </c>
      <c r="M325" s="64">
        <f>L325</f>
        <v>17000</v>
      </c>
      <c r="N325" s="65" t="str">
        <f>IF(AND(G325&lt;&gt;"",M325&lt;&gt;""),M325/G325,"")</f>
        <v/>
      </c>
      <c r="O325" s="65"/>
      <c r="P325" s="65"/>
      <c r="Q325" s="65">
        <v>24</v>
      </c>
      <c r="R325" s="469">
        <v>2</v>
      </c>
      <c r="S325" s="65"/>
      <c r="T325" s="65">
        <v>78</v>
      </c>
      <c r="U325" s="65"/>
      <c r="V325" s="65">
        <v>128</v>
      </c>
      <c r="W325" s="469"/>
      <c r="X325" s="110"/>
      <c r="Y325" s="81"/>
      <c r="Z325" s="141"/>
      <c r="AA325" s="371"/>
      <c r="AB325" s="54"/>
      <c r="AC325" s="281">
        <f>T325/V325</f>
        <v>0.609375</v>
      </c>
      <c r="AD325" s="191">
        <f>512*36*V325/1000000</f>
        <v>2.3592960000000001</v>
      </c>
      <c r="AF325" s="6"/>
      <c r="AG325" s="516"/>
    </row>
    <row r="326" spans="1:33" ht="13.5" thickBot="1" x14ac:dyDescent="0.25">
      <c r="A326" s="183"/>
      <c r="B326" s="33"/>
      <c r="C326" s="228"/>
      <c r="D326" s="231"/>
      <c r="E326" s="1186" t="s">
        <v>2281</v>
      </c>
      <c r="F326" s="133" t="s">
        <v>2379</v>
      </c>
      <c r="G326" s="23">
        <v>50.85</v>
      </c>
      <c r="H326" s="125">
        <v>6</v>
      </c>
      <c r="I326" s="163">
        <v>82</v>
      </c>
      <c r="J326" s="150"/>
      <c r="K326" s="24"/>
      <c r="L326" s="1327">
        <v>39000</v>
      </c>
      <c r="M326" s="68">
        <f>L326</f>
        <v>39000</v>
      </c>
      <c r="N326" s="68">
        <f>IF(AND(G326&lt;&gt;"",M326&lt;&gt;""),M326/G326,"")</f>
        <v>766.96165191740408</v>
      </c>
      <c r="O326" s="68"/>
      <c r="P326" s="68"/>
      <c r="Q326" s="68">
        <v>56</v>
      </c>
      <c r="R326" s="533">
        <v>3</v>
      </c>
      <c r="S326" s="68">
        <v>1</v>
      </c>
      <c r="T326" s="68">
        <v>192</v>
      </c>
      <c r="U326" s="68"/>
      <c r="V326" s="68">
        <v>30</v>
      </c>
      <c r="W326" s="533"/>
      <c r="X326" s="111"/>
      <c r="Y326" s="82"/>
      <c r="Z326" s="142"/>
      <c r="AA326" s="374"/>
      <c r="AB326" s="55"/>
      <c r="AC326" s="281">
        <f>T326/V326</f>
        <v>6.4</v>
      </c>
      <c r="AD326" s="191">
        <f>512*36*V326/1000000</f>
        <v>0.55296000000000001</v>
      </c>
      <c r="AF326" s="6"/>
      <c r="AG326" s="516"/>
    </row>
    <row r="327" spans="1:33" x14ac:dyDescent="0.2">
      <c r="A327" s="183"/>
      <c r="B327" s="48" t="s">
        <v>716</v>
      </c>
      <c r="C327" s="272"/>
      <c r="D327" s="273"/>
      <c r="E327" s="1397" t="s">
        <v>2383</v>
      </c>
      <c r="F327" s="466" t="s">
        <v>1018</v>
      </c>
      <c r="G327" s="856" t="s">
        <v>22</v>
      </c>
      <c r="H327" s="1396" t="s">
        <v>2282</v>
      </c>
      <c r="I327" s="165"/>
      <c r="J327" s="136"/>
      <c r="K327" s="50"/>
      <c r="L327" s="1395" t="s">
        <v>1089</v>
      </c>
      <c r="M327" s="1394"/>
      <c r="N327" s="60"/>
      <c r="O327" s="61"/>
      <c r="P327" s="61"/>
      <c r="Q327" s="399" t="s">
        <v>92</v>
      </c>
      <c r="R327" s="399"/>
      <c r="S327" s="61"/>
      <c r="T327" s="61"/>
      <c r="U327" s="61"/>
      <c r="V327" s="399" t="s">
        <v>206</v>
      </c>
      <c r="W327" s="399"/>
      <c r="X327" s="113"/>
      <c r="Y327" s="171"/>
      <c r="Z327" s="164"/>
      <c r="AA327" s="373"/>
      <c r="AB327" s="53"/>
      <c r="AC327" s="105"/>
      <c r="AD327" s="109" t="s">
        <v>650</v>
      </c>
      <c r="AF327" s="6"/>
      <c r="AG327" s="516" t="s">
        <v>2283</v>
      </c>
    </row>
    <row r="328" spans="1:33" x14ac:dyDescent="0.2">
      <c r="A328" s="183"/>
      <c r="B328" s="41"/>
      <c r="C328" s="227"/>
      <c r="D328" s="229"/>
      <c r="E328" s="493" t="s">
        <v>2384</v>
      </c>
      <c r="F328" s="45" t="s">
        <v>2386</v>
      </c>
      <c r="G328" s="19"/>
      <c r="H328" s="124">
        <v>9</v>
      </c>
      <c r="I328" s="162">
        <v>78</v>
      </c>
      <c r="J328" s="138"/>
      <c r="K328" s="20"/>
      <c r="L328" s="1325">
        <v>52000</v>
      </c>
      <c r="M328" s="64">
        <f>L328</f>
        <v>52000</v>
      </c>
      <c r="N328" s="65" t="str">
        <f>IF(AND(G328&lt;&gt;"",M328&lt;&gt;""),M328/G328,"")</f>
        <v/>
      </c>
      <c r="O328" s="65"/>
      <c r="P328" s="65"/>
      <c r="Q328" s="65">
        <v>96</v>
      </c>
      <c r="R328" s="469">
        <v>2</v>
      </c>
      <c r="S328" s="65">
        <v>4</v>
      </c>
      <c r="T328" s="65">
        <v>170</v>
      </c>
      <c r="U328" s="65"/>
      <c r="V328" s="65">
        <v>128</v>
      </c>
      <c r="W328" s="469"/>
      <c r="X328" s="110"/>
      <c r="Y328" s="81"/>
      <c r="Z328" s="141"/>
      <c r="AA328" s="371"/>
      <c r="AB328" s="54"/>
      <c r="AC328" s="281">
        <f>T328/V328</f>
        <v>1.328125</v>
      </c>
      <c r="AD328" s="191">
        <f>512*36*V328/1000000</f>
        <v>2.3592960000000001</v>
      </c>
      <c r="AF328" s="6"/>
      <c r="AG328" s="516"/>
    </row>
    <row r="329" spans="1:33" ht="13.5" thickBot="1" x14ac:dyDescent="0.25">
      <c r="A329" s="183"/>
      <c r="B329" s="33"/>
      <c r="C329" s="228"/>
      <c r="D329" s="231"/>
      <c r="E329" s="1186" t="s">
        <v>2385</v>
      </c>
      <c r="F329" s="133" t="s">
        <v>2386</v>
      </c>
      <c r="G329" s="23"/>
      <c r="H329" s="125">
        <v>9</v>
      </c>
      <c r="I329" s="163">
        <v>82</v>
      </c>
      <c r="J329" s="150"/>
      <c r="K329" s="24"/>
      <c r="L329" s="1327">
        <v>96000</v>
      </c>
      <c r="M329" s="68">
        <f>L329</f>
        <v>96000</v>
      </c>
      <c r="N329" s="68" t="str">
        <f>IF(AND(G329&lt;&gt;"",M329&lt;&gt;""),M329/G329,"")</f>
        <v/>
      </c>
      <c r="O329" s="68"/>
      <c r="P329" s="68"/>
      <c r="Q329" s="68">
        <v>156</v>
      </c>
      <c r="R329" s="533">
        <v>3</v>
      </c>
      <c r="S329" s="68">
        <v>4</v>
      </c>
      <c r="T329" s="68">
        <v>165</v>
      </c>
      <c r="U329" s="68"/>
      <c r="V329" s="68">
        <v>192</v>
      </c>
      <c r="W329" s="533"/>
      <c r="X329" s="111"/>
      <c r="Y329" s="82"/>
      <c r="Z329" s="142"/>
      <c r="AA329" s="374"/>
      <c r="AB329" s="55"/>
      <c r="AC329" s="294">
        <f>T329/V329</f>
        <v>0.859375</v>
      </c>
      <c r="AD329" s="192">
        <f>512*36*V329/1000000</f>
        <v>3.5389439999999999</v>
      </c>
      <c r="AF329" s="6"/>
      <c r="AG329" s="516"/>
    </row>
    <row r="330" spans="1:33" ht="13.5" customHeight="1" x14ac:dyDescent="0.2">
      <c r="A330" s="183"/>
      <c r="B330" s="448" t="s">
        <v>716</v>
      </c>
      <c r="C330" s="296"/>
      <c r="D330" s="300"/>
      <c r="E330" s="482" t="s">
        <v>330</v>
      </c>
      <c r="F330" s="304" t="s">
        <v>1016</v>
      </c>
      <c r="G330" s="38" t="s">
        <v>22</v>
      </c>
      <c r="H330" s="433" t="s">
        <v>529</v>
      </c>
      <c r="I330" s="170"/>
      <c r="J330" s="483"/>
      <c r="K330" s="39" t="s">
        <v>22</v>
      </c>
      <c r="L330" s="247" t="s">
        <v>23</v>
      </c>
      <c r="M330" s="70"/>
      <c r="N330" s="484">
        <f>AVERAGE(N331:N334)</f>
        <v>89.536186418315708</v>
      </c>
      <c r="O330" s="71"/>
      <c r="P330" s="71"/>
      <c r="Q330" s="71"/>
      <c r="R330" s="71"/>
      <c r="S330" s="71"/>
      <c r="T330" s="71"/>
      <c r="U330" s="71"/>
      <c r="V330" s="77" t="s">
        <v>157</v>
      </c>
      <c r="W330" s="71" t="s">
        <v>66</v>
      </c>
      <c r="X330" s="117" t="s">
        <v>158</v>
      </c>
      <c r="Y330" s="89"/>
      <c r="Z330" s="172"/>
      <c r="AA330" s="375"/>
      <c r="AB330" s="95">
        <f>AVERAGE(AB331:AB334)</f>
        <v>980</v>
      </c>
      <c r="AC330" s="305">
        <f>AVERAGE(AC331:AC334)</f>
        <v>150.66666666666666</v>
      </c>
      <c r="AD330" s="117"/>
      <c r="AG330" s="269" t="s">
        <v>329</v>
      </c>
    </row>
    <row r="331" spans="1:33" x14ac:dyDescent="0.2">
      <c r="A331" s="182" t="s">
        <v>26</v>
      </c>
      <c r="B331" s="41" t="s">
        <v>701</v>
      </c>
      <c r="C331" s="227"/>
      <c r="D331" s="213" t="s">
        <v>702</v>
      </c>
      <c r="E331" s="118" t="s">
        <v>331</v>
      </c>
      <c r="F331" s="18" t="s">
        <v>323</v>
      </c>
      <c r="G331" s="19">
        <v>5.2</v>
      </c>
      <c r="H331" s="124">
        <v>8</v>
      </c>
      <c r="I331" s="162">
        <v>78</v>
      </c>
      <c r="J331" s="138" t="s">
        <v>355</v>
      </c>
      <c r="K331" s="20">
        <v>10.08</v>
      </c>
      <c r="L331" s="245">
        <f>8*X331</f>
        <v>256</v>
      </c>
      <c r="M331" s="64">
        <f>L331</f>
        <v>256</v>
      </c>
      <c r="N331" s="65">
        <f>IF(AND(G331&lt;&gt;"",M331&lt;&gt;""),M331/G331,"")</f>
        <v>49.230769230769226</v>
      </c>
      <c r="O331" s="65">
        <f>IF(AND(G331&lt;&gt;"",L331&lt;&gt;""),L331/G331,"")</f>
        <v>49.230769230769226</v>
      </c>
      <c r="P331" s="65"/>
      <c r="Q331" s="65"/>
      <c r="R331" s="65">
        <v>0</v>
      </c>
      <c r="S331" s="65"/>
      <c r="T331" s="65">
        <v>78</v>
      </c>
      <c r="U331" s="65"/>
      <c r="V331" s="65">
        <v>0</v>
      </c>
      <c r="W331" s="65"/>
      <c r="X331" s="110">
        <v>32</v>
      </c>
      <c r="Y331" s="81"/>
      <c r="Z331" s="141"/>
      <c r="AA331" s="371"/>
      <c r="AB331" s="54"/>
      <c r="AC331" s="99"/>
      <c r="AD331" s="110">
        <f>256*36*V331</f>
        <v>0</v>
      </c>
      <c r="AF331" s="6"/>
      <c r="AG331" s="236" t="s">
        <v>710</v>
      </c>
    </row>
    <row r="332" spans="1:33" x14ac:dyDescent="0.2">
      <c r="A332" s="182" t="s">
        <v>26</v>
      </c>
      <c r="B332" s="41" t="s">
        <v>701</v>
      </c>
      <c r="C332" s="227"/>
      <c r="D332" s="213" t="s">
        <v>702</v>
      </c>
      <c r="E332" s="118" t="s">
        <v>332</v>
      </c>
      <c r="F332" s="18" t="s">
        <v>323</v>
      </c>
      <c r="G332" s="19">
        <v>9.25</v>
      </c>
      <c r="H332" s="124">
        <v>8</v>
      </c>
      <c r="I332" s="162">
        <v>101</v>
      </c>
      <c r="J332" s="138" t="s">
        <v>326</v>
      </c>
      <c r="K332" s="20">
        <v>20.6</v>
      </c>
      <c r="L332" s="245">
        <f>8*X332</f>
        <v>640</v>
      </c>
      <c r="M332" s="64">
        <f>L332</f>
        <v>640</v>
      </c>
      <c r="N332" s="65">
        <f>IF(AND(G332&lt;&gt;"",M332&lt;&gt;""),M332/G332,"")</f>
        <v>69.189189189189193</v>
      </c>
      <c r="O332" s="65">
        <f>IF(AND(G332&lt;&gt;"",L332&lt;&gt;""),L332/G332,"")</f>
        <v>69.189189189189193</v>
      </c>
      <c r="P332" s="65"/>
      <c r="Q332" s="65"/>
      <c r="R332" s="65">
        <v>0</v>
      </c>
      <c r="S332" s="65"/>
      <c r="T332" s="65">
        <v>159</v>
      </c>
      <c r="U332" s="65"/>
      <c r="V332" s="65">
        <v>0</v>
      </c>
      <c r="W332" s="65"/>
      <c r="X332" s="110">
        <v>80</v>
      </c>
      <c r="Y332" s="81"/>
      <c r="Z332" s="141"/>
      <c r="AA332" s="371"/>
      <c r="AB332" s="54"/>
      <c r="AC332" s="99"/>
      <c r="AD332" s="110">
        <f>256*36*V332</f>
        <v>0</v>
      </c>
      <c r="AF332" s="6"/>
      <c r="AG332" s="236"/>
    </row>
    <row r="333" spans="1:33" x14ac:dyDescent="0.2">
      <c r="A333" s="182" t="s">
        <v>26</v>
      </c>
      <c r="B333" s="41" t="s">
        <v>701</v>
      </c>
      <c r="C333" s="227"/>
      <c r="D333" s="213" t="s">
        <v>702</v>
      </c>
      <c r="E333" s="118" t="s">
        <v>333</v>
      </c>
      <c r="F333" s="18" t="s">
        <v>864</v>
      </c>
      <c r="G333" s="19">
        <v>12.6</v>
      </c>
      <c r="H333" s="124">
        <v>8</v>
      </c>
      <c r="I333" s="162">
        <v>101</v>
      </c>
      <c r="J333" s="138" t="s">
        <v>356</v>
      </c>
      <c r="K333" s="20">
        <v>28.21</v>
      </c>
      <c r="L333" s="245">
        <f>8*X333</f>
        <v>1200</v>
      </c>
      <c r="M333" s="64">
        <f>L333</f>
        <v>1200</v>
      </c>
      <c r="N333" s="65">
        <f>IF(AND(G333&lt;&gt;"",M333&lt;&gt;""),M333/G333,"")</f>
        <v>95.238095238095241</v>
      </c>
      <c r="O333" s="65">
        <f>IF(AND(G333&lt;&gt;"",L333&lt;&gt;""),L333/G333,"")</f>
        <v>95.238095238095241</v>
      </c>
      <c r="P333" s="65"/>
      <c r="Q333" s="65"/>
      <c r="R333" s="65">
        <v>1</v>
      </c>
      <c r="S333" s="65"/>
      <c r="T333" s="65">
        <v>211</v>
      </c>
      <c r="U333" s="65"/>
      <c r="V333" s="65">
        <v>1</v>
      </c>
      <c r="W333" s="65"/>
      <c r="X333" s="110">
        <v>150</v>
      </c>
      <c r="Y333" s="81">
        <v>3.5</v>
      </c>
      <c r="Z333" s="141">
        <f>IF(AND(L333&lt;&gt;"",Y333&lt;&gt;""),L333/Y333,"")</f>
        <v>342.85714285714283</v>
      </c>
      <c r="AA333" s="371"/>
      <c r="AB333" s="54">
        <f>L333/V333</f>
        <v>1200</v>
      </c>
      <c r="AC333" s="282">
        <f>T333/V333</f>
        <v>211</v>
      </c>
      <c r="AD333" s="110">
        <f>256*36*V333</f>
        <v>9216</v>
      </c>
      <c r="AF333" s="6"/>
      <c r="AG333" s="236"/>
    </row>
    <row r="334" spans="1:33" ht="13.5" thickBot="1" x14ac:dyDescent="0.25">
      <c r="A334" s="182" t="s">
        <v>26</v>
      </c>
      <c r="B334" s="33" t="s">
        <v>701</v>
      </c>
      <c r="C334" s="228"/>
      <c r="D334" s="213" t="s">
        <v>702</v>
      </c>
      <c r="E334" s="146" t="s">
        <v>334</v>
      </c>
      <c r="F334" s="22" t="s">
        <v>863</v>
      </c>
      <c r="G334" s="23">
        <v>15.78</v>
      </c>
      <c r="H334" s="125">
        <v>8</v>
      </c>
      <c r="I334" s="163">
        <v>101</v>
      </c>
      <c r="J334" s="150" t="s">
        <v>357</v>
      </c>
      <c r="K334" s="24">
        <v>43.67</v>
      </c>
      <c r="L334" s="246">
        <f>8*X334</f>
        <v>2280</v>
      </c>
      <c r="M334" s="64">
        <f>L334</f>
        <v>2280</v>
      </c>
      <c r="N334" s="65">
        <f>IF(AND(G334&lt;&gt;"",M334&lt;&gt;""),M334/G334,"")</f>
        <v>144.48669201520914</v>
      </c>
      <c r="O334" s="68">
        <f>IF(AND(G334&lt;&gt;"",L334&lt;&gt;""),L334/G334,"")</f>
        <v>144.48669201520914</v>
      </c>
      <c r="P334" s="68"/>
      <c r="Q334" s="68"/>
      <c r="R334" s="68">
        <v>2</v>
      </c>
      <c r="S334" s="68"/>
      <c r="T334" s="68">
        <v>271</v>
      </c>
      <c r="U334" s="68"/>
      <c r="V334" s="68">
        <v>3</v>
      </c>
      <c r="W334" s="68"/>
      <c r="X334" s="111">
        <v>285</v>
      </c>
      <c r="Y334" s="82">
        <v>5</v>
      </c>
      <c r="Z334" s="142">
        <f>IF(AND(L334&lt;&gt;"",Y334&lt;&gt;""),L334/Y334,"")</f>
        <v>456</v>
      </c>
      <c r="AA334" s="371"/>
      <c r="AB334" s="55">
        <f>L334/V334</f>
        <v>760</v>
      </c>
      <c r="AC334" s="100">
        <f>T334/V334</f>
        <v>90.333333333333329</v>
      </c>
      <c r="AD334" s="111">
        <f>256*36*V334</f>
        <v>27648</v>
      </c>
      <c r="AF334" s="6"/>
      <c r="AG334" s="236"/>
    </row>
    <row r="335" spans="1:33" ht="13.5" customHeight="1" x14ac:dyDescent="0.2">
      <c r="A335" s="183"/>
      <c r="B335" s="48" t="s">
        <v>716</v>
      </c>
      <c r="C335" s="226"/>
      <c r="D335" s="212"/>
      <c r="E335" s="12" t="s">
        <v>1020</v>
      </c>
      <c r="F335" s="466" t="s">
        <v>1012</v>
      </c>
      <c r="G335" s="14" t="s">
        <v>22</v>
      </c>
      <c r="H335" s="132" t="s">
        <v>529</v>
      </c>
      <c r="I335" s="161"/>
      <c r="J335" s="145"/>
      <c r="K335" s="16" t="s">
        <v>22</v>
      </c>
      <c r="L335" s="244" t="s">
        <v>23</v>
      </c>
      <c r="M335" s="60"/>
      <c r="N335" s="385">
        <f>AVERAGE(N336:N339)</f>
        <v>145.50969105590957</v>
      </c>
      <c r="O335" s="61"/>
      <c r="P335" s="61"/>
      <c r="Q335" s="399" t="s">
        <v>1028</v>
      </c>
      <c r="R335" s="61"/>
      <c r="S335" s="61"/>
      <c r="T335" s="399" t="s">
        <v>1029</v>
      </c>
      <c r="U335" s="399" t="s">
        <v>1030</v>
      </c>
      <c r="V335" s="468" t="s">
        <v>1027</v>
      </c>
      <c r="W335" s="61" t="s">
        <v>66</v>
      </c>
      <c r="X335" s="109" t="s">
        <v>158</v>
      </c>
      <c r="Y335" s="80"/>
      <c r="Z335" s="164"/>
      <c r="AA335" s="373"/>
      <c r="AB335" s="92" t="e">
        <f>AVERAGE(AB336:AB339)</f>
        <v>#DIV/0!</v>
      </c>
      <c r="AC335" s="98">
        <f>AVERAGE(AC336:AC339)</f>
        <v>27.101190476190478</v>
      </c>
      <c r="AD335" s="109" t="s">
        <v>650</v>
      </c>
      <c r="AG335" s="471" t="s">
        <v>1031</v>
      </c>
    </row>
    <row r="336" spans="1:33" x14ac:dyDescent="0.2">
      <c r="A336" s="182" t="s">
        <v>929</v>
      </c>
      <c r="B336" s="36" t="s">
        <v>701</v>
      </c>
      <c r="C336" s="296"/>
      <c r="D336" s="470" t="s">
        <v>708</v>
      </c>
      <c r="E336" s="134" t="s">
        <v>1021</v>
      </c>
      <c r="F336" s="45" t="s">
        <v>1531</v>
      </c>
      <c r="G336" s="19">
        <v>2.8</v>
      </c>
      <c r="H336" s="1538">
        <v>4</v>
      </c>
      <c r="I336" s="162">
        <v>22</v>
      </c>
      <c r="J336" s="138"/>
      <c r="K336" s="20"/>
      <c r="L336" s="460">
        <v>0.25600000000000001</v>
      </c>
      <c r="M336" s="64">
        <f t="shared" ref="M336:M341" si="130">1000*L336</f>
        <v>256</v>
      </c>
      <c r="N336" s="65">
        <f t="shared" ref="N336:N341" si="131">IF(AND(G336&lt;&gt;"",M336&lt;&gt;""),M336/G336,"")</f>
        <v>91.428571428571431</v>
      </c>
      <c r="O336" s="65"/>
      <c r="P336" s="65"/>
      <c r="Q336" s="65">
        <v>4</v>
      </c>
      <c r="R336" s="65">
        <v>0</v>
      </c>
      <c r="S336" s="65"/>
      <c r="T336" s="65">
        <v>56</v>
      </c>
      <c r="U336" s="65"/>
      <c r="V336" s="65">
        <v>0</v>
      </c>
      <c r="W336" s="469">
        <v>0</v>
      </c>
      <c r="X336" s="110">
        <f t="shared" ref="X336:X341" si="132">125*L336</f>
        <v>32</v>
      </c>
      <c r="Y336" s="81">
        <v>0.75</v>
      </c>
      <c r="Z336" s="141">
        <f>IF(AND(L336&lt;&gt;"",Y336&lt;&gt;""),1000*L336/Y336,"")</f>
        <v>341.33333333333331</v>
      </c>
      <c r="AA336" s="371"/>
      <c r="AB336" s="54"/>
      <c r="AC336" s="99"/>
      <c r="AD336" s="110"/>
      <c r="AF336" s="6"/>
      <c r="AG336" s="236"/>
    </row>
    <row r="337" spans="1:33" x14ac:dyDescent="0.2">
      <c r="A337" s="182" t="s">
        <v>929</v>
      </c>
      <c r="B337" s="36" t="s">
        <v>701</v>
      </c>
      <c r="C337" s="227"/>
      <c r="D337" s="470" t="s">
        <v>708</v>
      </c>
      <c r="E337" s="134" t="s">
        <v>1022</v>
      </c>
      <c r="F337" s="45" t="s">
        <v>1134</v>
      </c>
      <c r="G337" s="19">
        <v>5.85</v>
      </c>
      <c r="H337" s="1538">
        <v>8</v>
      </c>
      <c r="I337" s="162">
        <v>79</v>
      </c>
      <c r="J337" s="138"/>
      <c r="K337" s="20"/>
      <c r="L337" s="460">
        <v>0.64</v>
      </c>
      <c r="M337" s="64">
        <f t="shared" si="130"/>
        <v>640</v>
      </c>
      <c r="N337" s="65">
        <f t="shared" si="131"/>
        <v>109.40170940170941</v>
      </c>
      <c r="O337" s="65"/>
      <c r="P337" s="65"/>
      <c r="Q337" s="65">
        <v>4</v>
      </c>
      <c r="R337" s="65">
        <v>0</v>
      </c>
      <c r="S337" s="65"/>
      <c r="T337" s="65">
        <v>80</v>
      </c>
      <c r="U337" s="65"/>
      <c r="V337" s="65">
        <v>2</v>
      </c>
      <c r="W337" s="65">
        <v>24</v>
      </c>
      <c r="X337" s="110">
        <f t="shared" si="132"/>
        <v>80</v>
      </c>
      <c r="Y337" s="81"/>
      <c r="Z337" s="141"/>
      <c r="AA337" s="371"/>
      <c r="AB337" s="54"/>
      <c r="AC337" s="99">
        <f>T337/V337</f>
        <v>40</v>
      </c>
      <c r="AD337" s="191">
        <f>V337*512*18/1000000</f>
        <v>1.8432E-2</v>
      </c>
      <c r="AF337" s="6"/>
      <c r="AG337" s="236"/>
    </row>
    <row r="338" spans="1:33" x14ac:dyDescent="0.2">
      <c r="A338" s="182" t="s">
        <v>929</v>
      </c>
      <c r="B338" s="36" t="s">
        <v>701</v>
      </c>
      <c r="C338" s="227"/>
      <c r="D338" s="470" t="s">
        <v>708</v>
      </c>
      <c r="E338" s="134" t="s">
        <v>1023</v>
      </c>
      <c r="F338" s="45" t="s">
        <v>1287</v>
      </c>
      <c r="G338" s="19">
        <v>7.35</v>
      </c>
      <c r="H338" s="1538">
        <v>2.5</v>
      </c>
      <c r="I338" s="162">
        <v>18</v>
      </c>
      <c r="J338" s="138"/>
      <c r="K338" s="20"/>
      <c r="L338" s="460">
        <v>1.28</v>
      </c>
      <c r="M338" s="64">
        <f t="shared" si="130"/>
        <v>1280</v>
      </c>
      <c r="N338" s="65">
        <f t="shared" si="131"/>
        <v>174.14965986394557</v>
      </c>
      <c r="O338" s="65"/>
      <c r="P338" s="65"/>
      <c r="Q338" s="65">
        <v>4</v>
      </c>
      <c r="R338" s="65">
        <v>1</v>
      </c>
      <c r="S338" s="65"/>
      <c r="T338" s="65">
        <v>108</v>
      </c>
      <c r="U338" s="65"/>
      <c r="V338" s="65">
        <v>7</v>
      </c>
      <c r="W338" s="65">
        <v>64</v>
      </c>
      <c r="X338" s="110">
        <f t="shared" si="132"/>
        <v>160</v>
      </c>
      <c r="Y338" s="81">
        <v>2</v>
      </c>
      <c r="Z338" s="141">
        <f>IF(AND(L338&lt;&gt;"",Y338&lt;&gt;""),1000*L338/Y338,"")</f>
        <v>640</v>
      </c>
      <c r="AA338" s="371"/>
      <c r="AB338" s="54"/>
      <c r="AC338" s="99">
        <f>T338/V338</f>
        <v>15.428571428571429</v>
      </c>
      <c r="AD338" s="191">
        <f>V338*512*18/1000000</f>
        <v>6.4512E-2</v>
      </c>
      <c r="AF338" s="6"/>
      <c r="AG338" s="236"/>
    </row>
    <row r="339" spans="1:33" x14ac:dyDescent="0.2">
      <c r="A339" s="182" t="s">
        <v>929</v>
      </c>
      <c r="B339" s="36" t="s">
        <v>701</v>
      </c>
      <c r="C339" s="227"/>
      <c r="D339" s="470" t="s">
        <v>708</v>
      </c>
      <c r="E339" s="134" t="s">
        <v>1024</v>
      </c>
      <c r="F339" s="45" t="s">
        <v>1134</v>
      </c>
      <c r="G339" s="19">
        <v>10.199999999999999</v>
      </c>
      <c r="H339" s="1538">
        <v>3.1</v>
      </c>
      <c r="I339" s="162">
        <v>29</v>
      </c>
      <c r="J339" s="138"/>
      <c r="K339" s="20"/>
      <c r="L339" s="460">
        <v>2.1120000000000001</v>
      </c>
      <c r="M339" s="64">
        <f t="shared" si="130"/>
        <v>2112</v>
      </c>
      <c r="N339" s="65">
        <f t="shared" si="131"/>
        <v>207.05882352941177</v>
      </c>
      <c r="O339" s="65"/>
      <c r="P339" s="65"/>
      <c r="Q339" s="65">
        <v>4</v>
      </c>
      <c r="R339" s="65">
        <v>1</v>
      </c>
      <c r="S339" s="65"/>
      <c r="T339" s="65">
        <v>207</v>
      </c>
      <c r="U339" s="65"/>
      <c r="V339" s="65">
        <v>8</v>
      </c>
      <c r="W339" s="65">
        <v>80</v>
      </c>
      <c r="X339" s="110">
        <f t="shared" si="132"/>
        <v>264</v>
      </c>
      <c r="Y339" s="81"/>
      <c r="Z339" s="141"/>
      <c r="AA339" s="371"/>
      <c r="AB339" s="54"/>
      <c r="AC339" s="99">
        <f>T339/V339</f>
        <v>25.875</v>
      </c>
      <c r="AD339" s="191">
        <f>V339*512*18/1000000</f>
        <v>7.3728000000000002E-2</v>
      </c>
      <c r="AF339" s="6"/>
      <c r="AG339" s="236"/>
    </row>
    <row r="340" spans="1:33" x14ac:dyDescent="0.2">
      <c r="A340" s="182" t="s">
        <v>929</v>
      </c>
      <c r="B340" s="36" t="s">
        <v>701</v>
      </c>
      <c r="C340" s="227"/>
      <c r="D340" s="470" t="s">
        <v>708</v>
      </c>
      <c r="E340" s="134" t="s">
        <v>1025</v>
      </c>
      <c r="F340" s="18" t="s">
        <v>1285</v>
      </c>
      <c r="G340" s="19">
        <v>10.65</v>
      </c>
      <c r="H340" s="1538">
        <v>8</v>
      </c>
      <c r="I340" s="162">
        <v>105</v>
      </c>
      <c r="J340" s="138"/>
      <c r="K340" s="20"/>
      <c r="L340" s="460">
        <v>4.32</v>
      </c>
      <c r="M340" s="64">
        <f t="shared" si="130"/>
        <v>4320</v>
      </c>
      <c r="N340" s="65">
        <f t="shared" si="131"/>
        <v>405.63380281690138</v>
      </c>
      <c r="O340" s="65"/>
      <c r="P340" s="65"/>
      <c r="Q340" s="65">
        <v>4</v>
      </c>
      <c r="R340" s="65">
        <v>2</v>
      </c>
      <c r="S340" s="65"/>
      <c r="T340" s="65">
        <v>279</v>
      </c>
      <c r="U340" s="65"/>
      <c r="V340" s="65">
        <v>10</v>
      </c>
      <c r="W340" s="65">
        <v>96</v>
      </c>
      <c r="X340" s="110">
        <f t="shared" si="132"/>
        <v>540</v>
      </c>
      <c r="Y340" s="81"/>
      <c r="Z340" s="141"/>
      <c r="AA340" s="371"/>
      <c r="AB340" s="54"/>
      <c r="AC340" s="99">
        <f>T340/V340</f>
        <v>27.9</v>
      </c>
      <c r="AD340" s="191">
        <f>V340*512*18/1000000</f>
        <v>9.2160000000000006E-2</v>
      </c>
      <c r="AF340" s="6"/>
      <c r="AG340" s="236"/>
    </row>
    <row r="341" spans="1:33" ht="13.5" thickBot="1" x14ac:dyDescent="0.25">
      <c r="A341" s="182" t="s">
        <v>929</v>
      </c>
      <c r="B341" s="36" t="s">
        <v>701</v>
      </c>
      <c r="C341" s="228"/>
      <c r="D341" s="470" t="s">
        <v>708</v>
      </c>
      <c r="E341" s="134" t="s">
        <v>1026</v>
      </c>
      <c r="F341" s="133" t="s">
        <v>1286</v>
      </c>
      <c r="G341" s="23">
        <v>14.45</v>
      </c>
      <c r="H341" s="467">
        <v>14</v>
      </c>
      <c r="I341" s="163">
        <v>115</v>
      </c>
      <c r="J341" s="150"/>
      <c r="K341" s="24"/>
      <c r="L341" s="256">
        <v>6.8639999999999999</v>
      </c>
      <c r="M341" s="64">
        <f t="shared" si="130"/>
        <v>6864</v>
      </c>
      <c r="N341" s="65">
        <f t="shared" si="131"/>
        <v>475.01730103806233</v>
      </c>
      <c r="O341" s="68"/>
      <c r="P341" s="68"/>
      <c r="Q341" s="68">
        <v>4</v>
      </c>
      <c r="R341" s="68">
        <v>2</v>
      </c>
      <c r="S341" s="68"/>
      <c r="T341" s="68">
        <v>335</v>
      </c>
      <c r="U341" s="68"/>
      <c r="V341" s="68">
        <v>26</v>
      </c>
      <c r="W341" s="68">
        <v>256</v>
      </c>
      <c r="X341" s="110">
        <f t="shared" si="132"/>
        <v>858</v>
      </c>
      <c r="Y341" s="82"/>
      <c r="Z341" s="142"/>
      <c r="AA341" s="374"/>
      <c r="AB341" s="55"/>
      <c r="AC341" s="99">
        <f>T341/V341</f>
        <v>12.884615384615385</v>
      </c>
      <c r="AD341" s="191">
        <f>V341*512*18/1000000</f>
        <v>0.239616</v>
      </c>
      <c r="AF341" s="6"/>
      <c r="AG341" s="236"/>
    </row>
    <row r="342" spans="1:33" ht="13.5" customHeight="1" x14ac:dyDescent="0.2">
      <c r="A342" s="183"/>
      <c r="B342" s="48" t="s">
        <v>716</v>
      </c>
      <c r="C342" s="226"/>
      <c r="D342" s="212"/>
      <c r="E342" s="12" t="s">
        <v>1525</v>
      </c>
      <c r="F342" s="466"/>
      <c r="G342" s="14" t="s">
        <v>22</v>
      </c>
      <c r="H342" s="132" t="s">
        <v>529</v>
      </c>
      <c r="I342" s="161"/>
      <c r="J342" s="145"/>
      <c r="K342" s="16" t="s">
        <v>22</v>
      </c>
      <c r="L342" s="244" t="s">
        <v>23</v>
      </c>
      <c r="M342" s="60"/>
      <c r="N342" s="385">
        <f>AVERAGE(N343:N347)</f>
        <v>551.48832067510898</v>
      </c>
      <c r="O342" s="61"/>
      <c r="P342" s="61"/>
      <c r="Q342" s="399" t="s">
        <v>1529</v>
      </c>
      <c r="R342" s="61" t="s">
        <v>1528</v>
      </c>
      <c r="S342" s="61"/>
      <c r="T342" s="399" t="s">
        <v>1029</v>
      </c>
      <c r="U342" s="399" t="s">
        <v>1030</v>
      </c>
      <c r="V342" s="468" t="s">
        <v>1027</v>
      </c>
      <c r="W342" s="61" t="s">
        <v>66</v>
      </c>
      <c r="X342" s="109" t="s">
        <v>158</v>
      </c>
      <c r="Y342" s="80"/>
      <c r="Z342" s="164"/>
      <c r="AA342" s="373"/>
      <c r="AB342" s="92" t="e">
        <f>AVERAGE(AB343:AB345)</f>
        <v>#DIV/0!</v>
      </c>
      <c r="AC342" s="98">
        <f>AVERAGE(AC343:AC347)</f>
        <v>24.467857142857145</v>
      </c>
      <c r="AD342" s="109" t="s">
        <v>650</v>
      </c>
      <c r="AG342" s="471" t="s">
        <v>1527</v>
      </c>
    </row>
    <row r="343" spans="1:33" x14ac:dyDescent="0.2">
      <c r="A343" s="182"/>
      <c r="B343" s="36" t="s">
        <v>701</v>
      </c>
      <c r="C343" s="227"/>
      <c r="D343" s="470" t="s">
        <v>708</v>
      </c>
      <c r="E343" s="134" t="s">
        <v>1532</v>
      </c>
      <c r="F343" s="45" t="s">
        <v>1781</v>
      </c>
      <c r="G343" s="19">
        <v>3.41</v>
      </c>
      <c r="H343" s="1538">
        <v>6</v>
      </c>
      <c r="I343" s="162">
        <v>100</v>
      </c>
      <c r="J343" s="138"/>
      <c r="K343" s="20"/>
      <c r="L343" s="460">
        <v>0.64</v>
      </c>
      <c r="M343" s="64">
        <f t="shared" ref="M343:M348" si="133">1000*L343</f>
        <v>640</v>
      </c>
      <c r="N343" s="65">
        <f t="shared" ref="N343:N348" si="134">IF(AND(G343&lt;&gt;"",M343&lt;&gt;""),M343/G343,"")</f>
        <v>187.68328445747801</v>
      </c>
      <c r="O343" s="65"/>
      <c r="P343" s="65"/>
      <c r="Q343" s="65">
        <v>5</v>
      </c>
      <c r="R343" s="65">
        <v>1</v>
      </c>
      <c r="S343" s="65"/>
      <c r="T343" s="65">
        <v>100</v>
      </c>
      <c r="U343" s="65"/>
      <c r="V343" s="65">
        <v>7</v>
      </c>
      <c r="W343" s="65">
        <v>64</v>
      </c>
      <c r="X343" s="110">
        <f t="shared" ref="X343:X348" si="135">125*L343</f>
        <v>80</v>
      </c>
      <c r="Y343" s="81">
        <v>1</v>
      </c>
      <c r="Z343" s="141">
        <f>IF(AND(L343&lt;&gt;"",Y343&lt;&gt;""),1000*L343/Y343,"")</f>
        <v>640</v>
      </c>
      <c r="AA343" s="371"/>
      <c r="AB343" s="54"/>
      <c r="AC343" s="889">
        <f t="shared" ref="AC343:AC348" si="136">T343/V343</f>
        <v>14.285714285714286</v>
      </c>
      <c r="AD343" s="191">
        <f t="shared" ref="AD343:AD348" si="137">V343*512*18/1000000</f>
        <v>6.4512E-2</v>
      </c>
      <c r="AF343" s="6"/>
      <c r="AG343" s="236" t="s">
        <v>1526</v>
      </c>
    </row>
    <row r="344" spans="1:33" x14ac:dyDescent="0.2">
      <c r="A344" s="182" t="s">
        <v>929</v>
      </c>
      <c r="B344" s="36" t="s">
        <v>701</v>
      </c>
      <c r="C344" s="227"/>
      <c r="D344" s="470" t="s">
        <v>708</v>
      </c>
      <c r="E344" s="134" t="s">
        <v>1533</v>
      </c>
      <c r="F344" s="45" t="s">
        <v>1608</v>
      </c>
      <c r="G344" s="19">
        <v>2.6</v>
      </c>
      <c r="H344" s="1538">
        <v>2.5</v>
      </c>
      <c r="I344" s="162">
        <v>25</v>
      </c>
      <c r="J344" s="138"/>
      <c r="K344" s="20"/>
      <c r="L344" s="460">
        <v>1.3</v>
      </c>
      <c r="M344" s="64">
        <f t="shared" si="133"/>
        <v>1300</v>
      </c>
      <c r="N344" s="65">
        <f t="shared" si="134"/>
        <v>500</v>
      </c>
      <c r="O344" s="65"/>
      <c r="P344" s="65"/>
      <c r="Q344" s="65">
        <v>5</v>
      </c>
      <c r="R344" s="65">
        <v>1</v>
      </c>
      <c r="S344" s="65"/>
      <c r="T344" s="65">
        <v>206</v>
      </c>
      <c r="U344" s="65"/>
      <c r="V344" s="65">
        <v>7</v>
      </c>
      <c r="W344" s="65">
        <v>64</v>
      </c>
      <c r="X344" s="110">
        <f t="shared" si="135"/>
        <v>162.5</v>
      </c>
      <c r="Y344" s="81"/>
      <c r="Z344" s="141" t="str">
        <f>IF(AND(L344&lt;&gt;"",Y344&lt;&gt;""),1000*L344/Y344,"")</f>
        <v/>
      </c>
      <c r="AA344" s="371"/>
      <c r="AB344" s="54"/>
      <c r="AC344" s="889">
        <f t="shared" si="136"/>
        <v>29.428571428571427</v>
      </c>
      <c r="AD344" s="191">
        <f t="shared" si="137"/>
        <v>6.4512E-2</v>
      </c>
      <c r="AF344" s="6"/>
      <c r="AG344" s="236" t="s">
        <v>1676</v>
      </c>
    </row>
    <row r="345" spans="1:33" x14ac:dyDescent="0.2">
      <c r="A345" s="401" t="s">
        <v>929</v>
      </c>
      <c r="B345" s="36" t="s">
        <v>701</v>
      </c>
      <c r="C345" s="227"/>
      <c r="D345" s="470" t="s">
        <v>708</v>
      </c>
      <c r="E345" s="134" t="s">
        <v>1534</v>
      </c>
      <c r="F345" s="45" t="s">
        <v>1610</v>
      </c>
      <c r="G345" s="19">
        <v>3.7</v>
      </c>
      <c r="H345" s="1538">
        <v>3.2</v>
      </c>
      <c r="I345" s="162">
        <v>38</v>
      </c>
      <c r="J345" s="138"/>
      <c r="K345" s="20"/>
      <c r="L345" s="460">
        <v>2.1120000000000001</v>
      </c>
      <c r="M345" s="64">
        <f t="shared" si="133"/>
        <v>2112</v>
      </c>
      <c r="N345" s="65">
        <f t="shared" si="134"/>
        <v>570.81081081081084</v>
      </c>
      <c r="O345" s="65"/>
      <c r="P345" s="65"/>
      <c r="Q345" s="65">
        <v>5</v>
      </c>
      <c r="R345" s="65">
        <v>1</v>
      </c>
      <c r="S345" s="65"/>
      <c r="T345" s="65">
        <v>269</v>
      </c>
      <c r="U345" s="65"/>
      <c r="V345" s="65">
        <v>8</v>
      </c>
      <c r="W345" s="65">
        <v>80</v>
      </c>
      <c r="X345" s="110">
        <f t="shared" si="135"/>
        <v>264</v>
      </c>
      <c r="Y345" s="81"/>
      <c r="Z345" s="141"/>
      <c r="AA345" s="371"/>
      <c r="AB345" s="54"/>
      <c r="AC345" s="889">
        <f t="shared" si="136"/>
        <v>33.625</v>
      </c>
      <c r="AD345" s="191">
        <f t="shared" si="137"/>
        <v>7.3728000000000002E-2</v>
      </c>
      <c r="AF345" s="6"/>
      <c r="AG345" s="236" t="s">
        <v>2184</v>
      </c>
    </row>
    <row r="346" spans="1:33" x14ac:dyDescent="0.2">
      <c r="A346" s="401" t="s">
        <v>929</v>
      </c>
      <c r="B346" s="41" t="s">
        <v>701</v>
      </c>
      <c r="C346" s="227"/>
      <c r="D346" s="229" t="s">
        <v>708</v>
      </c>
      <c r="E346" s="134" t="s">
        <v>1535</v>
      </c>
      <c r="F346" s="45" t="s">
        <v>1609</v>
      </c>
      <c r="G346" s="19">
        <v>4.95</v>
      </c>
      <c r="H346" s="1538">
        <v>3.8</v>
      </c>
      <c r="I346" s="162">
        <v>60</v>
      </c>
      <c r="J346" s="138"/>
      <c r="K346" s="20"/>
      <c r="L346" s="460">
        <v>4.32</v>
      </c>
      <c r="M346" s="64">
        <f t="shared" si="133"/>
        <v>4320</v>
      </c>
      <c r="N346" s="65">
        <f t="shared" si="134"/>
        <v>872.72727272727275</v>
      </c>
      <c r="O346" s="65"/>
      <c r="P346" s="65"/>
      <c r="Q346" s="65">
        <v>5</v>
      </c>
      <c r="R346" s="65">
        <v>2</v>
      </c>
      <c r="S346" s="65"/>
      <c r="T346" s="65">
        <v>325</v>
      </c>
      <c r="U346" s="65"/>
      <c r="V346" s="65">
        <v>10</v>
      </c>
      <c r="W346" s="65">
        <v>96</v>
      </c>
      <c r="X346" s="110">
        <f t="shared" si="135"/>
        <v>540</v>
      </c>
      <c r="Y346" s="81"/>
      <c r="Z346" s="141"/>
      <c r="AA346" s="371"/>
      <c r="AB346" s="54"/>
      <c r="AC346" s="889">
        <f t="shared" si="136"/>
        <v>32.5</v>
      </c>
      <c r="AD346" s="191">
        <f t="shared" si="137"/>
        <v>9.2160000000000006E-2</v>
      </c>
      <c r="AF346" s="6"/>
      <c r="AG346" s="236"/>
    </row>
    <row r="347" spans="1:33" x14ac:dyDescent="0.2">
      <c r="A347" s="401" t="s">
        <v>929</v>
      </c>
      <c r="B347" s="41" t="s">
        <v>701</v>
      </c>
      <c r="C347" s="227"/>
      <c r="D347" s="229" t="s">
        <v>708</v>
      </c>
      <c r="E347" s="134" t="s">
        <v>1536</v>
      </c>
      <c r="F347" s="45" t="s">
        <v>1530</v>
      </c>
      <c r="G347" s="19">
        <v>10.961</v>
      </c>
      <c r="H347" s="1538">
        <v>9</v>
      </c>
      <c r="I347" s="162">
        <v>206</v>
      </c>
      <c r="J347" s="138"/>
      <c r="K347" s="20"/>
      <c r="L347" s="460">
        <v>6.8639999999999999</v>
      </c>
      <c r="M347" s="64">
        <f t="shared" si="133"/>
        <v>6864</v>
      </c>
      <c r="N347" s="65">
        <f t="shared" si="134"/>
        <v>626.22023537998359</v>
      </c>
      <c r="O347" s="65"/>
      <c r="P347" s="65"/>
      <c r="Q347" s="65">
        <v>5</v>
      </c>
      <c r="R347" s="65">
        <v>2</v>
      </c>
      <c r="S347" s="65"/>
      <c r="T347" s="65">
        <v>325</v>
      </c>
      <c r="U347" s="65"/>
      <c r="V347" s="65">
        <v>26</v>
      </c>
      <c r="W347" s="65">
        <v>256</v>
      </c>
      <c r="X347" s="110">
        <f t="shared" si="135"/>
        <v>858</v>
      </c>
      <c r="Y347" s="81"/>
      <c r="Z347" s="141"/>
      <c r="AA347" s="371"/>
      <c r="AB347" s="54"/>
      <c r="AC347" s="889">
        <f t="shared" si="136"/>
        <v>12.5</v>
      </c>
      <c r="AD347" s="191">
        <f t="shared" si="137"/>
        <v>0.239616</v>
      </c>
      <c r="AF347" s="6"/>
      <c r="AG347" s="236"/>
    </row>
    <row r="348" spans="1:33" ht="13.5" thickBot="1" x14ac:dyDescent="0.25">
      <c r="A348" s="401" t="s">
        <v>929</v>
      </c>
      <c r="B348" s="33" t="s">
        <v>701</v>
      </c>
      <c r="C348" s="228"/>
      <c r="D348" s="231" t="s">
        <v>708</v>
      </c>
      <c r="E348" s="417" t="s">
        <v>2056</v>
      </c>
      <c r="F348" s="133" t="s">
        <v>1530</v>
      </c>
      <c r="G348" s="23">
        <v>12.47</v>
      </c>
      <c r="H348" s="1545">
        <v>9</v>
      </c>
      <c r="I348" s="163">
        <v>206</v>
      </c>
      <c r="J348" s="150"/>
      <c r="K348" s="24"/>
      <c r="L348" s="256">
        <v>9.4</v>
      </c>
      <c r="M348" s="67">
        <f t="shared" si="133"/>
        <v>9400</v>
      </c>
      <c r="N348" s="68">
        <f t="shared" si="134"/>
        <v>753.80914194065758</v>
      </c>
      <c r="O348" s="68"/>
      <c r="P348" s="68"/>
      <c r="Q348" s="68">
        <v>5</v>
      </c>
      <c r="R348" s="68">
        <v>2</v>
      </c>
      <c r="S348" s="68"/>
      <c r="T348" s="68">
        <v>384</v>
      </c>
      <c r="U348" s="68"/>
      <c r="V348" s="68">
        <v>48</v>
      </c>
      <c r="W348" s="68">
        <v>448</v>
      </c>
      <c r="X348" s="111">
        <f t="shared" si="135"/>
        <v>1175</v>
      </c>
      <c r="Y348" s="82"/>
      <c r="Z348" s="142"/>
      <c r="AA348" s="374"/>
      <c r="AB348" s="55"/>
      <c r="AC348" s="1308">
        <f t="shared" si="136"/>
        <v>8</v>
      </c>
      <c r="AD348" s="192">
        <f t="shared" si="137"/>
        <v>0.44236799999999998</v>
      </c>
      <c r="AF348" s="6"/>
      <c r="AG348" s="236"/>
    </row>
    <row r="349" spans="1:33" ht="13.5" customHeight="1" x14ac:dyDescent="0.2">
      <c r="A349" s="183"/>
      <c r="B349" s="48" t="s">
        <v>716</v>
      </c>
      <c r="C349" s="226"/>
      <c r="D349" s="212"/>
      <c r="E349" s="12" t="s">
        <v>2219</v>
      </c>
      <c r="F349" s="466"/>
      <c r="G349" s="14" t="s">
        <v>22</v>
      </c>
      <c r="H349" s="132" t="s">
        <v>529</v>
      </c>
      <c r="I349" s="161"/>
      <c r="J349" s="145"/>
      <c r="K349" s="16" t="s">
        <v>22</v>
      </c>
      <c r="L349" s="244" t="s">
        <v>23</v>
      </c>
      <c r="M349" s="60"/>
      <c r="N349" s="385">
        <f>AVERAGE(N350:N351)</f>
        <v>687.21198507521126</v>
      </c>
      <c r="O349" s="61"/>
      <c r="P349" s="61"/>
      <c r="Q349" s="399" t="s">
        <v>1529</v>
      </c>
      <c r="R349" s="61" t="s">
        <v>1528</v>
      </c>
      <c r="S349" s="61"/>
      <c r="T349" s="399" t="s">
        <v>1029</v>
      </c>
      <c r="U349" s="399" t="s">
        <v>1030</v>
      </c>
      <c r="V349" s="468" t="s">
        <v>1027</v>
      </c>
      <c r="W349" s="61" t="s">
        <v>66</v>
      </c>
      <c r="X349" s="109" t="s">
        <v>158</v>
      </c>
      <c r="Y349" s="80"/>
      <c r="Z349" s="164"/>
      <c r="AA349" s="373"/>
      <c r="AB349" s="92">
        <f>AVERAGE(AB350:AB354)</f>
        <v>548.61574125218101</v>
      </c>
      <c r="AC349" s="98">
        <f>AVERAGE(AC350:AC356)</f>
        <v>21.876348954058596</v>
      </c>
      <c r="AD349" s="109" t="s">
        <v>650</v>
      </c>
      <c r="AG349" s="471" t="s">
        <v>2220</v>
      </c>
    </row>
    <row r="350" spans="1:33" x14ac:dyDescent="0.2">
      <c r="A350" s="182"/>
      <c r="B350" s="41" t="s">
        <v>701</v>
      </c>
      <c r="C350" s="227"/>
      <c r="D350" s="229" t="s">
        <v>708</v>
      </c>
      <c r="E350" s="134" t="s">
        <v>1536</v>
      </c>
      <c r="F350" s="45"/>
      <c r="G350" s="19">
        <v>11.06</v>
      </c>
      <c r="H350" s="462">
        <v>10</v>
      </c>
      <c r="I350" s="162">
        <v>58</v>
      </c>
      <c r="J350" s="138"/>
      <c r="K350" s="20"/>
      <c r="L350" s="460">
        <v>6.8639999999999999</v>
      </c>
      <c r="M350" s="64">
        <f>1000*L350</f>
        <v>6864</v>
      </c>
      <c r="N350" s="65">
        <f>IF(AND(G350&lt;&gt;"",M350&lt;&gt;""),M350/G350,"")</f>
        <v>620.61482820976494</v>
      </c>
      <c r="O350" s="65"/>
      <c r="P350" s="65"/>
      <c r="Q350" s="65">
        <v>5</v>
      </c>
      <c r="R350" s="65">
        <v>2</v>
      </c>
      <c r="S350" s="65"/>
      <c r="T350" s="65">
        <v>206</v>
      </c>
      <c r="U350" s="65"/>
      <c r="V350" s="65">
        <v>10</v>
      </c>
      <c r="W350" s="65">
        <v>1122</v>
      </c>
      <c r="X350" s="110">
        <f>125*L350</f>
        <v>858</v>
      </c>
      <c r="Y350" s="81"/>
      <c r="Z350" s="141"/>
      <c r="AA350" s="371"/>
      <c r="AB350" s="54"/>
      <c r="AC350" s="889">
        <f>T350/V350</f>
        <v>20.6</v>
      </c>
      <c r="AD350" s="191">
        <f>V350*512*18/1000000</f>
        <v>9.2160000000000006E-2</v>
      </c>
      <c r="AF350" s="6"/>
      <c r="AG350" s="236"/>
    </row>
    <row r="351" spans="1:33" ht="13.5" thickBot="1" x14ac:dyDescent="0.25">
      <c r="A351" s="182" t="s">
        <v>929</v>
      </c>
      <c r="B351" s="33" t="s">
        <v>701</v>
      </c>
      <c r="C351" s="228"/>
      <c r="D351" s="231" t="s">
        <v>708</v>
      </c>
      <c r="E351" s="417" t="s">
        <v>2056</v>
      </c>
      <c r="F351" s="133"/>
      <c r="G351" s="23">
        <v>12.47</v>
      </c>
      <c r="H351" s="467">
        <v>10</v>
      </c>
      <c r="I351" s="163">
        <v>58</v>
      </c>
      <c r="J351" s="150"/>
      <c r="K351" s="24"/>
      <c r="L351" s="256">
        <v>9.4</v>
      </c>
      <c r="M351" s="67">
        <f>1000*L351</f>
        <v>9400</v>
      </c>
      <c r="N351" s="68">
        <f>IF(AND(G351&lt;&gt;"",M351&lt;&gt;""),M351/G351,"")</f>
        <v>753.80914194065758</v>
      </c>
      <c r="O351" s="68"/>
      <c r="P351" s="68"/>
      <c r="Q351" s="68">
        <v>5</v>
      </c>
      <c r="R351" s="68">
        <v>2</v>
      </c>
      <c r="S351" s="68"/>
      <c r="T351" s="68">
        <v>383</v>
      </c>
      <c r="U351" s="68"/>
      <c r="V351" s="68">
        <v>46</v>
      </c>
      <c r="W351" s="68">
        <v>2693</v>
      </c>
      <c r="X351" s="111">
        <f>125*L351</f>
        <v>1175</v>
      </c>
      <c r="Y351" s="82"/>
      <c r="Z351" s="142"/>
      <c r="AA351" s="374"/>
      <c r="AB351" s="55"/>
      <c r="AC351" s="1308">
        <f>T351/V351</f>
        <v>8.3260869565217384</v>
      </c>
      <c r="AD351" s="192">
        <f>V351*512*18/1000000</f>
        <v>0.42393599999999998</v>
      </c>
      <c r="AF351" s="6"/>
      <c r="AG351" s="236"/>
    </row>
    <row r="352" spans="1:33" ht="13.5" customHeight="1" x14ac:dyDescent="0.2">
      <c r="A352" s="183"/>
      <c r="B352" s="48" t="s">
        <v>716</v>
      </c>
      <c r="C352" s="226"/>
      <c r="D352" s="212"/>
      <c r="E352" s="12" t="s">
        <v>2631</v>
      </c>
      <c r="F352" s="466"/>
      <c r="G352" s="14" t="s">
        <v>22</v>
      </c>
      <c r="H352" s="132" t="s">
        <v>529</v>
      </c>
      <c r="I352" s="161"/>
      <c r="J352" s="145"/>
      <c r="K352" s="16" t="s">
        <v>22</v>
      </c>
      <c r="L352" s="244" t="s">
        <v>23</v>
      </c>
      <c r="M352" s="60"/>
      <c r="N352" s="385">
        <f>AVERAGE(N353:N354)</f>
        <v>312.56235000285324</v>
      </c>
      <c r="O352" s="61"/>
      <c r="P352" s="61"/>
      <c r="Q352" s="61" t="s">
        <v>1737</v>
      </c>
      <c r="R352" s="61" t="s">
        <v>1528</v>
      </c>
      <c r="S352" s="61"/>
      <c r="T352" s="399" t="s">
        <v>1029</v>
      </c>
      <c r="U352" s="399" t="s">
        <v>1030</v>
      </c>
      <c r="V352" s="468" t="s">
        <v>206</v>
      </c>
      <c r="W352" s="399" t="s">
        <v>2632</v>
      </c>
      <c r="X352" s="109" t="s">
        <v>158</v>
      </c>
      <c r="Y352" s="80"/>
      <c r="Z352" s="164"/>
      <c r="AA352" s="373"/>
      <c r="AB352" s="92">
        <f>AVERAGE(AB353:AB357)</f>
        <v>598.32629650087244</v>
      </c>
      <c r="AC352" s="98">
        <f>AVERAGE(AC353:AC359)</f>
        <v>22.326044465236055</v>
      </c>
      <c r="AD352" s="109" t="s">
        <v>650</v>
      </c>
      <c r="AG352" s="471" t="s">
        <v>2634</v>
      </c>
    </row>
    <row r="353" spans="1:33" ht="13.5" thickBot="1" x14ac:dyDescent="0.25">
      <c r="A353" s="182"/>
      <c r="B353" s="41" t="s">
        <v>701</v>
      </c>
      <c r="C353" s="227"/>
      <c r="D353" s="229" t="s">
        <v>708</v>
      </c>
      <c r="E353" s="134" t="s">
        <v>2633</v>
      </c>
      <c r="F353" s="45"/>
      <c r="G353" s="19"/>
      <c r="H353" s="462">
        <v>14</v>
      </c>
      <c r="I353" s="162"/>
      <c r="J353" s="138"/>
      <c r="K353" s="20"/>
      <c r="L353" s="1850">
        <v>25</v>
      </c>
      <c r="M353" s="1851">
        <f>L353</f>
        <v>25</v>
      </c>
      <c r="N353" s="65" t="str">
        <f>IF(AND(G353&lt;&gt;"",M353&lt;&gt;""),M353/G353,"")</f>
        <v/>
      </c>
      <c r="O353" s="65"/>
      <c r="P353" s="65"/>
      <c r="Q353" s="65">
        <v>20</v>
      </c>
      <c r="R353" s="65">
        <v>2</v>
      </c>
      <c r="S353" s="65"/>
      <c r="T353" s="65">
        <v>206</v>
      </c>
      <c r="U353" s="65"/>
      <c r="V353" s="65">
        <v>80</v>
      </c>
      <c r="W353" s="154">
        <v>0.58982400000000001</v>
      </c>
      <c r="X353" s="110">
        <f>125*L353</f>
        <v>3125</v>
      </c>
      <c r="Y353" s="81"/>
      <c r="Z353" s="141"/>
      <c r="AA353" s="371"/>
      <c r="AB353" s="54"/>
      <c r="AC353" s="889">
        <f>T353/V353</f>
        <v>2.5750000000000002</v>
      </c>
      <c r="AD353" s="191">
        <f>V353*512*36/1000000+W353</f>
        <v>2.064384</v>
      </c>
      <c r="AF353" s="6"/>
      <c r="AG353" s="236"/>
    </row>
    <row r="354" spans="1:33" ht="13.5" customHeight="1" x14ac:dyDescent="0.2">
      <c r="A354" s="401"/>
      <c r="B354" s="48" t="s">
        <v>716</v>
      </c>
      <c r="C354" s="226"/>
      <c r="D354" s="212"/>
      <c r="E354" s="12" t="s">
        <v>156</v>
      </c>
      <c r="F354" s="13"/>
      <c r="G354" s="123" t="s">
        <v>22</v>
      </c>
      <c r="H354" s="132" t="s">
        <v>528</v>
      </c>
      <c r="I354" s="161"/>
      <c r="J354" s="136"/>
      <c r="K354" s="16" t="s">
        <v>22</v>
      </c>
      <c r="L354" s="244" t="s">
        <v>23</v>
      </c>
      <c r="M354" s="60"/>
      <c r="N354" s="380">
        <f>AVERAGE(N355:N366)</f>
        <v>312.56235000285324</v>
      </c>
      <c r="O354" s="61"/>
      <c r="P354" s="61"/>
      <c r="Q354" s="61" t="s">
        <v>1737</v>
      </c>
      <c r="R354" s="61"/>
      <c r="S354" s="61"/>
      <c r="T354" s="61"/>
      <c r="U354" s="61"/>
      <c r="V354" s="62" t="s">
        <v>157</v>
      </c>
      <c r="W354" s="61"/>
      <c r="X354" s="109" t="s">
        <v>158</v>
      </c>
      <c r="Y354" s="80"/>
      <c r="Z354" s="164"/>
      <c r="AA354" s="370">
        <f>AVERAGE(AA355:AA366)</f>
        <v>652.79999999999995</v>
      </c>
      <c r="AB354" s="92">
        <f>AVERAGE(AB355:AB366)</f>
        <v>498.90518600348963</v>
      </c>
      <c r="AC354" s="98">
        <f>AVERAGE(AC355:AC366)</f>
        <v>16.640644589985708</v>
      </c>
      <c r="AD354" s="109" t="s">
        <v>650</v>
      </c>
      <c r="AG354" s="5" t="s">
        <v>159</v>
      </c>
    </row>
    <row r="355" spans="1:33" x14ac:dyDescent="0.2">
      <c r="A355" s="401" t="s">
        <v>26</v>
      </c>
      <c r="B355" s="41" t="s">
        <v>702</v>
      </c>
      <c r="C355" s="227"/>
      <c r="D355" s="213"/>
      <c r="E355" s="118" t="s">
        <v>160</v>
      </c>
      <c r="F355" s="18" t="s">
        <v>323</v>
      </c>
      <c r="G355" s="19">
        <v>7.1</v>
      </c>
      <c r="H355" s="124">
        <v>14</v>
      </c>
      <c r="I355" s="162">
        <v>67</v>
      </c>
      <c r="J355" s="138" t="s">
        <v>161</v>
      </c>
      <c r="K355" s="20">
        <v>20.079999999999998</v>
      </c>
      <c r="L355" s="245">
        <f t="shared" ref="L355:L366" si="138">8*X355</f>
        <v>1536</v>
      </c>
      <c r="M355" s="151">
        <f t="shared" ref="M355:M366" si="139">8*X355</f>
        <v>1536</v>
      </c>
      <c r="N355" s="65">
        <f t="shared" ref="N355:N366" si="140">IF(AND(G355&lt;&gt;"",M355&lt;&gt;""),M355/G355,"")</f>
        <v>216.33802816901411</v>
      </c>
      <c r="O355" s="65">
        <f t="shared" ref="O355:O366" si="141">IF(AND(G355&lt;&gt;"",L355&lt;&gt;""),L355/G355,"")</f>
        <v>216.33802816901411</v>
      </c>
      <c r="P355" s="65"/>
      <c r="Q355" s="65">
        <v>0</v>
      </c>
      <c r="R355" s="65">
        <v>2</v>
      </c>
      <c r="S355" s="65"/>
      <c r="T355" s="65">
        <v>112</v>
      </c>
      <c r="U355" s="65"/>
      <c r="V355" s="65">
        <v>2</v>
      </c>
      <c r="W355" s="65"/>
      <c r="X355" s="110">
        <v>192</v>
      </c>
      <c r="Y355" s="81"/>
      <c r="Z355" s="141"/>
      <c r="AA355" s="371"/>
      <c r="AB355" s="54">
        <f t="shared" ref="AB355:AB366" si="142">L355/V355</f>
        <v>768</v>
      </c>
      <c r="AC355" s="99">
        <f t="shared" ref="AC355:AC366" si="143">T355/V355</f>
        <v>56</v>
      </c>
      <c r="AD355" s="191">
        <f t="shared" ref="AD355:AD366" si="144">256*36*V355/1000000</f>
        <v>1.8432E-2</v>
      </c>
      <c r="AF355" s="6"/>
    </row>
    <row r="356" spans="1:33" x14ac:dyDescent="0.2">
      <c r="A356" s="401" t="s">
        <v>26</v>
      </c>
      <c r="B356" s="41" t="s">
        <v>702</v>
      </c>
      <c r="C356" s="227"/>
      <c r="D356" s="213"/>
      <c r="E356" s="118" t="s">
        <v>162</v>
      </c>
      <c r="F356" s="18" t="s">
        <v>742</v>
      </c>
      <c r="G356" s="19">
        <v>11.96</v>
      </c>
      <c r="H356" s="124">
        <v>14</v>
      </c>
      <c r="I356" s="162">
        <v>67</v>
      </c>
      <c r="J356" s="138" t="s">
        <v>163</v>
      </c>
      <c r="K356" s="20">
        <v>31.67</v>
      </c>
      <c r="L356" s="245">
        <f t="shared" si="138"/>
        <v>3072</v>
      </c>
      <c r="M356" s="151">
        <f t="shared" si="139"/>
        <v>3072</v>
      </c>
      <c r="N356" s="65">
        <f t="shared" si="140"/>
        <v>256.8561872909699</v>
      </c>
      <c r="O356" s="65">
        <f t="shared" si="141"/>
        <v>256.8561872909699</v>
      </c>
      <c r="P356" s="65"/>
      <c r="Q356" s="65">
        <v>0</v>
      </c>
      <c r="R356" s="65">
        <v>2</v>
      </c>
      <c r="S356" s="65"/>
      <c r="T356" s="65">
        <v>160</v>
      </c>
      <c r="U356" s="65"/>
      <c r="V356" s="65">
        <v>6</v>
      </c>
      <c r="W356" s="65"/>
      <c r="X356" s="110">
        <v>384</v>
      </c>
      <c r="Y356" s="81"/>
      <c r="Z356" s="141"/>
      <c r="AA356" s="371"/>
      <c r="AB356" s="54">
        <f t="shared" si="142"/>
        <v>512</v>
      </c>
      <c r="AC356" s="99">
        <f t="shared" si="143"/>
        <v>26.666666666666668</v>
      </c>
      <c r="AD356" s="191">
        <f t="shared" si="144"/>
        <v>5.5295999999999998E-2</v>
      </c>
      <c r="AF356" s="6"/>
    </row>
    <row r="357" spans="1:33" x14ac:dyDescent="0.2">
      <c r="A357" s="401" t="s">
        <v>26</v>
      </c>
      <c r="B357" s="41" t="s">
        <v>702</v>
      </c>
      <c r="C357" s="227"/>
      <c r="D357" s="213"/>
      <c r="E357" s="118" t="s">
        <v>164</v>
      </c>
      <c r="F357" s="18" t="s">
        <v>741</v>
      </c>
      <c r="G357" s="19">
        <v>17.899999999999999</v>
      </c>
      <c r="H357" s="124">
        <v>17</v>
      </c>
      <c r="I357" s="162">
        <v>195</v>
      </c>
      <c r="J357" s="138" t="s">
        <v>165</v>
      </c>
      <c r="K357" s="20">
        <v>47.82</v>
      </c>
      <c r="L357" s="245">
        <f t="shared" si="138"/>
        <v>6144</v>
      </c>
      <c r="M357" s="151">
        <f t="shared" si="139"/>
        <v>6144</v>
      </c>
      <c r="N357" s="65">
        <f t="shared" si="140"/>
        <v>343.24022346368719</v>
      </c>
      <c r="O357" s="65">
        <f t="shared" si="141"/>
        <v>343.24022346368719</v>
      </c>
      <c r="P357" s="65"/>
      <c r="Q357" s="65">
        <v>0</v>
      </c>
      <c r="R357" s="65">
        <v>2</v>
      </c>
      <c r="S357" s="65"/>
      <c r="T357" s="65">
        <v>224</v>
      </c>
      <c r="U357" s="65"/>
      <c r="V357" s="65">
        <v>10</v>
      </c>
      <c r="W357" s="65"/>
      <c r="X357" s="110">
        <v>768</v>
      </c>
      <c r="Y357" s="81"/>
      <c r="Z357" s="141"/>
      <c r="AA357" s="371"/>
      <c r="AB357" s="54">
        <f t="shared" si="142"/>
        <v>614.4</v>
      </c>
      <c r="AC357" s="99">
        <f t="shared" si="143"/>
        <v>22.4</v>
      </c>
      <c r="AD357" s="191">
        <f t="shared" si="144"/>
        <v>9.2160000000000006E-2</v>
      </c>
      <c r="AF357" s="6"/>
    </row>
    <row r="358" spans="1:33" x14ac:dyDescent="0.2">
      <c r="A358" s="401" t="s">
        <v>26</v>
      </c>
      <c r="B358" s="41" t="s">
        <v>702</v>
      </c>
      <c r="C358" s="227"/>
      <c r="D358" s="213"/>
      <c r="E358" s="118" t="s">
        <v>166</v>
      </c>
      <c r="F358" s="18" t="s">
        <v>741</v>
      </c>
      <c r="G358" s="19">
        <v>19.059999999999999</v>
      </c>
      <c r="H358" s="124">
        <v>17</v>
      </c>
      <c r="I358" s="162">
        <v>195</v>
      </c>
      <c r="J358" s="138" t="s">
        <v>165</v>
      </c>
      <c r="K358" s="20">
        <v>49.48</v>
      </c>
      <c r="L358" s="245">
        <f t="shared" si="138"/>
        <v>6144</v>
      </c>
      <c r="M358" s="151">
        <f t="shared" si="139"/>
        <v>6144</v>
      </c>
      <c r="N358" s="65">
        <f t="shared" si="140"/>
        <v>322.35047219307449</v>
      </c>
      <c r="O358" s="65">
        <f t="shared" si="141"/>
        <v>322.35047219307449</v>
      </c>
      <c r="P358" s="65"/>
      <c r="Q358" s="65">
        <v>16</v>
      </c>
      <c r="R358" s="65">
        <v>2</v>
      </c>
      <c r="S358" s="65"/>
      <c r="T358" s="65">
        <v>224</v>
      </c>
      <c r="U358" s="65"/>
      <c r="V358" s="65">
        <v>10</v>
      </c>
      <c r="W358" s="65"/>
      <c r="X358" s="110">
        <v>768</v>
      </c>
      <c r="Y358" s="81"/>
      <c r="Z358" s="141"/>
      <c r="AA358" s="371">
        <f>L358/Q358</f>
        <v>384</v>
      </c>
      <c r="AB358" s="54">
        <f t="shared" si="142"/>
        <v>614.4</v>
      </c>
      <c r="AC358" s="99">
        <f t="shared" si="143"/>
        <v>22.4</v>
      </c>
      <c r="AD358" s="191">
        <f t="shared" si="144"/>
        <v>9.2160000000000006E-2</v>
      </c>
      <c r="AF358" s="6"/>
    </row>
    <row r="359" spans="1:33" x14ac:dyDescent="0.2">
      <c r="A359" s="401" t="s">
        <v>26</v>
      </c>
      <c r="B359" s="41" t="s">
        <v>702</v>
      </c>
      <c r="C359" s="227"/>
      <c r="D359" s="213"/>
      <c r="E359" s="118" t="s">
        <v>167</v>
      </c>
      <c r="F359" s="18" t="s">
        <v>737</v>
      </c>
      <c r="G359" s="19">
        <v>31.6</v>
      </c>
      <c r="H359" s="124">
        <v>17</v>
      </c>
      <c r="I359" s="162">
        <v>195</v>
      </c>
      <c r="J359" s="138" t="s">
        <v>165</v>
      </c>
      <c r="K359" s="20">
        <v>68.23</v>
      </c>
      <c r="L359" s="245">
        <f t="shared" si="138"/>
        <v>10240</v>
      </c>
      <c r="M359" s="151">
        <f t="shared" si="139"/>
        <v>10240</v>
      </c>
      <c r="N359" s="65">
        <f t="shared" si="140"/>
        <v>324.05063291139237</v>
      </c>
      <c r="O359" s="65">
        <f t="shared" si="141"/>
        <v>324.05063291139237</v>
      </c>
      <c r="P359" s="65"/>
      <c r="Q359" s="65">
        <v>0</v>
      </c>
      <c r="R359" s="65">
        <v>4</v>
      </c>
      <c r="S359" s="65"/>
      <c r="T359" s="65">
        <v>288</v>
      </c>
      <c r="U359" s="65"/>
      <c r="V359" s="65">
        <v>30</v>
      </c>
      <c r="W359" s="65"/>
      <c r="X359" s="110">
        <v>1280</v>
      </c>
      <c r="Y359" s="81"/>
      <c r="Z359" s="141"/>
      <c r="AA359" s="371"/>
      <c r="AB359" s="54">
        <f t="shared" si="142"/>
        <v>341.33333333333331</v>
      </c>
      <c r="AC359" s="99">
        <f t="shared" si="143"/>
        <v>9.6</v>
      </c>
      <c r="AD359" s="191">
        <f t="shared" si="144"/>
        <v>0.27648</v>
      </c>
      <c r="AF359" s="6"/>
    </row>
    <row r="360" spans="1:33" x14ac:dyDescent="0.2">
      <c r="A360" s="182" t="s">
        <v>26</v>
      </c>
      <c r="B360" s="41" t="s">
        <v>702</v>
      </c>
      <c r="C360" s="227"/>
      <c r="D360" s="213"/>
      <c r="E360" s="118" t="s">
        <v>169</v>
      </c>
      <c r="F360" s="18" t="s">
        <v>737</v>
      </c>
      <c r="G360" s="19">
        <v>330.8</v>
      </c>
      <c r="H360" s="124">
        <v>17</v>
      </c>
      <c r="I360" s="162">
        <v>195</v>
      </c>
      <c r="J360" s="138" t="s">
        <v>163</v>
      </c>
      <c r="K360" s="20">
        <v>71.989999999999995</v>
      </c>
      <c r="L360" s="245">
        <f t="shared" si="138"/>
        <v>10240</v>
      </c>
      <c r="M360" s="151">
        <f t="shared" si="139"/>
        <v>10240</v>
      </c>
      <c r="N360" s="65">
        <f t="shared" si="140"/>
        <v>30.955259975816201</v>
      </c>
      <c r="O360" s="65">
        <f t="shared" si="141"/>
        <v>30.955259975816201</v>
      </c>
      <c r="P360" s="65"/>
      <c r="Q360" s="65">
        <v>20</v>
      </c>
      <c r="R360" s="65">
        <v>4</v>
      </c>
      <c r="S360" s="65"/>
      <c r="T360" s="65">
        <v>288</v>
      </c>
      <c r="U360" s="65"/>
      <c r="V360" s="65">
        <v>30</v>
      </c>
      <c r="W360" s="65"/>
      <c r="X360" s="110">
        <v>1280</v>
      </c>
      <c r="Y360" s="81"/>
      <c r="Z360" s="141"/>
      <c r="AA360" s="371">
        <f>L360/Q360</f>
        <v>512</v>
      </c>
      <c r="AB360" s="54">
        <f t="shared" si="142"/>
        <v>341.33333333333331</v>
      </c>
      <c r="AC360" s="99">
        <f t="shared" si="143"/>
        <v>9.6</v>
      </c>
      <c r="AD360" s="191">
        <f t="shared" si="144"/>
        <v>0.27648</v>
      </c>
      <c r="AF360" s="6"/>
    </row>
    <row r="361" spans="1:33" x14ac:dyDescent="0.2">
      <c r="A361" s="182" t="s">
        <v>26</v>
      </c>
      <c r="B361" s="41" t="s">
        <v>702</v>
      </c>
      <c r="C361" s="227"/>
      <c r="D361" s="213"/>
      <c r="E361" s="118" t="s">
        <v>170</v>
      </c>
      <c r="F361" s="18" t="s">
        <v>327</v>
      </c>
      <c r="G361" s="19">
        <v>40.01</v>
      </c>
      <c r="H361" s="124">
        <v>17</v>
      </c>
      <c r="I361" s="162">
        <v>195</v>
      </c>
      <c r="J361" s="138" t="s">
        <v>165</v>
      </c>
      <c r="K361" s="20">
        <v>89.71</v>
      </c>
      <c r="L361" s="245">
        <f t="shared" si="138"/>
        <v>15360</v>
      </c>
      <c r="M361" s="151">
        <f t="shared" si="139"/>
        <v>15360</v>
      </c>
      <c r="N361" s="65">
        <f t="shared" si="140"/>
        <v>383.90402399400153</v>
      </c>
      <c r="O361" s="65">
        <f t="shared" si="141"/>
        <v>383.90402399400153</v>
      </c>
      <c r="P361" s="65"/>
      <c r="Q361" s="65">
        <v>0</v>
      </c>
      <c r="R361" s="65">
        <v>4</v>
      </c>
      <c r="S361" s="65"/>
      <c r="T361" s="65">
        <v>352</v>
      </c>
      <c r="U361" s="65"/>
      <c r="V361" s="65">
        <v>38</v>
      </c>
      <c r="W361" s="65"/>
      <c r="X361" s="110">
        <v>1920</v>
      </c>
      <c r="Y361" s="81"/>
      <c r="Z361" s="141"/>
      <c r="AA361" s="371"/>
      <c r="AB361" s="54">
        <f t="shared" si="142"/>
        <v>404.21052631578948</v>
      </c>
      <c r="AC361" s="99">
        <f t="shared" si="143"/>
        <v>9.2631578947368425</v>
      </c>
      <c r="AD361" s="191">
        <f t="shared" si="144"/>
        <v>0.35020800000000002</v>
      </c>
      <c r="AF361" s="6"/>
    </row>
    <row r="362" spans="1:33" x14ac:dyDescent="0.2">
      <c r="A362" s="182" t="s">
        <v>26</v>
      </c>
      <c r="B362" s="41" t="s">
        <v>702</v>
      </c>
      <c r="C362" s="227"/>
      <c r="D362" s="213"/>
      <c r="E362" s="118" t="s">
        <v>171</v>
      </c>
      <c r="F362" s="18" t="s">
        <v>737</v>
      </c>
      <c r="G362" s="19">
        <v>44.3</v>
      </c>
      <c r="H362" s="124">
        <v>17</v>
      </c>
      <c r="I362" s="162">
        <v>195</v>
      </c>
      <c r="J362" s="138" t="s">
        <v>173</v>
      </c>
      <c r="K362" s="20">
        <v>101</v>
      </c>
      <c r="L362" s="245">
        <f t="shared" si="138"/>
        <v>15360</v>
      </c>
      <c r="M362" s="151">
        <f t="shared" si="139"/>
        <v>15360</v>
      </c>
      <c r="N362" s="65">
        <f t="shared" si="140"/>
        <v>346.72686230248308</v>
      </c>
      <c r="O362" s="65">
        <f t="shared" si="141"/>
        <v>346.72686230248308</v>
      </c>
      <c r="P362" s="65"/>
      <c r="Q362" s="65">
        <v>24</v>
      </c>
      <c r="R362" s="65">
        <v>4</v>
      </c>
      <c r="S362" s="65"/>
      <c r="T362" s="65">
        <v>352</v>
      </c>
      <c r="U362" s="65"/>
      <c r="V362" s="65">
        <v>38</v>
      </c>
      <c r="W362" s="65"/>
      <c r="X362" s="110">
        <v>1920</v>
      </c>
      <c r="Y362" s="81"/>
      <c r="Z362" s="141"/>
      <c r="AA362" s="371">
        <f>L362/Q362</f>
        <v>640</v>
      </c>
      <c r="AB362" s="54">
        <f t="shared" si="142"/>
        <v>404.21052631578948</v>
      </c>
      <c r="AC362" s="99">
        <f t="shared" si="143"/>
        <v>9.2631578947368425</v>
      </c>
      <c r="AD362" s="191">
        <f t="shared" si="144"/>
        <v>0.35020800000000002</v>
      </c>
      <c r="AF362" s="6"/>
    </row>
    <row r="363" spans="1:33" x14ac:dyDescent="0.2">
      <c r="A363" s="182" t="s">
        <v>26</v>
      </c>
      <c r="B363" s="41" t="s">
        <v>702</v>
      </c>
      <c r="C363" s="227"/>
      <c r="D363" s="213"/>
      <c r="E363" s="118" t="s">
        <v>174</v>
      </c>
      <c r="F363" s="18" t="s">
        <v>737</v>
      </c>
      <c r="G363" s="19">
        <v>52.72</v>
      </c>
      <c r="H363" s="124">
        <v>23</v>
      </c>
      <c r="I363" s="162">
        <v>360</v>
      </c>
      <c r="J363" s="138" t="s">
        <v>175</v>
      </c>
      <c r="K363" s="20">
        <v>98.75</v>
      </c>
      <c r="L363" s="245">
        <f t="shared" si="138"/>
        <v>19712</v>
      </c>
      <c r="M363" s="151">
        <f t="shared" si="139"/>
        <v>19712</v>
      </c>
      <c r="N363" s="65">
        <f t="shared" si="140"/>
        <v>373.89984825493173</v>
      </c>
      <c r="O363" s="65">
        <f t="shared" si="141"/>
        <v>373.89984825493173</v>
      </c>
      <c r="P363" s="65"/>
      <c r="Q363" s="65">
        <v>0</v>
      </c>
      <c r="R363" s="65">
        <v>4</v>
      </c>
      <c r="S363" s="65"/>
      <c r="T363" s="65">
        <v>400</v>
      </c>
      <c r="U363" s="65"/>
      <c r="V363" s="65">
        <v>46</v>
      </c>
      <c r="W363" s="65"/>
      <c r="X363" s="110">
        <v>2464</v>
      </c>
      <c r="Y363" s="81"/>
      <c r="Z363" s="141"/>
      <c r="AA363" s="371"/>
      <c r="AB363" s="54">
        <f t="shared" si="142"/>
        <v>428.52173913043481</v>
      </c>
      <c r="AC363" s="99">
        <f t="shared" si="143"/>
        <v>8.695652173913043</v>
      </c>
      <c r="AD363" s="191">
        <f t="shared" si="144"/>
        <v>0.42393599999999998</v>
      </c>
      <c r="AF363" s="6"/>
    </row>
    <row r="364" spans="1:33" x14ac:dyDescent="0.2">
      <c r="A364" s="182" t="s">
        <v>26</v>
      </c>
      <c r="B364" s="41" t="s">
        <v>702</v>
      </c>
      <c r="C364" s="227"/>
      <c r="D364" s="213"/>
      <c r="E364" s="118" t="s">
        <v>176</v>
      </c>
      <c r="F364" s="18" t="s">
        <v>737</v>
      </c>
      <c r="G364" s="19">
        <v>55.94</v>
      </c>
      <c r="H364" s="124">
        <v>23</v>
      </c>
      <c r="I364" s="162">
        <v>360</v>
      </c>
      <c r="J364" s="138" t="s">
        <v>175</v>
      </c>
      <c r="K364" s="20">
        <v>116.25</v>
      </c>
      <c r="L364" s="245">
        <f t="shared" si="138"/>
        <v>19712</v>
      </c>
      <c r="M364" s="151">
        <f t="shared" si="139"/>
        <v>19712</v>
      </c>
      <c r="N364" s="65">
        <f t="shared" si="140"/>
        <v>352.37754737218449</v>
      </c>
      <c r="O364" s="65">
        <f t="shared" si="141"/>
        <v>352.37754737218449</v>
      </c>
      <c r="P364" s="65"/>
      <c r="Q364" s="65">
        <v>28</v>
      </c>
      <c r="R364" s="65">
        <v>4</v>
      </c>
      <c r="S364" s="65"/>
      <c r="T364" s="65">
        <v>400</v>
      </c>
      <c r="U364" s="65"/>
      <c r="V364" s="65">
        <v>46</v>
      </c>
      <c r="W364" s="65"/>
      <c r="X364" s="110">
        <v>2464</v>
      </c>
      <c r="Y364" s="81"/>
      <c r="Z364" s="141"/>
      <c r="AA364" s="371">
        <f>L364/Q364</f>
        <v>704</v>
      </c>
      <c r="AB364" s="54">
        <f t="shared" si="142"/>
        <v>428.52173913043481</v>
      </c>
      <c r="AC364" s="99">
        <f t="shared" si="143"/>
        <v>8.695652173913043</v>
      </c>
      <c r="AD364" s="191">
        <f t="shared" si="144"/>
        <v>0.42393599999999998</v>
      </c>
      <c r="AF364" s="6"/>
    </row>
    <row r="365" spans="1:33" x14ac:dyDescent="0.2">
      <c r="A365" s="182" t="s">
        <v>26</v>
      </c>
      <c r="B365" s="41" t="s">
        <v>702</v>
      </c>
      <c r="C365" s="227"/>
      <c r="D365" s="213"/>
      <c r="E365" s="134" t="s">
        <v>177</v>
      </c>
      <c r="F365" s="45" t="s">
        <v>737</v>
      </c>
      <c r="G365" s="43">
        <v>79.94</v>
      </c>
      <c r="H365" s="128">
        <v>23</v>
      </c>
      <c r="I365" s="167">
        <v>360</v>
      </c>
      <c r="J365" s="138" t="s">
        <v>175</v>
      </c>
      <c r="K365" s="44">
        <v>156.88999999999999</v>
      </c>
      <c r="L365" s="245">
        <f t="shared" si="138"/>
        <v>32768</v>
      </c>
      <c r="M365" s="151">
        <f t="shared" si="139"/>
        <v>32768</v>
      </c>
      <c r="N365" s="65">
        <f t="shared" si="140"/>
        <v>409.90743057292968</v>
      </c>
      <c r="O365" s="65">
        <f t="shared" si="141"/>
        <v>409.90743057292968</v>
      </c>
      <c r="P365" s="65"/>
      <c r="Q365" s="65">
        <v>0</v>
      </c>
      <c r="R365" s="65">
        <v>4</v>
      </c>
      <c r="S365" s="65"/>
      <c r="T365" s="65">
        <v>496</v>
      </c>
      <c r="U365" s="65"/>
      <c r="V365" s="75">
        <v>58</v>
      </c>
      <c r="W365" s="65"/>
      <c r="X365" s="115">
        <v>4096</v>
      </c>
      <c r="Y365" s="85"/>
      <c r="Z365" s="141"/>
      <c r="AA365" s="371"/>
      <c r="AB365" s="93">
        <f t="shared" si="142"/>
        <v>564.9655172413793</v>
      </c>
      <c r="AC365" s="103">
        <f t="shared" si="143"/>
        <v>8.5517241379310338</v>
      </c>
      <c r="AD365" s="191">
        <f t="shared" si="144"/>
        <v>0.534528</v>
      </c>
      <c r="AF365" s="6"/>
    </row>
    <row r="366" spans="1:33" ht="13.5" thickBot="1" x14ac:dyDescent="0.25">
      <c r="A366" s="182" t="s">
        <v>26</v>
      </c>
      <c r="B366" s="41" t="s">
        <v>702</v>
      </c>
      <c r="C366" s="228"/>
      <c r="D366" s="214"/>
      <c r="E366" s="146" t="s">
        <v>178</v>
      </c>
      <c r="F366" s="22" t="s">
        <v>737</v>
      </c>
      <c r="G366" s="23">
        <v>83.99</v>
      </c>
      <c r="H366" s="125">
        <v>23</v>
      </c>
      <c r="I366" s="163">
        <v>360</v>
      </c>
      <c r="J366" s="150" t="s">
        <v>179</v>
      </c>
      <c r="K366" s="24">
        <v>159.02000000000001</v>
      </c>
      <c r="L366" s="246">
        <f t="shared" si="138"/>
        <v>32768</v>
      </c>
      <c r="M366" s="151">
        <f t="shared" si="139"/>
        <v>32768</v>
      </c>
      <c r="N366" s="65">
        <f t="shared" si="140"/>
        <v>390.14168353375402</v>
      </c>
      <c r="O366" s="68">
        <f t="shared" si="141"/>
        <v>390.14168353375402</v>
      </c>
      <c r="P366" s="68"/>
      <c r="Q366" s="68">
        <v>32</v>
      </c>
      <c r="R366" s="68">
        <v>4</v>
      </c>
      <c r="S366" s="68"/>
      <c r="T366" s="68">
        <v>496</v>
      </c>
      <c r="U366" s="68"/>
      <c r="V366" s="68">
        <v>58</v>
      </c>
      <c r="W366" s="68"/>
      <c r="X366" s="111">
        <v>4096</v>
      </c>
      <c r="Y366" s="82"/>
      <c r="Z366" s="142"/>
      <c r="AA366" s="371">
        <f>L366/Q366</f>
        <v>1024</v>
      </c>
      <c r="AB366" s="55">
        <f t="shared" si="142"/>
        <v>564.9655172413793</v>
      </c>
      <c r="AC366" s="100">
        <f t="shared" si="143"/>
        <v>8.5517241379310338</v>
      </c>
      <c r="AD366" s="191">
        <f t="shared" si="144"/>
        <v>0.534528</v>
      </c>
      <c r="AF366" s="6"/>
      <c r="AG366" s="6" t="s">
        <v>791</v>
      </c>
    </row>
    <row r="367" spans="1:33" ht="13.5" customHeight="1" x14ac:dyDescent="0.2">
      <c r="A367" s="182"/>
      <c r="B367" s="48" t="s">
        <v>716</v>
      </c>
      <c r="C367" s="226"/>
      <c r="D367" s="212"/>
      <c r="E367" s="12" t="s">
        <v>451</v>
      </c>
      <c r="F367" s="466" t="s">
        <v>1015</v>
      </c>
      <c r="G367" s="123" t="s">
        <v>22</v>
      </c>
      <c r="H367" s="132" t="s">
        <v>528</v>
      </c>
      <c r="I367" s="161"/>
      <c r="J367" s="136"/>
      <c r="K367" s="16" t="s">
        <v>22</v>
      </c>
      <c r="L367" s="244" t="s">
        <v>23</v>
      </c>
      <c r="M367" s="60"/>
      <c r="N367" s="380">
        <f>AVERAGE(N368:N378)</f>
        <v>467.85140406136475</v>
      </c>
      <c r="O367" s="382" t="e">
        <f>AVERAGE(O368:O406)</f>
        <v>#DIV/0!</v>
      </c>
      <c r="P367" s="61"/>
      <c r="Q367" s="61" t="s">
        <v>1737</v>
      </c>
      <c r="R367" s="61"/>
      <c r="S367" s="61" t="s">
        <v>103</v>
      </c>
      <c r="T367" s="61"/>
      <c r="U367" s="61"/>
      <c r="V367" s="62" t="s">
        <v>206</v>
      </c>
      <c r="W367" s="61"/>
      <c r="X367" s="109" t="s">
        <v>158</v>
      </c>
      <c r="Y367" s="80"/>
      <c r="Z367" s="164"/>
      <c r="AA367" s="372">
        <f>AVERAGE(AA368:AA406)</f>
        <v>629.28236470870399</v>
      </c>
      <c r="AB367" s="92" t="e">
        <f>AVERAGE(AB368:AB406)</f>
        <v>#DIV/0!</v>
      </c>
      <c r="AC367" s="98">
        <f>AVERAGE(AC368:AC401)</f>
        <v>7.7133559381839731</v>
      </c>
      <c r="AD367" s="109" t="s">
        <v>650</v>
      </c>
      <c r="AG367" s="5" t="s">
        <v>358</v>
      </c>
    </row>
    <row r="368" spans="1:33" x14ac:dyDescent="0.2">
      <c r="A368" s="274" t="s">
        <v>740</v>
      </c>
      <c r="B368" s="41" t="s">
        <v>702</v>
      </c>
      <c r="C368" s="230" t="s">
        <v>697</v>
      </c>
      <c r="D368" s="213" t="s">
        <v>708</v>
      </c>
      <c r="E368" s="118" t="s">
        <v>746</v>
      </c>
      <c r="F368" s="18" t="s">
        <v>1125</v>
      </c>
      <c r="G368" s="19">
        <v>10.25</v>
      </c>
      <c r="H368" s="124">
        <v>17</v>
      </c>
      <c r="I368" s="162">
        <v>90</v>
      </c>
      <c r="J368" s="138"/>
      <c r="K368" s="20"/>
      <c r="L368" s="245">
        <f t="shared" ref="L368:L378" si="145">8*X368</f>
        <v>6048</v>
      </c>
      <c r="M368" s="151">
        <f t="shared" ref="M368:M378" si="146">8*X368</f>
        <v>6048</v>
      </c>
      <c r="N368" s="65">
        <f t="shared" ref="N368:N378" si="147">IF(AND(G368&lt;&gt;"",M368&lt;&gt;""),M368/G368,"")</f>
        <v>590.04878048780483</v>
      </c>
      <c r="O368" s="65">
        <f>IF(AND(G368&lt;&gt;"",L368&lt;&gt;""),L368/G368,"")</f>
        <v>590.04878048780483</v>
      </c>
      <c r="P368" s="65"/>
      <c r="Q368" s="65">
        <v>12</v>
      </c>
      <c r="R368" s="65">
        <v>2</v>
      </c>
      <c r="S368" s="65"/>
      <c r="T368" s="65">
        <v>190</v>
      </c>
      <c r="U368" s="65"/>
      <c r="V368" s="65">
        <v>3</v>
      </c>
      <c r="W368" s="65"/>
      <c r="X368" s="110">
        <v>756</v>
      </c>
      <c r="Y368" s="81"/>
      <c r="Z368" s="141"/>
      <c r="AA368" s="371">
        <f t="shared" ref="AA368:AA378" si="148">L368/Q368</f>
        <v>504</v>
      </c>
      <c r="AB368" s="54">
        <f t="shared" ref="AB368:AB378" si="149">L368/V368</f>
        <v>2016</v>
      </c>
      <c r="AC368" s="99">
        <f t="shared" ref="AC368:AC378" si="150">T368/V368</f>
        <v>63.333333333333336</v>
      </c>
      <c r="AD368" s="191">
        <f t="shared" ref="AD368:AD378" si="151">512*36*V368/1000000</f>
        <v>5.5295999999999998E-2</v>
      </c>
      <c r="AF368" s="6"/>
      <c r="AG368" s="6" t="s">
        <v>709</v>
      </c>
    </row>
    <row r="369" spans="1:33" x14ac:dyDescent="0.2">
      <c r="A369" s="274" t="s">
        <v>740</v>
      </c>
      <c r="B369" s="41" t="s">
        <v>702</v>
      </c>
      <c r="C369" s="230" t="s">
        <v>697</v>
      </c>
      <c r="D369" s="213" t="s">
        <v>708</v>
      </c>
      <c r="E369" s="118" t="s">
        <v>747</v>
      </c>
      <c r="F369" s="18" t="s">
        <v>1125</v>
      </c>
      <c r="G369" s="19">
        <v>20.5</v>
      </c>
      <c r="H369" s="124">
        <v>17</v>
      </c>
      <c r="I369" s="162">
        <v>93</v>
      </c>
      <c r="J369" s="138"/>
      <c r="K369" s="20"/>
      <c r="L369" s="245">
        <f t="shared" si="145"/>
        <v>12096</v>
      </c>
      <c r="M369" s="151">
        <f t="shared" si="146"/>
        <v>12096</v>
      </c>
      <c r="N369" s="65">
        <f t="shared" si="147"/>
        <v>590.04878048780483</v>
      </c>
      <c r="O369" s="65">
        <f>IF(AND(G369&lt;&gt;"",L369&lt;&gt;""),L369/G369,"")</f>
        <v>590.04878048780483</v>
      </c>
      <c r="P369" s="65"/>
      <c r="Q369" s="65">
        <v>24</v>
      </c>
      <c r="R369" s="65">
        <v>2</v>
      </c>
      <c r="S369" s="65"/>
      <c r="T369" s="65">
        <v>297</v>
      </c>
      <c r="U369" s="65"/>
      <c r="V369" s="65">
        <v>12</v>
      </c>
      <c r="W369" s="65"/>
      <c r="X369" s="110">
        <v>1512</v>
      </c>
      <c r="Y369" s="81"/>
      <c r="Z369" s="141"/>
      <c r="AA369" s="371">
        <f t="shared" si="148"/>
        <v>504</v>
      </c>
      <c r="AB369" s="54">
        <f t="shared" si="149"/>
        <v>1008</v>
      </c>
      <c r="AC369" s="99">
        <f t="shared" si="150"/>
        <v>24.75</v>
      </c>
      <c r="AD369" s="191">
        <f t="shared" si="151"/>
        <v>0.22118399999999999</v>
      </c>
      <c r="AF369" s="6"/>
    </row>
    <row r="370" spans="1:33" x14ac:dyDescent="0.2">
      <c r="A370" s="274" t="s">
        <v>740</v>
      </c>
      <c r="B370" s="41" t="s">
        <v>702</v>
      </c>
      <c r="C370" s="230" t="s">
        <v>697</v>
      </c>
      <c r="D370" s="213" t="s">
        <v>708</v>
      </c>
      <c r="E370" s="118" t="s">
        <v>745</v>
      </c>
      <c r="F370" s="1" t="s">
        <v>748</v>
      </c>
      <c r="G370" s="4">
        <v>39.270000000000003</v>
      </c>
      <c r="H370" s="124">
        <v>17</v>
      </c>
      <c r="I370" s="162">
        <v>193</v>
      </c>
      <c r="J370" s="138"/>
      <c r="K370" s="20"/>
      <c r="L370" s="245">
        <f t="shared" si="145"/>
        <v>21168</v>
      </c>
      <c r="M370" s="151">
        <f t="shared" si="146"/>
        <v>21168</v>
      </c>
      <c r="N370" s="65">
        <f t="shared" si="147"/>
        <v>539.03743315508018</v>
      </c>
      <c r="O370" s="65">
        <f>IF(AND(G364&lt;&gt;"",L370&lt;&gt;""),L370/G364,"")</f>
        <v>378.40543439399357</v>
      </c>
      <c r="P370" s="65"/>
      <c r="Q370" s="65">
        <v>28</v>
      </c>
      <c r="R370" s="65">
        <v>2</v>
      </c>
      <c r="S370" s="65"/>
      <c r="T370" s="65">
        <v>402</v>
      </c>
      <c r="U370" s="65"/>
      <c r="V370" s="65">
        <v>15</v>
      </c>
      <c r="W370" s="65"/>
      <c r="X370" s="110">
        <v>2646</v>
      </c>
      <c r="Y370" s="81"/>
      <c r="Z370" s="141"/>
      <c r="AA370" s="371">
        <f t="shared" si="148"/>
        <v>756</v>
      </c>
      <c r="AB370" s="54">
        <f t="shared" si="149"/>
        <v>1411.2</v>
      </c>
      <c r="AC370" s="99">
        <f t="shared" si="150"/>
        <v>26.8</v>
      </c>
      <c r="AD370" s="191">
        <f t="shared" si="151"/>
        <v>0.27648</v>
      </c>
      <c r="AF370" s="6"/>
    </row>
    <row r="371" spans="1:33" x14ac:dyDescent="0.2">
      <c r="A371" s="274" t="s">
        <v>740</v>
      </c>
      <c r="B371" s="41" t="s">
        <v>702</v>
      </c>
      <c r="C371" s="230" t="s">
        <v>697</v>
      </c>
      <c r="D371" s="213" t="s">
        <v>708</v>
      </c>
      <c r="E371" s="118" t="s">
        <v>750</v>
      </c>
      <c r="F371" s="18" t="s">
        <v>749</v>
      </c>
      <c r="G371" s="19">
        <v>79.94</v>
      </c>
      <c r="H371" s="124">
        <v>23</v>
      </c>
      <c r="I371" s="162">
        <v>331</v>
      </c>
      <c r="J371" s="138"/>
      <c r="K371" s="20"/>
      <c r="L371" s="245">
        <f t="shared" si="145"/>
        <v>32256</v>
      </c>
      <c r="M371" s="151">
        <f t="shared" si="146"/>
        <v>32256</v>
      </c>
      <c r="N371" s="65">
        <f t="shared" si="147"/>
        <v>403.50262697022771</v>
      </c>
      <c r="O371" s="65">
        <f t="shared" ref="O371:O378" si="152">IF(AND(G371&lt;&gt;"",L371&lt;&gt;""),L371/G371,"")</f>
        <v>403.50262697022771</v>
      </c>
      <c r="P371" s="65"/>
      <c r="Q371" s="65">
        <v>32</v>
      </c>
      <c r="R371" s="65">
        <v>2</v>
      </c>
      <c r="S371" s="65"/>
      <c r="T371" s="65">
        <v>450</v>
      </c>
      <c r="U371" s="65"/>
      <c r="V371" s="65">
        <v>18</v>
      </c>
      <c r="W371" s="65"/>
      <c r="X371" s="110">
        <v>4032</v>
      </c>
      <c r="Y371" s="81"/>
      <c r="Z371" s="141"/>
      <c r="AA371" s="371">
        <f t="shared" si="148"/>
        <v>1008</v>
      </c>
      <c r="AB371" s="54">
        <f t="shared" si="149"/>
        <v>1792</v>
      </c>
      <c r="AC371" s="99">
        <f t="shared" si="150"/>
        <v>25</v>
      </c>
      <c r="AD371" s="191">
        <f t="shared" si="151"/>
        <v>0.33177600000000002</v>
      </c>
      <c r="AF371" s="6"/>
    </row>
    <row r="372" spans="1:33" x14ac:dyDescent="0.2">
      <c r="A372" s="274" t="s">
        <v>740</v>
      </c>
      <c r="B372" s="41" t="s">
        <v>702</v>
      </c>
      <c r="C372" s="230" t="s">
        <v>697</v>
      </c>
      <c r="D372" s="213" t="s">
        <v>708</v>
      </c>
      <c r="E372" s="118" t="s">
        <v>752</v>
      </c>
      <c r="F372" s="18" t="s">
        <v>751</v>
      </c>
      <c r="G372" s="19">
        <v>105.19</v>
      </c>
      <c r="H372" s="124">
        <v>23</v>
      </c>
      <c r="I372" s="162">
        <v>339</v>
      </c>
      <c r="J372" s="138"/>
      <c r="K372" s="20"/>
      <c r="L372" s="245">
        <f t="shared" si="145"/>
        <v>47952</v>
      </c>
      <c r="M372" s="151">
        <f t="shared" si="146"/>
        <v>47952</v>
      </c>
      <c r="N372" s="65">
        <f t="shared" si="147"/>
        <v>455.86082327217417</v>
      </c>
      <c r="O372" s="65">
        <f t="shared" si="152"/>
        <v>455.86082327217417</v>
      </c>
      <c r="P372" s="65"/>
      <c r="Q372" s="65">
        <v>72</v>
      </c>
      <c r="R372" s="65">
        <v>4</v>
      </c>
      <c r="S372" s="65"/>
      <c r="T372" s="65">
        <v>500</v>
      </c>
      <c r="U372" s="65"/>
      <c r="V372" s="65">
        <v>21</v>
      </c>
      <c r="W372" s="65"/>
      <c r="X372" s="110">
        <v>5994</v>
      </c>
      <c r="Y372" s="81">
        <v>23.95</v>
      </c>
      <c r="Z372" s="141">
        <f>IF(AND(L372&lt;&gt;"",Y372&lt;&gt;""),L372/Y372,"")</f>
        <v>2002.1711899791233</v>
      </c>
      <c r="AA372" s="371">
        <f t="shared" si="148"/>
        <v>666</v>
      </c>
      <c r="AB372" s="54">
        <f t="shared" si="149"/>
        <v>2283.4285714285716</v>
      </c>
      <c r="AC372" s="99">
        <f t="shared" si="150"/>
        <v>23.80952380952381</v>
      </c>
      <c r="AD372" s="191">
        <f t="shared" si="151"/>
        <v>0.38707200000000003</v>
      </c>
      <c r="AF372" s="6"/>
    </row>
    <row r="373" spans="1:33" x14ac:dyDescent="0.2">
      <c r="A373" s="274" t="s">
        <v>740</v>
      </c>
      <c r="B373" s="41" t="s">
        <v>702</v>
      </c>
      <c r="C373" s="230" t="s">
        <v>697</v>
      </c>
      <c r="D373" s="213" t="s">
        <v>708</v>
      </c>
      <c r="E373" s="118" t="s">
        <v>755</v>
      </c>
      <c r="F373" s="18" t="s">
        <v>753</v>
      </c>
      <c r="G373" s="19">
        <v>147.26</v>
      </c>
      <c r="H373" s="124">
        <v>27</v>
      </c>
      <c r="I373" s="162">
        <v>500</v>
      </c>
      <c r="J373" s="138"/>
      <c r="K373" s="20"/>
      <c r="L373" s="245">
        <f t="shared" si="145"/>
        <v>68112</v>
      </c>
      <c r="M373" s="151">
        <f t="shared" si="146"/>
        <v>68112</v>
      </c>
      <c r="N373" s="65">
        <f t="shared" si="147"/>
        <v>462.52886051881029</v>
      </c>
      <c r="O373" s="65">
        <f t="shared" si="152"/>
        <v>462.52886051881029</v>
      </c>
      <c r="P373" s="65"/>
      <c r="Q373" s="65">
        <v>88</v>
      </c>
      <c r="R373" s="65">
        <v>6</v>
      </c>
      <c r="S373" s="65"/>
      <c r="T373" s="65">
        <v>588</v>
      </c>
      <c r="U373" s="65"/>
      <c r="V373" s="65">
        <v>60</v>
      </c>
      <c r="W373" s="65"/>
      <c r="X373" s="110">
        <v>8514</v>
      </c>
      <c r="Y373" s="81"/>
      <c r="Z373" s="141"/>
      <c r="AA373" s="371">
        <f t="shared" si="148"/>
        <v>774</v>
      </c>
      <c r="AB373" s="57">
        <f t="shared" si="149"/>
        <v>1135.2</v>
      </c>
      <c r="AC373" s="101">
        <f t="shared" si="150"/>
        <v>9.8000000000000007</v>
      </c>
      <c r="AD373" s="191">
        <f t="shared" si="151"/>
        <v>1.10592</v>
      </c>
      <c r="AF373" s="6"/>
    </row>
    <row r="374" spans="1:33" x14ac:dyDescent="0.2">
      <c r="A374" s="274" t="s">
        <v>740</v>
      </c>
      <c r="B374" s="41" t="s">
        <v>702</v>
      </c>
      <c r="C374" s="230" t="s">
        <v>697</v>
      </c>
      <c r="D374" s="213" t="s">
        <v>708</v>
      </c>
      <c r="E374" s="119" t="s">
        <v>754</v>
      </c>
      <c r="F374" s="18" t="s">
        <v>744</v>
      </c>
      <c r="G374" s="19">
        <v>49.83</v>
      </c>
      <c r="H374" s="124">
        <v>17</v>
      </c>
      <c r="I374" s="162">
        <v>140</v>
      </c>
      <c r="J374" s="138"/>
      <c r="K374" s="20"/>
      <c r="L374" s="245">
        <f t="shared" si="145"/>
        <v>19224</v>
      </c>
      <c r="M374" s="151">
        <f t="shared" si="146"/>
        <v>19224</v>
      </c>
      <c r="N374" s="65">
        <f t="shared" si="147"/>
        <v>385.79169175195665</v>
      </c>
      <c r="O374" s="65">
        <f t="shared" si="152"/>
        <v>385.79169175195665</v>
      </c>
      <c r="P374" s="65"/>
      <c r="Q374" s="65">
        <v>28</v>
      </c>
      <c r="R374" s="65">
        <v>8</v>
      </c>
      <c r="S374" s="65">
        <v>4</v>
      </c>
      <c r="T374" s="65">
        <v>301</v>
      </c>
      <c r="U374" s="65"/>
      <c r="V374" s="65">
        <v>66</v>
      </c>
      <c r="W374" s="65"/>
      <c r="X374" s="110">
        <v>2403</v>
      </c>
      <c r="Y374" s="81"/>
      <c r="Z374" s="141"/>
      <c r="AA374" s="371">
        <f t="shared" si="148"/>
        <v>686.57142857142856</v>
      </c>
      <c r="AB374" s="54">
        <f t="shared" si="149"/>
        <v>291.27272727272725</v>
      </c>
      <c r="AC374" s="99">
        <f t="shared" si="150"/>
        <v>4.5606060606060606</v>
      </c>
      <c r="AD374" s="191">
        <f t="shared" si="151"/>
        <v>1.216512</v>
      </c>
      <c r="AF374" s="6"/>
    </row>
    <row r="375" spans="1:33" x14ac:dyDescent="0.2">
      <c r="A375" s="274" t="s">
        <v>740</v>
      </c>
      <c r="B375" s="41" t="s">
        <v>702</v>
      </c>
      <c r="C375" s="230" t="s">
        <v>697</v>
      </c>
      <c r="D375" s="213" t="s">
        <v>708</v>
      </c>
      <c r="E375" s="119" t="s">
        <v>756</v>
      </c>
      <c r="F375" s="18" t="s">
        <v>744</v>
      </c>
      <c r="G375" s="19">
        <v>77.47</v>
      </c>
      <c r="H375" s="124">
        <v>17</v>
      </c>
      <c r="I375" s="162">
        <v>140</v>
      </c>
      <c r="J375" s="138"/>
      <c r="K375" s="20"/>
      <c r="L375" s="245">
        <f t="shared" si="145"/>
        <v>34200</v>
      </c>
      <c r="M375" s="151">
        <f t="shared" si="146"/>
        <v>34200</v>
      </c>
      <c r="N375" s="65">
        <f t="shared" si="147"/>
        <v>441.46121079127403</v>
      </c>
      <c r="O375" s="65">
        <f t="shared" si="152"/>
        <v>441.46121079127403</v>
      </c>
      <c r="P375" s="65"/>
      <c r="Q375" s="65">
        <v>32</v>
      </c>
      <c r="R375" s="65">
        <v>8</v>
      </c>
      <c r="S375" s="65">
        <v>4</v>
      </c>
      <c r="T375" s="65">
        <v>411</v>
      </c>
      <c r="U375" s="65"/>
      <c r="V375" s="65">
        <v>114</v>
      </c>
      <c r="W375" s="65"/>
      <c r="X375" s="110">
        <v>4275</v>
      </c>
      <c r="Y375" s="81">
        <v>22.95</v>
      </c>
      <c r="Z375" s="141">
        <f>IF(AND(L375&lt;&gt;"",Y375&lt;&gt;""),L375/Y375,"")</f>
        <v>1490.1960784313726</v>
      </c>
      <c r="AA375" s="371">
        <f t="shared" si="148"/>
        <v>1068.75</v>
      </c>
      <c r="AB375" s="54">
        <f t="shared" si="149"/>
        <v>300</v>
      </c>
      <c r="AC375" s="99">
        <f t="shared" si="150"/>
        <v>3.6052631578947367</v>
      </c>
      <c r="AD375" s="191">
        <f t="shared" si="151"/>
        <v>2.101248</v>
      </c>
      <c r="AF375" s="6"/>
    </row>
    <row r="376" spans="1:33" x14ac:dyDescent="0.2">
      <c r="A376" s="274" t="s">
        <v>740</v>
      </c>
      <c r="B376" s="41" t="s">
        <v>702</v>
      </c>
      <c r="C376" s="230" t="s">
        <v>697</v>
      </c>
      <c r="D376" s="213" t="s">
        <v>708</v>
      </c>
      <c r="E376" s="119" t="s">
        <v>757</v>
      </c>
      <c r="F376" s="18" t="s">
        <v>633</v>
      </c>
      <c r="G376" s="19">
        <v>80.33</v>
      </c>
      <c r="H376" s="124">
        <v>23</v>
      </c>
      <c r="I376" s="162">
        <v>270</v>
      </c>
      <c r="J376" s="138"/>
      <c r="K376" s="20"/>
      <c r="L376" s="245">
        <f t="shared" si="145"/>
        <v>47664</v>
      </c>
      <c r="M376" s="151">
        <f t="shared" si="146"/>
        <v>47664</v>
      </c>
      <c r="N376" s="65">
        <f t="shared" si="147"/>
        <v>593.35242126229309</v>
      </c>
      <c r="O376" s="65">
        <f t="shared" si="152"/>
        <v>593.35242126229309</v>
      </c>
      <c r="P376" s="65"/>
      <c r="Q376" s="65">
        <v>72</v>
      </c>
      <c r="R376" s="65">
        <v>8</v>
      </c>
      <c r="S376" s="65">
        <v>8</v>
      </c>
      <c r="T376" s="65">
        <v>457</v>
      </c>
      <c r="U376" s="65"/>
      <c r="V376" s="65">
        <v>225</v>
      </c>
      <c r="W376" s="65"/>
      <c r="X376" s="110">
        <v>5958</v>
      </c>
      <c r="Y376" s="81"/>
      <c r="Z376" s="141"/>
      <c r="AA376" s="371">
        <f t="shared" si="148"/>
        <v>662</v>
      </c>
      <c r="AB376" s="54">
        <f t="shared" si="149"/>
        <v>211.84</v>
      </c>
      <c r="AC376" s="99">
        <f t="shared" si="150"/>
        <v>2.0311111111111111</v>
      </c>
      <c r="AD376" s="191">
        <f t="shared" si="151"/>
        <v>4.1471999999999998</v>
      </c>
      <c r="AF376" s="6"/>
    </row>
    <row r="377" spans="1:33" x14ac:dyDescent="0.2">
      <c r="A377" s="274" t="s">
        <v>740</v>
      </c>
      <c r="B377" s="41" t="s">
        <v>702</v>
      </c>
      <c r="C377" s="230" t="s">
        <v>697</v>
      </c>
      <c r="D377" s="213" t="s">
        <v>708</v>
      </c>
      <c r="E377" s="119" t="s">
        <v>758</v>
      </c>
      <c r="F377" s="18" t="s">
        <v>753</v>
      </c>
      <c r="G377" s="19">
        <v>147.26</v>
      </c>
      <c r="H377" s="124">
        <v>31</v>
      </c>
      <c r="I377" s="162">
        <v>416</v>
      </c>
      <c r="J377" s="138"/>
      <c r="K377" s="20"/>
      <c r="L377" s="245">
        <f t="shared" si="145"/>
        <v>66528</v>
      </c>
      <c r="M377" s="151">
        <f t="shared" si="146"/>
        <v>66528</v>
      </c>
      <c r="N377" s="65">
        <f t="shared" si="147"/>
        <v>451.77237539046587</v>
      </c>
      <c r="O377" s="65">
        <f t="shared" si="152"/>
        <v>451.77237539046587</v>
      </c>
      <c r="P377" s="65"/>
      <c r="Q377" s="65">
        <v>88</v>
      </c>
      <c r="R377" s="65">
        <v>8</v>
      </c>
      <c r="S377" s="65">
        <v>16</v>
      </c>
      <c r="T377" s="65">
        <v>449</v>
      </c>
      <c r="U377" s="65"/>
      <c r="V377" s="65">
        <v>246</v>
      </c>
      <c r="W377" s="65"/>
      <c r="X377" s="110">
        <v>8316</v>
      </c>
      <c r="Y377" s="81"/>
      <c r="Z377" s="141"/>
      <c r="AA377" s="371">
        <f t="shared" si="148"/>
        <v>756</v>
      </c>
      <c r="AB377" s="57">
        <f t="shared" si="149"/>
        <v>270.4390243902439</v>
      </c>
      <c r="AC377" s="101">
        <f t="shared" si="150"/>
        <v>1.8252032520325203</v>
      </c>
      <c r="AD377" s="191">
        <f t="shared" si="151"/>
        <v>4.5342719999999996</v>
      </c>
      <c r="AF377" s="6"/>
    </row>
    <row r="378" spans="1:33" ht="13.5" thickBot="1" x14ac:dyDescent="0.25">
      <c r="A378" s="274" t="s">
        <v>740</v>
      </c>
      <c r="B378" s="41" t="s">
        <v>702</v>
      </c>
      <c r="C378" s="230" t="s">
        <v>697</v>
      </c>
      <c r="D378" s="213" t="s">
        <v>708</v>
      </c>
      <c r="E378" s="120" t="s">
        <v>759</v>
      </c>
      <c r="F378" s="22" t="s">
        <v>743</v>
      </c>
      <c r="G378" s="23">
        <v>406.73</v>
      </c>
      <c r="H378" s="125">
        <v>31</v>
      </c>
      <c r="I378" s="163">
        <v>416</v>
      </c>
      <c r="J378" s="150"/>
      <c r="K378" s="24"/>
      <c r="L378" s="246">
        <f t="shared" si="145"/>
        <v>94752</v>
      </c>
      <c r="M378" s="152">
        <f t="shared" si="146"/>
        <v>94752</v>
      </c>
      <c r="N378" s="65">
        <f t="shared" si="147"/>
        <v>232.96044058712167</v>
      </c>
      <c r="O378" s="68">
        <f t="shared" si="152"/>
        <v>232.96044058712167</v>
      </c>
      <c r="P378" s="68"/>
      <c r="Q378" s="68">
        <v>168</v>
      </c>
      <c r="R378" s="68">
        <v>8</v>
      </c>
      <c r="S378" s="68">
        <v>16</v>
      </c>
      <c r="T378" s="68">
        <v>601</v>
      </c>
      <c r="U378" s="68"/>
      <c r="V378" s="68">
        <v>288</v>
      </c>
      <c r="W378" s="68"/>
      <c r="X378" s="111">
        <v>11844</v>
      </c>
      <c r="Y378" s="82"/>
      <c r="Z378" s="142"/>
      <c r="AA378" s="371">
        <f t="shared" si="148"/>
        <v>564</v>
      </c>
      <c r="AB378" s="55">
        <f t="shared" si="149"/>
        <v>329</v>
      </c>
      <c r="AC378" s="100">
        <f t="shared" si="150"/>
        <v>2.0868055555555554</v>
      </c>
      <c r="AD378" s="191">
        <f t="shared" si="151"/>
        <v>5.3084160000000002</v>
      </c>
      <c r="AF378" s="6"/>
    </row>
    <row r="379" spans="1:33" ht="13.5" customHeight="1" x14ac:dyDescent="0.2">
      <c r="A379" s="182"/>
      <c r="B379" s="48" t="s">
        <v>716</v>
      </c>
      <c r="C379" s="226"/>
      <c r="D379" s="212"/>
      <c r="E379" s="12" t="s">
        <v>718</v>
      </c>
      <c r="F379" s="466" t="s">
        <v>1012</v>
      </c>
      <c r="G379" s="123" t="s">
        <v>22</v>
      </c>
      <c r="H379" s="132" t="s">
        <v>528</v>
      </c>
      <c r="I379" s="161"/>
      <c r="J379" s="136"/>
      <c r="K379" s="16" t="s">
        <v>22</v>
      </c>
      <c r="L379" s="248" t="s">
        <v>23</v>
      </c>
      <c r="M379" s="383"/>
      <c r="N379" s="380">
        <f>AVERAGE(N380:N384)</f>
        <v>1033.526630371352</v>
      </c>
      <c r="O379" s="382">
        <f>AVERAGE(O380:O384)</f>
        <v>1033.526630371352</v>
      </c>
      <c r="P379" s="61"/>
      <c r="Q379" s="61" t="s">
        <v>1737</v>
      </c>
      <c r="R379" s="61"/>
      <c r="S379" s="61" t="s">
        <v>720</v>
      </c>
      <c r="T379" s="61"/>
      <c r="U379" s="61"/>
      <c r="V379" s="62" t="s">
        <v>206</v>
      </c>
      <c r="W379" s="61"/>
      <c r="X379" s="522" t="s">
        <v>158</v>
      </c>
      <c r="Y379" s="215" t="s">
        <v>721</v>
      </c>
      <c r="Z379" s="164"/>
      <c r="AA379" s="370">
        <f>AVERAGE(AA380:AA384)</f>
        <v>586.35416666666674</v>
      </c>
      <c r="AB379" s="210">
        <f>AVERAGE(AB380:AB384)</f>
        <v>417.60752688172045</v>
      </c>
      <c r="AC379" s="1452">
        <f>AVERAGE(AC380:AC384)</f>
        <v>2.8794982078853044</v>
      </c>
      <c r="AD379" s="109" t="s">
        <v>650</v>
      </c>
      <c r="AG379" s="5" t="s">
        <v>358</v>
      </c>
    </row>
    <row r="380" spans="1:33" ht="13.5" thickBot="1" x14ac:dyDescent="0.25">
      <c r="A380" s="1195" t="s">
        <v>929</v>
      </c>
      <c r="B380" s="41" t="s">
        <v>702</v>
      </c>
      <c r="C380" s="230" t="s">
        <v>697</v>
      </c>
      <c r="D380" s="213" t="s">
        <v>708</v>
      </c>
      <c r="E380" s="41" t="s">
        <v>2038</v>
      </c>
      <c r="F380" s="45" t="s">
        <v>1133</v>
      </c>
      <c r="G380" s="19">
        <v>15.2</v>
      </c>
      <c r="H380" s="124">
        <v>17</v>
      </c>
      <c r="I380" s="162">
        <v>133</v>
      </c>
      <c r="J380" s="257"/>
      <c r="K380" s="258"/>
      <c r="L380" s="249">
        <v>17000</v>
      </c>
      <c r="M380" s="151">
        <v>17000</v>
      </c>
      <c r="N380" s="65">
        <f>IF(AND(G380&lt;&gt;"",M380&lt;&gt;""),M380/G380,"")</f>
        <v>1118.421052631579</v>
      </c>
      <c r="O380" s="65">
        <f>IF(AND(G380&lt;&gt;"",L380&lt;&gt;""),L380/G380,"")</f>
        <v>1118.421052631579</v>
      </c>
      <c r="P380" s="65"/>
      <c r="Q380" s="65">
        <v>24</v>
      </c>
      <c r="R380" s="65">
        <v>2</v>
      </c>
      <c r="S380" s="65">
        <v>4</v>
      </c>
      <c r="T380" s="65">
        <v>133</v>
      </c>
      <c r="U380" s="65"/>
      <c r="V380" s="65">
        <v>30</v>
      </c>
      <c r="W380" s="65"/>
      <c r="X380" s="110">
        <f>L380/8</f>
        <v>2125</v>
      </c>
      <c r="Y380" s="216"/>
      <c r="Z380" s="141" t="str">
        <f>IF(AND(L380&lt;&gt;"",Y380&lt;&gt;""),L380/Y380,"")</f>
        <v/>
      </c>
      <c r="AA380" s="371">
        <f>L380/Q380</f>
        <v>708.33333333333337</v>
      </c>
      <c r="AB380" s="54">
        <f>L380/V380</f>
        <v>566.66666666666663</v>
      </c>
      <c r="AC380" s="281">
        <f>T380/V380</f>
        <v>4.4333333333333336</v>
      </c>
      <c r="AD380" s="191">
        <f>512*36*V380/1000000</f>
        <v>0.55296000000000001</v>
      </c>
      <c r="AF380" s="6"/>
    </row>
    <row r="381" spans="1:33" ht="13.5" thickBot="1" x14ac:dyDescent="0.25">
      <c r="A381" s="1195" t="s">
        <v>929</v>
      </c>
      <c r="B381" s="41" t="s">
        <v>702</v>
      </c>
      <c r="C381" s="230" t="s">
        <v>697</v>
      </c>
      <c r="D381" s="213" t="s">
        <v>708</v>
      </c>
      <c r="E381" s="41" t="s">
        <v>2039</v>
      </c>
      <c r="F381" s="18" t="s">
        <v>737</v>
      </c>
      <c r="G381" s="19">
        <v>31.71</v>
      </c>
      <c r="H381" s="124">
        <v>17</v>
      </c>
      <c r="I381" s="162">
        <v>133</v>
      </c>
      <c r="J381" s="257"/>
      <c r="K381" s="258"/>
      <c r="L381" s="249">
        <v>33000</v>
      </c>
      <c r="M381" s="151">
        <v>33000</v>
      </c>
      <c r="N381" s="65">
        <f>IF(AND(G381&lt;&gt;"",M381&lt;&gt;""),M381/G381,"")</f>
        <v>1040.6811731315042</v>
      </c>
      <c r="O381" s="65">
        <f>IF(AND(G381&lt;&gt;"",L381&lt;&gt;""),L381/G381,"")</f>
        <v>1040.6811731315042</v>
      </c>
      <c r="P381" s="65"/>
      <c r="Q381" s="65">
        <v>64</v>
      </c>
      <c r="R381" s="65">
        <v>4</v>
      </c>
      <c r="S381" s="65">
        <v>4</v>
      </c>
      <c r="T381" s="65">
        <v>310</v>
      </c>
      <c r="U381" s="65"/>
      <c r="V381" s="65">
        <v>72</v>
      </c>
      <c r="W381" s="65"/>
      <c r="X381" s="110">
        <f>L381/8</f>
        <v>4125</v>
      </c>
      <c r="Y381" s="216"/>
      <c r="Z381" s="141" t="str">
        <f>IF(AND(L381&lt;&gt;"",Y381&lt;&gt;""),L381/Y381,"")</f>
        <v/>
      </c>
      <c r="AA381" s="371">
        <f>L381/Q381</f>
        <v>515.625</v>
      </c>
      <c r="AB381" s="54">
        <f>L381/V381</f>
        <v>458.33333333333331</v>
      </c>
      <c r="AC381" s="281">
        <f>T381/V381</f>
        <v>4.3055555555555554</v>
      </c>
      <c r="AD381" s="191">
        <f>512*36*V381/1000000</f>
        <v>1.3271040000000001</v>
      </c>
      <c r="AF381" s="6"/>
    </row>
    <row r="382" spans="1:33" ht="13.5" thickBot="1" x14ac:dyDescent="0.25">
      <c r="A382" s="274" t="s">
        <v>740</v>
      </c>
      <c r="B382" s="41" t="s">
        <v>702</v>
      </c>
      <c r="C382" s="230" t="s">
        <v>697</v>
      </c>
      <c r="D382" s="213" t="s">
        <v>708</v>
      </c>
      <c r="E382" s="41" t="s">
        <v>2040</v>
      </c>
      <c r="F382" s="18" t="s">
        <v>739</v>
      </c>
      <c r="G382" s="19">
        <v>63.6</v>
      </c>
      <c r="H382" s="124">
        <v>23</v>
      </c>
      <c r="I382" s="162">
        <v>295</v>
      </c>
      <c r="J382" s="257"/>
      <c r="K382" s="258"/>
      <c r="L382" s="249">
        <v>67000</v>
      </c>
      <c r="M382" s="151">
        <v>67000</v>
      </c>
      <c r="N382" s="65">
        <f>IF(AND(G382&lt;&gt;"",M382&lt;&gt;""),M382/G382,"")</f>
        <v>1053.4591194968552</v>
      </c>
      <c r="O382" s="65">
        <f>IF(AND(G382&lt;&gt;"",L382&lt;&gt;""),L382/G382,"")</f>
        <v>1053.4591194968552</v>
      </c>
      <c r="P382" s="65"/>
      <c r="Q382" s="65">
        <v>128</v>
      </c>
      <c r="R382" s="65">
        <v>10</v>
      </c>
      <c r="S382" s="65">
        <v>12</v>
      </c>
      <c r="T382" s="65">
        <v>490</v>
      </c>
      <c r="U382" s="65"/>
      <c r="V382" s="65">
        <v>240</v>
      </c>
      <c r="W382" s="65"/>
      <c r="X382" s="110">
        <f>L382/8</f>
        <v>8375</v>
      </c>
      <c r="Y382" s="216">
        <v>35</v>
      </c>
      <c r="Z382" s="141">
        <f>IF(AND(L382&lt;&gt;"",Y382&lt;&gt;""),L382/Y382,"")</f>
        <v>1914.2857142857142</v>
      </c>
      <c r="AA382" s="371">
        <f>L382/Q382</f>
        <v>523.4375</v>
      </c>
      <c r="AB382" s="54">
        <f>L382/V382</f>
        <v>279.16666666666669</v>
      </c>
      <c r="AC382" s="281">
        <f>T382/V382</f>
        <v>2.0416666666666665</v>
      </c>
      <c r="AD382" s="191">
        <f>512*36*V382/1000000</f>
        <v>4.4236800000000001</v>
      </c>
      <c r="AF382" s="6"/>
    </row>
    <row r="383" spans="1:33" ht="13.5" thickBot="1" x14ac:dyDescent="0.25">
      <c r="A383" s="1195" t="s">
        <v>929</v>
      </c>
      <c r="B383" s="41" t="s">
        <v>702</v>
      </c>
      <c r="C383" s="230" t="s">
        <v>697</v>
      </c>
      <c r="D383" s="213" t="s">
        <v>708</v>
      </c>
      <c r="E383" s="41" t="s">
        <v>2041</v>
      </c>
      <c r="F383" s="18" t="s">
        <v>633</v>
      </c>
      <c r="G383" s="19">
        <v>87.77</v>
      </c>
      <c r="H383" s="124">
        <v>23</v>
      </c>
      <c r="I383" s="162">
        <v>295</v>
      </c>
      <c r="J383" s="257"/>
      <c r="K383" s="258"/>
      <c r="L383" s="249">
        <v>92000</v>
      </c>
      <c r="M383" s="151">
        <v>92000</v>
      </c>
      <c r="N383" s="65">
        <f>IF(AND(G383&lt;&gt;"",M383&lt;&gt;""),M383/G383,"")</f>
        <v>1048.1941437848923</v>
      </c>
      <c r="O383" s="65">
        <f>IF(AND(G383&lt;&gt;"",L383&lt;&gt;""),L383/G383,"")</f>
        <v>1048.1941437848923</v>
      </c>
      <c r="P383" s="65"/>
      <c r="Q383" s="65">
        <v>128</v>
      </c>
      <c r="R383" s="65">
        <v>10</v>
      </c>
      <c r="S383" s="65">
        <v>12</v>
      </c>
      <c r="T383" s="65">
        <v>490</v>
      </c>
      <c r="U383" s="65"/>
      <c r="V383" s="65">
        <v>240</v>
      </c>
      <c r="W383" s="65"/>
      <c r="X383" s="110">
        <f>L383/8</f>
        <v>11500</v>
      </c>
      <c r="Y383" s="216">
        <v>50</v>
      </c>
      <c r="Z383" s="141">
        <f>IF(AND(L383&lt;&gt;"",Y383&lt;&gt;""),L383/Y383,"")</f>
        <v>1840</v>
      </c>
      <c r="AA383" s="371">
        <f>L383/Q383</f>
        <v>718.75</v>
      </c>
      <c r="AB383" s="54">
        <f>L383/V383</f>
        <v>383.33333333333331</v>
      </c>
      <c r="AC383" s="281">
        <f>T383/V383</f>
        <v>2.0416666666666665</v>
      </c>
      <c r="AD383" s="191">
        <f>512*36*V383/1000000</f>
        <v>4.4236800000000001</v>
      </c>
      <c r="AF383" s="6"/>
    </row>
    <row r="384" spans="1:33" ht="13.5" thickBot="1" x14ac:dyDescent="0.25">
      <c r="A384" s="274" t="s">
        <v>740</v>
      </c>
      <c r="B384" s="41" t="s">
        <v>702</v>
      </c>
      <c r="C384" s="230" t="s">
        <v>697</v>
      </c>
      <c r="D384" s="213" t="s">
        <v>708</v>
      </c>
      <c r="E384" s="41" t="s">
        <v>2042</v>
      </c>
      <c r="F384" s="22" t="s">
        <v>851</v>
      </c>
      <c r="G384" s="23">
        <v>164.3</v>
      </c>
      <c r="H384" s="125">
        <v>27</v>
      </c>
      <c r="I384" s="163">
        <v>380</v>
      </c>
      <c r="J384" s="257"/>
      <c r="K384" s="258"/>
      <c r="L384" s="250">
        <v>149000</v>
      </c>
      <c r="M384" s="152">
        <v>149000</v>
      </c>
      <c r="N384" s="65">
        <f>IF(AND(G384&lt;&gt;"",M384&lt;&gt;""),M384/G384,"")</f>
        <v>906.87766281192933</v>
      </c>
      <c r="O384" s="65">
        <f>IF(AND(G384&lt;&gt;"",L384&lt;&gt;""),L384/G384,"")</f>
        <v>906.87766281192933</v>
      </c>
      <c r="P384" s="68"/>
      <c r="Q384" s="68">
        <v>320</v>
      </c>
      <c r="R384" s="68">
        <v>10</v>
      </c>
      <c r="S384" s="68">
        <v>16</v>
      </c>
      <c r="T384" s="68">
        <v>586</v>
      </c>
      <c r="U384" s="68"/>
      <c r="V384" s="68">
        <v>372</v>
      </c>
      <c r="W384" s="68"/>
      <c r="X384" s="110">
        <f>L384/8</f>
        <v>18625</v>
      </c>
      <c r="Y384" s="217">
        <v>75</v>
      </c>
      <c r="Z384" s="141">
        <f>IF(AND(L384&lt;&gt;"",Y384&lt;&gt;""),L384/Y384,"")</f>
        <v>1986.6666666666667</v>
      </c>
      <c r="AA384" s="371">
        <f>L384/Q384</f>
        <v>465.625</v>
      </c>
      <c r="AB384" s="54">
        <f>L384/V384</f>
        <v>400.53763440860217</v>
      </c>
      <c r="AC384" s="281">
        <f>T384/V384</f>
        <v>1.575268817204301</v>
      </c>
      <c r="AD384" s="191">
        <f>512*36*V384/1000000</f>
        <v>6.8567039999999997</v>
      </c>
      <c r="AF384" s="6"/>
    </row>
    <row r="385" spans="1:33" s="751" customFormat="1" ht="13.5" customHeight="1" x14ac:dyDescent="0.2">
      <c r="A385" s="769"/>
      <c r="B385" s="842" t="s">
        <v>716</v>
      </c>
      <c r="C385" s="771"/>
      <c r="D385" s="772"/>
      <c r="E385" s="773" t="s">
        <v>1109</v>
      </c>
      <c r="F385" s="774" t="s">
        <v>1012</v>
      </c>
      <c r="G385" s="875" t="s">
        <v>22</v>
      </c>
      <c r="H385" s="776" t="s">
        <v>528</v>
      </c>
      <c r="I385" s="876"/>
      <c r="J385" s="845"/>
      <c r="K385" s="777" t="s">
        <v>22</v>
      </c>
      <c r="L385" s="813" t="s">
        <v>23</v>
      </c>
      <c r="M385" s="1005"/>
      <c r="N385" s="1006" t="e">
        <f>AVERAGE(N386:N390)</f>
        <v>#DIV/0!</v>
      </c>
      <c r="O385" s="1007" t="e">
        <f>AVERAGE(O386:O390)</f>
        <v>#DIV/0!</v>
      </c>
      <c r="P385" s="780"/>
      <c r="Q385" s="780" t="s">
        <v>1737</v>
      </c>
      <c r="R385" s="780"/>
      <c r="S385" s="780" t="s">
        <v>437</v>
      </c>
      <c r="T385" s="780"/>
      <c r="U385" s="780" t="s">
        <v>1116</v>
      </c>
      <c r="V385" s="781" t="s">
        <v>206</v>
      </c>
      <c r="W385" s="780" t="s">
        <v>1118</v>
      </c>
      <c r="X385" s="782" t="s">
        <v>158</v>
      </c>
      <c r="Y385" s="1008" t="s">
        <v>721</v>
      </c>
      <c r="Z385" s="784"/>
      <c r="AA385" s="1009">
        <f>AVERAGE(AA386:AA390)</f>
        <v>527.14285714285711</v>
      </c>
      <c r="AB385" s="1010" t="e">
        <f>AVERAGE(AB386:AB390)</f>
        <v>#DIV/0!</v>
      </c>
      <c r="AC385" s="1460">
        <f>AVERAGE(AC386:AC390)</f>
        <v>2.3850000000000002</v>
      </c>
      <c r="AD385" s="782" t="s">
        <v>650</v>
      </c>
      <c r="AG385" s="1011" t="s">
        <v>1123</v>
      </c>
    </row>
    <row r="386" spans="1:33" s="751" customFormat="1" x14ac:dyDescent="0.2">
      <c r="A386" s="1012"/>
      <c r="B386" s="552" t="s">
        <v>702</v>
      </c>
      <c r="C386" s="553"/>
      <c r="D386" s="554" t="s">
        <v>708</v>
      </c>
      <c r="E386" s="573" t="s">
        <v>1110</v>
      </c>
      <c r="F386" s="790"/>
      <c r="G386" s="791"/>
      <c r="H386" s="792">
        <v>23</v>
      </c>
      <c r="I386" s="877">
        <v>224</v>
      </c>
      <c r="J386" s="597"/>
      <c r="K386" s="793"/>
      <c r="L386" s="1013">
        <v>33000</v>
      </c>
      <c r="M386" s="1014">
        <v>33000</v>
      </c>
      <c r="N386" s="564" t="str">
        <f t="shared" ref="N386:N391" si="153">IF(AND(G386&lt;&gt;"",M386&lt;&gt;""),M386/G386,"")</f>
        <v/>
      </c>
      <c r="O386" s="564"/>
      <c r="P386" s="564"/>
      <c r="Q386" s="564">
        <v>64</v>
      </c>
      <c r="R386" s="564">
        <v>8</v>
      </c>
      <c r="S386" s="564">
        <v>4</v>
      </c>
      <c r="T386" s="564">
        <v>224</v>
      </c>
      <c r="U386" s="564">
        <v>1</v>
      </c>
      <c r="V386" s="564">
        <v>64</v>
      </c>
      <c r="W386" s="564">
        <v>18</v>
      </c>
      <c r="X386" s="566">
        <f t="shared" ref="X386:X391" si="154">L386/8</f>
        <v>4125</v>
      </c>
      <c r="Y386" s="1015"/>
      <c r="Z386" s="568"/>
      <c r="AA386" s="601">
        <f t="shared" ref="AA386:AA391" si="155">L386/Q386</f>
        <v>515.625</v>
      </c>
      <c r="AB386" s="570"/>
      <c r="AC386" s="1453">
        <f t="shared" ref="AC386:AC391" si="156">T386/V386</f>
        <v>3.5</v>
      </c>
      <c r="AD386" s="572">
        <f t="shared" ref="AD386:AD391" si="157">512*36*V386/1000000</f>
        <v>1.179648</v>
      </c>
      <c r="AF386" s="756"/>
      <c r="AG386" s="756" t="s">
        <v>1117</v>
      </c>
    </row>
    <row r="387" spans="1:33" s="751" customFormat="1" x14ac:dyDescent="0.2">
      <c r="A387" s="1012"/>
      <c r="B387" s="552" t="s">
        <v>702</v>
      </c>
      <c r="C387" s="553"/>
      <c r="D387" s="554" t="s">
        <v>708</v>
      </c>
      <c r="E387" s="573" t="s">
        <v>1111</v>
      </c>
      <c r="F387" s="790"/>
      <c r="G387" s="791"/>
      <c r="H387" s="792">
        <v>23</v>
      </c>
      <c r="I387" s="877">
        <v>224</v>
      </c>
      <c r="J387" s="597"/>
      <c r="K387" s="793"/>
      <c r="L387" s="1013">
        <v>47000</v>
      </c>
      <c r="M387" s="1014">
        <v>47000</v>
      </c>
      <c r="N387" s="564" t="str">
        <f t="shared" si="153"/>
        <v/>
      </c>
      <c r="O387" s="564"/>
      <c r="P387" s="564"/>
      <c r="Q387" s="564">
        <v>64</v>
      </c>
      <c r="R387" s="564">
        <v>8</v>
      </c>
      <c r="S387" s="564">
        <v>4</v>
      </c>
      <c r="T387" s="564">
        <v>224</v>
      </c>
      <c r="U387" s="564">
        <v>1</v>
      </c>
      <c r="V387" s="564">
        <v>64</v>
      </c>
      <c r="W387" s="564">
        <v>18</v>
      </c>
      <c r="X387" s="566">
        <f t="shared" si="154"/>
        <v>5875</v>
      </c>
      <c r="Y387" s="1015"/>
      <c r="Z387" s="568"/>
      <c r="AA387" s="601">
        <f t="shared" si="155"/>
        <v>734.375</v>
      </c>
      <c r="AB387" s="570"/>
      <c r="AC387" s="1453">
        <f t="shared" si="156"/>
        <v>3.5</v>
      </c>
      <c r="AD387" s="572">
        <f t="shared" si="157"/>
        <v>1.179648</v>
      </c>
      <c r="AF387" s="756"/>
      <c r="AG387" s="756" t="s">
        <v>1122</v>
      </c>
    </row>
    <row r="388" spans="1:33" s="751" customFormat="1" x14ac:dyDescent="0.2">
      <c r="A388" s="1012"/>
      <c r="B388" s="552" t="s">
        <v>702</v>
      </c>
      <c r="C388" s="553"/>
      <c r="D388" s="554" t="s">
        <v>708</v>
      </c>
      <c r="E388" s="573" t="s">
        <v>1112</v>
      </c>
      <c r="F388" s="790"/>
      <c r="G388" s="791"/>
      <c r="H388" s="792">
        <v>27</v>
      </c>
      <c r="I388" s="877">
        <v>360</v>
      </c>
      <c r="J388" s="597"/>
      <c r="K388" s="793"/>
      <c r="L388" s="1013">
        <v>95000</v>
      </c>
      <c r="M388" s="1014">
        <v>95000</v>
      </c>
      <c r="N388" s="564" t="str">
        <f t="shared" si="153"/>
        <v/>
      </c>
      <c r="O388" s="564"/>
      <c r="P388" s="564"/>
      <c r="Q388" s="564">
        <v>224</v>
      </c>
      <c r="R388" s="564">
        <v>8</v>
      </c>
      <c r="S388" s="564">
        <v>8</v>
      </c>
      <c r="T388" s="564">
        <v>392</v>
      </c>
      <c r="U388" s="564">
        <v>2</v>
      </c>
      <c r="V388" s="564">
        <v>224</v>
      </c>
      <c r="W388" s="564">
        <v>32</v>
      </c>
      <c r="X388" s="566">
        <f t="shared" si="154"/>
        <v>11875</v>
      </c>
      <c r="Y388" s="1015"/>
      <c r="Z388" s="568"/>
      <c r="AA388" s="601">
        <f t="shared" si="155"/>
        <v>424.10714285714283</v>
      </c>
      <c r="AB388" s="570"/>
      <c r="AC388" s="1453">
        <f t="shared" si="156"/>
        <v>1.75</v>
      </c>
      <c r="AD388" s="572">
        <f t="shared" si="157"/>
        <v>4.128768</v>
      </c>
      <c r="AF388" s="756"/>
      <c r="AG388" s="756" t="s">
        <v>1119</v>
      </c>
    </row>
    <row r="389" spans="1:33" s="751" customFormat="1" x14ac:dyDescent="0.2">
      <c r="A389" s="1012"/>
      <c r="B389" s="552" t="s">
        <v>702</v>
      </c>
      <c r="C389" s="553"/>
      <c r="D389" s="554" t="s">
        <v>708</v>
      </c>
      <c r="E389" s="573" t="s">
        <v>1113</v>
      </c>
      <c r="F389" s="790"/>
      <c r="G389" s="791"/>
      <c r="H389" s="792">
        <v>27</v>
      </c>
      <c r="I389" s="877">
        <v>360</v>
      </c>
      <c r="J389" s="597"/>
      <c r="K389" s="793"/>
      <c r="L389" s="1013">
        <v>130000</v>
      </c>
      <c r="M389" s="1014">
        <v>130000</v>
      </c>
      <c r="N389" s="564" t="str">
        <f t="shared" si="153"/>
        <v/>
      </c>
      <c r="O389" s="564"/>
      <c r="P389" s="564"/>
      <c r="Q389" s="564">
        <v>224</v>
      </c>
      <c r="R389" s="564">
        <v>8</v>
      </c>
      <c r="S389" s="564">
        <v>8</v>
      </c>
      <c r="T389" s="564">
        <v>392</v>
      </c>
      <c r="U389" s="564">
        <v>2</v>
      </c>
      <c r="V389" s="564">
        <v>224</v>
      </c>
      <c r="W389" s="564">
        <v>32</v>
      </c>
      <c r="X389" s="566">
        <f t="shared" si="154"/>
        <v>16250</v>
      </c>
      <c r="Y389" s="1015"/>
      <c r="Z389" s="568"/>
      <c r="AA389" s="601">
        <f t="shared" si="155"/>
        <v>580.35714285714289</v>
      </c>
      <c r="AB389" s="570"/>
      <c r="AC389" s="1453">
        <f t="shared" si="156"/>
        <v>1.75</v>
      </c>
      <c r="AD389" s="572">
        <f t="shared" si="157"/>
        <v>4.128768</v>
      </c>
      <c r="AF389" s="756"/>
      <c r="AG389" s="756" t="s">
        <v>1120</v>
      </c>
    </row>
    <row r="390" spans="1:33" s="751" customFormat="1" x14ac:dyDescent="0.2">
      <c r="A390" s="1012"/>
      <c r="B390" s="552" t="s">
        <v>702</v>
      </c>
      <c r="C390" s="553"/>
      <c r="D390" s="554" t="s">
        <v>708</v>
      </c>
      <c r="E390" s="573" t="s">
        <v>1114</v>
      </c>
      <c r="F390" s="790"/>
      <c r="G390" s="791"/>
      <c r="H390" s="792">
        <v>27</v>
      </c>
      <c r="I390" s="877">
        <v>392</v>
      </c>
      <c r="J390" s="597"/>
      <c r="K390" s="793"/>
      <c r="L390" s="1013">
        <v>183000</v>
      </c>
      <c r="M390" s="1014">
        <v>183000</v>
      </c>
      <c r="N390" s="564" t="str">
        <f t="shared" si="153"/>
        <v/>
      </c>
      <c r="O390" s="564"/>
      <c r="P390" s="564"/>
      <c r="Q390" s="564">
        <v>480</v>
      </c>
      <c r="R390" s="564">
        <v>8</v>
      </c>
      <c r="S390" s="564">
        <v>12</v>
      </c>
      <c r="T390" s="564">
        <v>456</v>
      </c>
      <c r="U390" s="564">
        <v>3</v>
      </c>
      <c r="V390" s="564">
        <v>320</v>
      </c>
      <c r="W390" s="564">
        <v>36</v>
      </c>
      <c r="X390" s="566">
        <f t="shared" si="154"/>
        <v>22875</v>
      </c>
      <c r="Y390" s="1015">
        <v>60</v>
      </c>
      <c r="Z390" s="568">
        <f>IF(AND(L390&lt;&gt;"",Y390&lt;&gt;""),L390/Y390,"")</f>
        <v>3050</v>
      </c>
      <c r="AA390" s="601">
        <f t="shared" si="155"/>
        <v>381.25</v>
      </c>
      <c r="AB390" s="570"/>
      <c r="AC390" s="1453">
        <f t="shared" si="156"/>
        <v>1.425</v>
      </c>
      <c r="AD390" s="572">
        <f t="shared" si="157"/>
        <v>5.8982400000000004</v>
      </c>
      <c r="AF390" s="756"/>
      <c r="AG390" s="756" t="s">
        <v>1121</v>
      </c>
    </row>
    <row r="391" spans="1:33" s="751" customFormat="1" ht="13.5" thickBot="1" x14ac:dyDescent="0.25">
      <c r="A391" s="1012"/>
      <c r="B391" s="552" t="s">
        <v>702</v>
      </c>
      <c r="C391" s="553"/>
      <c r="D391" s="554" t="s">
        <v>708</v>
      </c>
      <c r="E391" s="555" t="s">
        <v>1115</v>
      </c>
      <c r="F391" s="556"/>
      <c r="G391" s="557"/>
      <c r="H391" s="558">
        <v>31</v>
      </c>
      <c r="I391" s="559">
        <v>512</v>
      </c>
      <c r="J391" s="560"/>
      <c r="K391" s="561"/>
      <c r="L391" s="562">
        <v>241000</v>
      </c>
      <c r="M391" s="563">
        <v>241000</v>
      </c>
      <c r="N391" s="564" t="str">
        <f t="shared" si="153"/>
        <v/>
      </c>
      <c r="O391" s="565"/>
      <c r="P391" s="565"/>
      <c r="Q391" s="565">
        <v>576</v>
      </c>
      <c r="R391" s="565">
        <v>8</v>
      </c>
      <c r="S391" s="565">
        <v>16</v>
      </c>
      <c r="T391" s="565">
        <v>512</v>
      </c>
      <c r="U391" s="565">
        <v>4</v>
      </c>
      <c r="V391" s="565">
        <v>576</v>
      </c>
      <c r="W391" s="565">
        <v>40</v>
      </c>
      <c r="X391" s="566">
        <f t="shared" si="154"/>
        <v>30125</v>
      </c>
      <c r="Y391" s="567"/>
      <c r="Z391" s="568"/>
      <c r="AA391" s="569">
        <f t="shared" si="155"/>
        <v>418.40277777777777</v>
      </c>
      <c r="AB391" s="570"/>
      <c r="AC391" s="1453">
        <f t="shared" si="156"/>
        <v>0.88888888888888884</v>
      </c>
      <c r="AD391" s="572">
        <f t="shared" si="157"/>
        <v>10.616832</v>
      </c>
      <c r="AF391" s="756"/>
      <c r="AG391" s="756" t="s">
        <v>1124</v>
      </c>
    </row>
    <row r="392" spans="1:33" s="493" customFormat="1" ht="13.5" customHeight="1" x14ac:dyDescent="0.2">
      <c r="A392" s="523"/>
      <c r="B392" s="48" t="s">
        <v>716</v>
      </c>
      <c r="C392" s="1077"/>
      <c r="D392" s="1078"/>
      <c r="E392" s="12" t="s">
        <v>1538</v>
      </c>
      <c r="F392" s="466" t="s">
        <v>1017</v>
      </c>
      <c r="G392" s="1079" t="s">
        <v>22</v>
      </c>
      <c r="H392" s="1029" t="s">
        <v>528</v>
      </c>
      <c r="I392" s="840"/>
      <c r="J392" s="858"/>
      <c r="K392" s="1080" t="s">
        <v>22</v>
      </c>
      <c r="L392" s="517" t="s">
        <v>23</v>
      </c>
      <c r="M392" s="860"/>
      <c r="N392" s="380">
        <f>AVERAGE(N393:N399)</f>
        <v>2315.6261505223674</v>
      </c>
      <c r="O392" s="382">
        <f>AVERAGE(O394:O395)</f>
        <v>2721.2738853503188</v>
      </c>
      <c r="P392" s="399"/>
      <c r="Q392" s="61" t="s">
        <v>1737</v>
      </c>
      <c r="R392" s="399"/>
      <c r="S392" s="399" t="s">
        <v>1729</v>
      </c>
      <c r="T392" s="399"/>
      <c r="U392" s="399"/>
      <c r="V392" s="468" t="s">
        <v>206</v>
      </c>
      <c r="W392" s="399"/>
      <c r="X392" s="522" t="s">
        <v>158</v>
      </c>
      <c r="Y392" s="215" t="s">
        <v>721</v>
      </c>
      <c r="Z392" s="863"/>
      <c r="AA392" s="370">
        <f>AVERAGE(AA393:AA399)</f>
        <v>636.04116518402225</v>
      </c>
      <c r="AB392" s="210">
        <f>AVERAGE(AB394:AB395)</f>
        <v>420.56084656084658</v>
      </c>
      <c r="AC392" s="1452">
        <f>AVERAGE(AC393:AC399)</f>
        <v>3.034088101052387</v>
      </c>
      <c r="AD392" s="522" t="s">
        <v>650</v>
      </c>
      <c r="AG392" s="1081" t="s">
        <v>1541</v>
      </c>
    </row>
    <row r="393" spans="1:33" s="493" customFormat="1" ht="13.5" customHeight="1" x14ac:dyDescent="0.2">
      <c r="A393" s="1195" t="s">
        <v>740</v>
      </c>
      <c r="B393" s="448"/>
      <c r="C393" s="1213"/>
      <c r="D393" s="470"/>
      <c r="E393" s="1003" t="s">
        <v>1730</v>
      </c>
      <c r="F393" s="45" t="s">
        <v>1678</v>
      </c>
      <c r="G393" s="1148">
        <v>6.5</v>
      </c>
      <c r="H393" s="1214">
        <v>10</v>
      </c>
      <c r="I393" s="841">
        <v>118</v>
      </c>
      <c r="J393" s="1215"/>
      <c r="K393" s="1216"/>
      <c r="L393" s="1067">
        <v>12000</v>
      </c>
      <c r="M393" s="469">
        <v>12000</v>
      </c>
      <c r="N393" s="65">
        <f t="shared" ref="N393:N399" si="158">IF(AND(G393&lt;&gt;"",M393&lt;&gt;""),M393/G393,"")</f>
        <v>1846.1538461538462</v>
      </c>
      <c r="O393" s="1151"/>
      <c r="P393" s="1004"/>
      <c r="Q393" s="1004">
        <v>28</v>
      </c>
      <c r="R393" s="1004">
        <v>2</v>
      </c>
      <c r="S393" s="1004"/>
      <c r="T393" s="1004">
        <v>197</v>
      </c>
      <c r="U393" s="1004"/>
      <c r="V393" s="1152">
        <v>32</v>
      </c>
      <c r="W393" s="1004"/>
      <c r="X393" s="110">
        <f t="shared" ref="X393:X399" si="159">L393/8</f>
        <v>1500</v>
      </c>
      <c r="Y393" s="444">
        <v>3.915</v>
      </c>
      <c r="Z393" s="141">
        <f t="shared" ref="Z393:Z399" si="160">IF(AND(L393&lt;&gt;"",Y393&lt;&gt;""),L393/Y393,"")</f>
        <v>3065.1340996168583</v>
      </c>
      <c r="AA393" s="371">
        <f t="shared" ref="AA393:AA399" si="161">L393/Q393</f>
        <v>428.57142857142856</v>
      </c>
      <c r="AB393" s="95"/>
      <c r="AC393" s="281">
        <f>T393/V393</f>
        <v>6.15625</v>
      </c>
      <c r="AD393" s="191">
        <f>512*36*V393/1000000</f>
        <v>0.58982400000000001</v>
      </c>
      <c r="AG393" s="1081"/>
    </row>
    <row r="394" spans="1:33" s="751" customFormat="1" ht="13.5" thickBot="1" x14ac:dyDescent="0.25">
      <c r="A394" s="1195" t="s">
        <v>929</v>
      </c>
      <c r="B394" s="552"/>
      <c r="C394" s="574"/>
      <c r="D394" s="554"/>
      <c r="E394" s="910" t="s">
        <v>1695</v>
      </c>
      <c r="F394" s="45" t="s">
        <v>1678</v>
      </c>
      <c r="G394" s="19">
        <v>9.1999999999999993</v>
      </c>
      <c r="H394" s="124">
        <v>10</v>
      </c>
      <c r="I394" s="162">
        <v>118</v>
      </c>
      <c r="J394" s="257"/>
      <c r="K394" s="258"/>
      <c r="L394" s="249">
        <v>24288</v>
      </c>
      <c r="M394" s="151">
        <v>24288</v>
      </c>
      <c r="N394" s="65">
        <f t="shared" si="158"/>
        <v>2640</v>
      </c>
      <c r="O394" s="65">
        <f t="shared" ref="O394:O399" si="162">IF(AND(G394&lt;&gt;"",L394&lt;&gt;""),L394/G394,"")</f>
        <v>2640</v>
      </c>
      <c r="P394" s="65"/>
      <c r="Q394" s="65">
        <v>28</v>
      </c>
      <c r="R394" s="65">
        <v>2</v>
      </c>
      <c r="S394" s="65"/>
      <c r="T394" s="65">
        <v>197</v>
      </c>
      <c r="U394" s="65"/>
      <c r="V394" s="65">
        <v>56</v>
      </c>
      <c r="W394" s="65"/>
      <c r="X394" s="110">
        <f t="shared" si="159"/>
        <v>3036</v>
      </c>
      <c r="Y394" s="216">
        <v>7.508</v>
      </c>
      <c r="Z394" s="141">
        <f t="shared" si="160"/>
        <v>3234.9493873201918</v>
      </c>
      <c r="AA394" s="371">
        <f t="shared" si="161"/>
        <v>867.42857142857144</v>
      </c>
      <c r="AB394" s="54">
        <f t="shared" ref="AB394:AB399" si="163">L394/V394</f>
        <v>433.71428571428572</v>
      </c>
      <c r="AC394" s="281">
        <f t="shared" ref="AC394:AC399" si="164">T394/V394</f>
        <v>3.5178571428571428</v>
      </c>
      <c r="AD394" s="191">
        <f t="shared" ref="AD394:AD399" si="165">512*36*V394/1000000</f>
        <v>1.032192</v>
      </c>
      <c r="AF394" s="756"/>
      <c r="AG394" s="492" t="s">
        <v>1539</v>
      </c>
    </row>
    <row r="395" spans="1:33" s="751" customFormat="1" ht="13.5" thickBot="1" x14ac:dyDescent="0.25">
      <c r="A395" s="1195" t="s">
        <v>929</v>
      </c>
      <c r="B395" s="573"/>
      <c r="C395" s="574"/>
      <c r="D395" s="554"/>
      <c r="E395" s="910" t="s">
        <v>1677</v>
      </c>
      <c r="F395" s="45" t="s">
        <v>1678</v>
      </c>
      <c r="G395" s="19">
        <v>15.7</v>
      </c>
      <c r="H395" s="124">
        <v>10</v>
      </c>
      <c r="I395" s="162">
        <v>118</v>
      </c>
      <c r="J395" s="257"/>
      <c r="K395" s="258"/>
      <c r="L395" s="249">
        <v>44000</v>
      </c>
      <c r="M395" s="151">
        <v>44000</v>
      </c>
      <c r="N395" s="65">
        <f t="shared" si="158"/>
        <v>2802.5477707006371</v>
      </c>
      <c r="O395" s="65">
        <f t="shared" si="162"/>
        <v>2802.5477707006371</v>
      </c>
      <c r="P395" s="65"/>
      <c r="Q395" s="65">
        <v>72</v>
      </c>
      <c r="R395" s="65">
        <v>4</v>
      </c>
      <c r="S395" s="65"/>
      <c r="T395" s="65">
        <v>245</v>
      </c>
      <c r="U395" s="65"/>
      <c r="V395" s="65">
        <v>108</v>
      </c>
      <c r="W395" s="65"/>
      <c r="X395" s="110">
        <f t="shared" si="159"/>
        <v>5500</v>
      </c>
      <c r="Y395" s="216">
        <v>12.34</v>
      </c>
      <c r="Z395" s="141">
        <f t="shared" si="160"/>
        <v>3565.6401944894651</v>
      </c>
      <c r="AA395" s="371">
        <f t="shared" si="161"/>
        <v>611.11111111111109</v>
      </c>
      <c r="AB395" s="54">
        <f t="shared" si="163"/>
        <v>407.40740740740739</v>
      </c>
      <c r="AC395" s="281">
        <f t="shared" si="164"/>
        <v>2.2685185185185186</v>
      </c>
      <c r="AD395" s="191">
        <f t="shared" si="165"/>
        <v>1.990656</v>
      </c>
      <c r="AF395" s="756"/>
      <c r="AG395" s="492" t="s">
        <v>1540</v>
      </c>
    </row>
    <row r="396" spans="1:33" s="751" customFormat="1" ht="13.5" thickBot="1" x14ac:dyDescent="0.25">
      <c r="A396" s="1195" t="s">
        <v>740</v>
      </c>
      <c r="B396" s="573"/>
      <c r="C396" s="574"/>
      <c r="D396" s="554"/>
      <c r="E396" s="910" t="s">
        <v>1696</v>
      </c>
      <c r="F396" s="45" t="s">
        <v>1678</v>
      </c>
      <c r="G396" s="19">
        <v>30.33</v>
      </c>
      <c r="H396" s="124">
        <v>10</v>
      </c>
      <c r="I396" s="162">
        <v>118</v>
      </c>
      <c r="J396" s="257"/>
      <c r="K396" s="258"/>
      <c r="L396" s="249">
        <v>84000</v>
      </c>
      <c r="M396" s="151">
        <v>84000</v>
      </c>
      <c r="N396" s="65">
        <f t="shared" si="158"/>
        <v>2769.5351137487637</v>
      </c>
      <c r="O396" s="65">
        <f t="shared" si="162"/>
        <v>2769.5351137487637</v>
      </c>
      <c r="P396" s="65"/>
      <c r="Q396" s="65">
        <v>156</v>
      </c>
      <c r="R396" s="65">
        <v>4</v>
      </c>
      <c r="S396" s="65"/>
      <c r="T396" s="65">
        <v>365</v>
      </c>
      <c r="U396" s="65"/>
      <c r="V396" s="65">
        <v>208</v>
      </c>
      <c r="W396" s="65"/>
      <c r="X396" s="110">
        <f t="shared" si="159"/>
        <v>10500</v>
      </c>
      <c r="Y396" s="216">
        <v>23.63</v>
      </c>
      <c r="Z396" s="141">
        <f t="shared" si="160"/>
        <v>3554.8032162505292</v>
      </c>
      <c r="AA396" s="371">
        <f t="shared" si="161"/>
        <v>538.46153846153845</v>
      </c>
      <c r="AB396" s="54">
        <f t="shared" si="163"/>
        <v>403.84615384615387</v>
      </c>
      <c r="AC396" s="281">
        <f t="shared" si="164"/>
        <v>1.7548076923076923</v>
      </c>
      <c r="AD396" s="191">
        <f t="shared" si="165"/>
        <v>3.8338559999999999</v>
      </c>
      <c r="AF396" s="756"/>
      <c r="AG396" s="492" t="s">
        <v>1542</v>
      </c>
    </row>
    <row r="397" spans="1:33" s="751" customFormat="1" ht="13.5" thickBot="1" x14ac:dyDescent="0.25">
      <c r="A397" s="1195" t="s">
        <v>740</v>
      </c>
      <c r="B397" s="573"/>
      <c r="C397" s="574"/>
      <c r="D397" s="554"/>
      <c r="E397" s="41" t="s">
        <v>1693</v>
      </c>
      <c r="F397" s="45" t="s">
        <v>1678</v>
      </c>
      <c r="G397" s="19">
        <v>12.77</v>
      </c>
      <c r="H397" s="124">
        <v>10</v>
      </c>
      <c r="I397" s="162">
        <v>118</v>
      </c>
      <c r="J397" s="257"/>
      <c r="K397" s="258"/>
      <c r="L397" s="249">
        <v>24000</v>
      </c>
      <c r="M397" s="151">
        <v>24000</v>
      </c>
      <c r="N397" s="65">
        <f t="shared" si="158"/>
        <v>1879.4048551292092</v>
      </c>
      <c r="O397" s="65">
        <f t="shared" si="162"/>
        <v>1879.4048551292092</v>
      </c>
      <c r="P397" s="65"/>
      <c r="Q397" s="65">
        <v>28</v>
      </c>
      <c r="R397" s="65">
        <v>2</v>
      </c>
      <c r="S397" s="65">
        <v>2</v>
      </c>
      <c r="T397" s="65">
        <v>197</v>
      </c>
      <c r="U397" s="65"/>
      <c r="V397" s="65">
        <v>56</v>
      </c>
      <c r="W397" s="65"/>
      <c r="X397" s="110">
        <f t="shared" si="159"/>
        <v>3000</v>
      </c>
      <c r="Y397" s="216"/>
      <c r="Z397" s="141" t="str">
        <f t="shared" si="160"/>
        <v/>
      </c>
      <c r="AA397" s="371">
        <f t="shared" si="161"/>
        <v>857.14285714285711</v>
      </c>
      <c r="AB397" s="54">
        <f t="shared" si="163"/>
        <v>428.57142857142856</v>
      </c>
      <c r="AC397" s="281">
        <f t="shared" si="164"/>
        <v>3.5178571428571428</v>
      </c>
      <c r="AD397" s="191">
        <f t="shared" si="165"/>
        <v>1.032192</v>
      </c>
      <c r="AF397" s="756"/>
      <c r="AG397" s="492"/>
    </row>
    <row r="398" spans="1:33" s="751" customFormat="1" ht="13.5" thickBot="1" x14ac:dyDescent="0.25">
      <c r="A398" s="1195" t="s">
        <v>740</v>
      </c>
      <c r="B398" s="573"/>
      <c r="C398" s="574"/>
      <c r="D398" s="554"/>
      <c r="E398" s="41" t="s">
        <v>1679</v>
      </c>
      <c r="F398" s="45" t="s">
        <v>1678</v>
      </c>
      <c r="G398" s="19">
        <v>23.78</v>
      </c>
      <c r="H398" s="124">
        <v>10</v>
      </c>
      <c r="I398" s="162">
        <v>118</v>
      </c>
      <c r="J398" s="257"/>
      <c r="K398" s="258"/>
      <c r="L398" s="249">
        <v>44000</v>
      </c>
      <c r="M398" s="151">
        <v>44000</v>
      </c>
      <c r="N398" s="65">
        <f t="shared" si="158"/>
        <v>1850.2943650126156</v>
      </c>
      <c r="O398" s="65">
        <f t="shared" si="162"/>
        <v>1850.2943650126156</v>
      </c>
      <c r="P398" s="65"/>
      <c r="Q398" s="65">
        <v>72</v>
      </c>
      <c r="R398" s="65">
        <v>4</v>
      </c>
      <c r="S398" s="65">
        <v>4</v>
      </c>
      <c r="T398" s="65">
        <v>245</v>
      </c>
      <c r="U398" s="65"/>
      <c r="V398" s="65">
        <v>108</v>
      </c>
      <c r="W398" s="65"/>
      <c r="X398" s="110">
        <f t="shared" si="159"/>
        <v>5500</v>
      </c>
      <c r="Y398" s="216"/>
      <c r="Z398" s="141" t="str">
        <f t="shared" si="160"/>
        <v/>
      </c>
      <c r="AA398" s="371">
        <f t="shared" si="161"/>
        <v>611.11111111111109</v>
      </c>
      <c r="AB398" s="54">
        <f t="shared" si="163"/>
        <v>407.40740740740739</v>
      </c>
      <c r="AC398" s="281">
        <f t="shared" si="164"/>
        <v>2.2685185185185186</v>
      </c>
      <c r="AD398" s="191">
        <f t="shared" si="165"/>
        <v>1.990656</v>
      </c>
      <c r="AF398" s="756"/>
      <c r="AG398" s="492"/>
    </row>
    <row r="399" spans="1:33" s="751" customFormat="1" ht="13.5" thickBot="1" x14ac:dyDescent="0.25">
      <c r="A399" s="1195" t="s">
        <v>740</v>
      </c>
      <c r="B399" s="555"/>
      <c r="C399" s="819"/>
      <c r="D399" s="757"/>
      <c r="E399" s="41" t="s">
        <v>1694</v>
      </c>
      <c r="F399" s="45" t="s">
        <v>1697</v>
      </c>
      <c r="G399" s="19">
        <v>34.69</v>
      </c>
      <c r="H399" s="124">
        <v>10</v>
      </c>
      <c r="I399" s="162">
        <v>118</v>
      </c>
      <c r="J399" s="257"/>
      <c r="K399" s="258"/>
      <c r="L399" s="249">
        <v>84000</v>
      </c>
      <c r="M399" s="151">
        <v>84000</v>
      </c>
      <c r="N399" s="65">
        <f t="shared" si="158"/>
        <v>2421.447102911502</v>
      </c>
      <c r="O399" s="65">
        <f t="shared" si="162"/>
        <v>2421.447102911502</v>
      </c>
      <c r="P399" s="65"/>
      <c r="Q399" s="65">
        <v>156</v>
      </c>
      <c r="R399" s="65">
        <v>4</v>
      </c>
      <c r="S399" s="65">
        <v>4</v>
      </c>
      <c r="T399" s="65">
        <v>365</v>
      </c>
      <c r="U399" s="65"/>
      <c r="V399" s="65">
        <v>208</v>
      </c>
      <c r="W399" s="65"/>
      <c r="X399" s="110">
        <f t="shared" si="159"/>
        <v>10500</v>
      </c>
      <c r="Y399" s="216"/>
      <c r="Z399" s="141" t="str">
        <f t="shared" si="160"/>
        <v/>
      </c>
      <c r="AA399" s="371">
        <f t="shared" si="161"/>
        <v>538.46153846153845</v>
      </c>
      <c r="AB399" s="54">
        <f t="shared" si="163"/>
        <v>403.84615384615387</v>
      </c>
      <c r="AC399" s="281">
        <f t="shared" si="164"/>
        <v>1.7548076923076923</v>
      </c>
      <c r="AD399" s="191">
        <f t="shared" si="165"/>
        <v>3.8338559999999999</v>
      </c>
      <c r="AF399" s="756"/>
      <c r="AG399" s="492"/>
    </row>
    <row r="400" spans="1:33" ht="13.5" customHeight="1" thickBot="1" x14ac:dyDescent="0.25">
      <c r="A400" s="182"/>
      <c r="B400" s="48" t="s">
        <v>716</v>
      </c>
      <c r="C400" s="226"/>
      <c r="D400" s="212"/>
      <c r="E400" s="12" t="s">
        <v>180</v>
      </c>
      <c r="F400" s="15"/>
      <c r="G400" s="14" t="s">
        <v>21</v>
      </c>
      <c r="H400" s="123"/>
      <c r="I400" s="161"/>
      <c r="J400" s="174"/>
      <c r="K400" s="175" t="s">
        <v>22</v>
      </c>
      <c r="L400" s="248" t="s">
        <v>23</v>
      </c>
      <c r="M400" s="61"/>
      <c r="N400" s="61"/>
      <c r="O400" s="61"/>
      <c r="P400" s="61"/>
      <c r="Q400" s="62"/>
      <c r="R400" s="62"/>
      <c r="S400" s="74" t="s">
        <v>181</v>
      </c>
      <c r="T400" s="61"/>
      <c r="U400" s="62"/>
      <c r="V400" s="62" t="s">
        <v>182</v>
      </c>
      <c r="W400" s="61" t="s">
        <v>66</v>
      </c>
      <c r="X400" s="113" t="s">
        <v>158</v>
      </c>
      <c r="Y400" s="259"/>
      <c r="Z400" s="164"/>
      <c r="AA400" s="373"/>
      <c r="AB400" s="210">
        <f>AVERAGE(AB401:AB459)</f>
        <v>400.76283110320844</v>
      </c>
      <c r="AC400" s="98">
        <f>AVERAGE(AC401:AC457)</f>
        <v>9.1036726735783358</v>
      </c>
      <c r="AD400" s="113"/>
      <c r="AG400" s="237" t="s">
        <v>183</v>
      </c>
    </row>
    <row r="401" spans="1:33" ht="13.5" thickBot="1" x14ac:dyDescent="0.25">
      <c r="A401" s="182"/>
      <c r="B401" s="17"/>
      <c r="C401" s="227"/>
      <c r="D401" s="213"/>
      <c r="E401" s="17">
        <v>125</v>
      </c>
      <c r="F401" s="18"/>
      <c r="G401" s="19"/>
      <c r="H401" s="124"/>
      <c r="I401" s="162"/>
      <c r="J401" s="174"/>
      <c r="K401" s="176"/>
      <c r="L401" s="249">
        <f>8*X401</f>
        <v>1936</v>
      </c>
      <c r="M401" s="65"/>
      <c r="N401" s="65"/>
      <c r="O401" s="65"/>
      <c r="P401" s="65"/>
      <c r="Q401" s="65"/>
      <c r="R401" s="65"/>
      <c r="S401" s="65">
        <v>4</v>
      </c>
      <c r="T401" s="65">
        <v>176</v>
      </c>
      <c r="U401" s="65"/>
      <c r="V401" s="65">
        <v>20</v>
      </c>
      <c r="W401" s="65"/>
      <c r="X401" s="110">
        <v>242</v>
      </c>
      <c r="Y401" s="216"/>
      <c r="Z401" s="141"/>
      <c r="AA401" s="371"/>
      <c r="AB401" s="211">
        <f>L401/V401</f>
        <v>96.8</v>
      </c>
      <c r="AC401" s="99">
        <f>T401/V401</f>
        <v>8.8000000000000007</v>
      </c>
      <c r="AD401" s="110">
        <f>256*18*V401</f>
        <v>92160</v>
      </c>
      <c r="AF401" s="6"/>
      <c r="AG401" s="236"/>
    </row>
    <row r="402" spans="1:33" ht="13.5" thickBot="1" x14ac:dyDescent="0.25">
      <c r="A402" s="182"/>
      <c r="B402" s="17"/>
      <c r="C402" s="227"/>
      <c r="D402" s="213"/>
      <c r="E402" s="17">
        <v>200</v>
      </c>
      <c r="F402" s="18"/>
      <c r="G402" s="19"/>
      <c r="H402" s="124"/>
      <c r="I402" s="162"/>
      <c r="J402" s="174"/>
      <c r="K402" s="176"/>
      <c r="L402" s="249">
        <f>8*X402</f>
        <v>2704</v>
      </c>
      <c r="M402" s="65"/>
      <c r="N402" s="65"/>
      <c r="O402" s="65"/>
      <c r="P402" s="65"/>
      <c r="Q402" s="65"/>
      <c r="R402" s="65"/>
      <c r="S402" s="65">
        <v>8</v>
      </c>
      <c r="T402" s="65">
        <v>208</v>
      </c>
      <c r="U402" s="65"/>
      <c r="V402" s="65">
        <v>24</v>
      </c>
      <c r="W402" s="65"/>
      <c r="X402" s="110">
        <v>338</v>
      </c>
      <c r="Y402" s="216"/>
      <c r="Z402" s="141"/>
      <c r="AA402" s="371"/>
      <c r="AB402" s="211">
        <f>L402/V402</f>
        <v>112.66666666666667</v>
      </c>
      <c r="AC402" s="99">
        <f>T402/V402</f>
        <v>8.6666666666666661</v>
      </c>
      <c r="AD402" s="110">
        <f>256*18*V402</f>
        <v>110592</v>
      </c>
      <c r="AF402" s="6"/>
      <c r="AG402" s="236"/>
    </row>
    <row r="403" spans="1:33" ht="13.5" thickBot="1" x14ac:dyDescent="0.25">
      <c r="A403" s="182"/>
      <c r="B403" s="17"/>
      <c r="C403" s="227"/>
      <c r="D403" s="213"/>
      <c r="E403" s="17">
        <v>500</v>
      </c>
      <c r="F403" s="18"/>
      <c r="G403" s="19"/>
      <c r="H403" s="124"/>
      <c r="I403" s="162"/>
      <c r="J403" s="174"/>
      <c r="K403" s="176"/>
      <c r="L403" s="249">
        <f>8*X403</f>
        <v>7056</v>
      </c>
      <c r="M403" s="65"/>
      <c r="N403" s="65"/>
      <c r="O403" s="65"/>
      <c r="P403" s="65"/>
      <c r="Q403" s="65"/>
      <c r="R403" s="65"/>
      <c r="S403" s="65">
        <v>12</v>
      </c>
      <c r="T403" s="65">
        <v>336</v>
      </c>
      <c r="U403" s="65"/>
      <c r="V403" s="65">
        <v>40</v>
      </c>
      <c r="W403" s="65"/>
      <c r="X403" s="110">
        <v>882</v>
      </c>
      <c r="Y403" s="216"/>
      <c r="Z403" s="141"/>
      <c r="AA403" s="371"/>
      <c r="AB403" s="211">
        <f>L403/V403</f>
        <v>176.4</v>
      </c>
      <c r="AC403" s="99">
        <f>T403/V403</f>
        <v>8.4</v>
      </c>
      <c r="AD403" s="110">
        <f>256*18*V403</f>
        <v>184320</v>
      </c>
      <c r="AF403" s="6"/>
      <c r="AG403" s="236"/>
    </row>
    <row r="404" spans="1:33" ht="13.5" thickBot="1" x14ac:dyDescent="0.25">
      <c r="A404" s="182"/>
      <c r="B404" s="21"/>
      <c r="C404" s="228"/>
      <c r="D404" s="214"/>
      <c r="E404" s="21">
        <v>1200</v>
      </c>
      <c r="F404" s="22"/>
      <c r="G404" s="23"/>
      <c r="H404" s="125"/>
      <c r="I404" s="163"/>
      <c r="J404" s="174"/>
      <c r="K404" s="176"/>
      <c r="L404" s="250">
        <f>8*X404</f>
        <v>15376</v>
      </c>
      <c r="M404" s="68"/>
      <c r="N404" s="68"/>
      <c r="O404" s="68"/>
      <c r="P404" s="68"/>
      <c r="Q404" s="68"/>
      <c r="R404" s="68"/>
      <c r="S404" s="68">
        <v>20</v>
      </c>
      <c r="T404" s="68">
        <v>496</v>
      </c>
      <c r="U404" s="68"/>
      <c r="V404" s="68">
        <v>90</v>
      </c>
      <c r="W404" s="68"/>
      <c r="X404" s="111">
        <v>1922</v>
      </c>
      <c r="Y404" s="217"/>
      <c r="Z404" s="142"/>
      <c r="AA404" s="374"/>
      <c r="AB404" s="202">
        <f>L404/V404</f>
        <v>170.84444444444443</v>
      </c>
      <c r="AC404" s="100">
        <f>T404/V404</f>
        <v>5.5111111111111111</v>
      </c>
      <c r="AD404" s="111">
        <f>256*18*V404</f>
        <v>414720</v>
      </c>
      <c r="AF404" s="6"/>
      <c r="AG404" s="236"/>
    </row>
    <row r="405" spans="1:33" ht="13.5" customHeight="1" thickBot="1" x14ac:dyDescent="0.25">
      <c r="A405" s="182"/>
      <c r="B405" s="48" t="s">
        <v>716</v>
      </c>
      <c r="C405" s="226"/>
      <c r="D405" s="212"/>
      <c r="E405" s="12" t="s">
        <v>316</v>
      </c>
      <c r="F405" s="13"/>
      <c r="G405" s="14" t="s">
        <v>22</v>
      </c>
      <c r="H405" s="132" t="s">
        <v>528</v>
      </c>
      <c r="I405" s="161"/>
      <c r="J405" s="178"/>
      <c r="K405" s="175" t="s">
        <v>22</v>
      </c>
      <c r="L405" s="248" t="s">
        <v>23</v>
      </c>
      <c r="M405" s="61"/>
      <c r="N405" s="386">
        <f>AVERAGE(N406:N410)</f>
        <v>257.36030301495117</v>
      </c>
      <c r="O405" s="61"/>
      <c r="P405" s="61"/>
      <c r="Q405" s="61"/>
      <c r="R405" s="61"/>
      <c r="S405" s="61"/>
      <c r="T405" s="61"/>
      <c r="U405" s="61"/>
      <c r="V405" s="62" t="s">
        <v>157</v>
      </c>
      <c r="W405" s="61"/>
      <c r="X405" s="109" t="s">
        <v>158</v>
      </c>
      <c r="Y405" s="215"/>
      <c r="Z405" s="164"/>
      <c r="AA405" s="373"/>
      <c r="AB405" s="210">
        <f>AVERAGE(AB406:AB410)</f>
        <v>502.93333333333328</v>
      </c>
      <c r="AC405" s="98">
        <f>AVERAGE(AC406:AC410)</f>
        <v>14.47878787878788</v>
      </c>
      <c r="AD405" s="109"/>
      <c r="AG405" s="269" t="s">
        <v>329</v>
      </c>
    </row>
    <row r="406" spans="1:33" ht="13.5" thickBot="1" x14ac:dyDescent="0.25">
      <c r="A406" s="182" t="s">
        <v>26</v>
      </c>
      <c r="B406" s="17"/>
      <c r="C406" s="227"/>
      <c r="D406" s="213"/>
      <c r="E406" s="118" t="s">
        <v>317</v>
      </c>
      <c r="F406" s="18" t="s">
        <v>323</v>
      </c>
      <c r="G406" s="19">
        <v>14.42</v>
      </c>
      <c r="H406" s="124">
        <v>14</v>
      </c>
      <c r="I406" s="162">
        <v>62</v>
      </c>
      <c r="J406" s="174" t="s">
        <v>322</v>
      </c>
      <c r="K406" s="176">
        <v>23.5</v>
      </c>
      <c r="L406" s="249">
        <f>8*X406</f>
        <v>3072</v>
      </c>
      <c r="M406" s="151">
        <f>8*X406</f>
        <v>3072</v>
      </c>
      <c r="N406" s="65">
        <f>IF(AND(G406&lt;&gt;"",M406&lt;&gt;""),M406/G406,"")</f>
        <v>213.03744798890429</v>
      </c>
      <c r="O406" s="65">
        <f>IF(AND(G406&lt;&gt;"",L406&lt;&gt;""),L406/G406,"")</f>
        <v>213.03744798890429</v>
      </c>
      <c r="P406" s="65"/>
      <c r="Q406" s="65"/>
      <c r="R406" s="65">
        <v>2</v>
      </c>
      <c r="S406" s="65"/>
      <c r="T406" s="65">
        <v>136</v>
      </c>
      <c r="U406" s="65"/>
      <c r="V406" s="65">
        <v>6</v>
      </c>
      <c r="W406" s="65"/>
      <c r="X406" s="110">
        <v>384</v>
      </c>
      <c r="Y406" s="216"/>
      <c r="Z406" s="141"/>
      <c r="AA406" s="371"/>
      <c r="AB406" s="211">
        <f>L406/V406</f>
        <v>512</v>
      </c>
      <c r="AC406" s="99">
        <f>T406/V406</f>
        <v>22.666666666666668</v>
      </c>
      <c r="AD406" s="110">
        <f>256*36*V406</f>
        <v>55296</v>
      </c>
      <c r="AF406" s="6"/>
      <c r="AG406" s="236"/>
    </row>
    <row r="407" spans="1:33" ht="13.5" thickBot="1" x14ac:dyDescent="0.25">
      <c r="A407" s="182" t="s">
        <v>26</v>
      </c>
      <c r="B407" s="17"/>
      <c r="C407" s="227"/>
      <c r="D407" s="213"/>
      <c r="E407" s="118" t="s">
        <v>318</v>
      </c>
      <c r="F407" s="18" t="s">
        <v>168</v>
      </c>
      <c r="G407" s="19">
        <v>24.48</v>
      </c>
      <c r="H407" s="124">
        <v>17</v>
      </c>
      <c r="I407" s="162">
        <v>188</v>
      </c>
      <c r="J407" s="174" t="s">
        <v>324</v>
      </c>
      <c r="K407" s="176">
        <v>39.479999999999997</v>
      </c>
      <c r="L407" s="249">
        <f>8*X407</f>
        <v>5760</v>
      </c>
      <c r="M407" s="151">
        <f>8*X407</f>
        <v>5760</v>
      </c>
      <c r="N407" s="65">
        <f>IF(AND(G407&lt;&gt;"",M407&lt;&gt;""),M407/G407,"")</f>
        <v>235.29411764705881</v>
      </c>
      <c r="O407" s="65">
        <f>IF(AND(G407&lt;&gt;"",L407&lt;&gt;""),L407/G407,"")</f>
        <v>235.29411764705881</v>
      </c>
      <c r="P407" s="65"/>
      <c r="Q407" s="65"/>
      <c r="R407" s="65">
        <v>2</v>
      </c>
      <c r="S407" s="65"/>
      <c r="T407" s="65">
        <v>188</v>
      </c>
      <c r="U407" s="65"/>
      <c r="V407" s="65">
        <v>8</v>
      </c>
      <c r="W407" s="65"/>
      <c r="X407" s="110">
        <v>720</v>
      </c>
      <c r="Y407" s="216"/>
      <c r="Z407" s="141"/>
      <c r="AA407" s="371"/>
      <c r="AB407" s="211">
        <f>L407/V407</f>
        <v>720</v>
      </c>
      <c r="AC407" s="99">
        <f>T407/V407</f>
        <v>23.5</v>
      </c>
      <c r="AD407" s="110">
        <f>256*36*V407</f>
        <v>73728</v>
      </c>
      <c r="AF407" s="6"/>
      <c r="AG407" s="236"/>
    </row>
    <row r="408" spans="1:33" ht="13.5" thickBot="1" x14ac:dyDescent="0.25">
      <c r="A408" s="182" t="s">
        <v>26</v>
      </c>
      <c r="B408" s="17"/>
      <c r="C408" s="227"/>
      <c r="D408" s="213"/>
      <c r="E408" s="118" t="s">
        <v>319</v>
      </c>
      <c r="F408" s="18" t="s">
        <v>172</v>
      </c>
      <c r="G408" s="19">
        <v>36.590000000000003</v>
      </c>
      <c r="H408" s="124">
        <v>17</v>
      </c>
      <c r="I408" s="162">
        <v>188</v>
      </c>
      <c r="J408" s="174" t="s">
        <v>325</v>
      </c>
      <c r="K408" s="176">
        <v>60.08</v>
      </c>
      <c r="L408" s="249">
        <f>8*X408</f>
        <v>9728</v>
      </c>
      <c r="M408" s="151">
        <f>8*X408</f>
        <v>9728</v>
      </c>
      <c r="N408" s="65">
        <f>IF(AND(G408&lt;&gt;"",M408&lt;&gt;""),M408/G408,"")</f>
        <v>265.86499043454495</v>
      </c>
      <c r="O408" s="65">
        <f>IF(AND(G408&lt;&gt;"",L408&lt;&gt;""),L408/G408,"")</f>
        <v>265.86499043454495</v>
      </c>
      <c r="P408" s="65"/>
      <c r="Q408" s="65"/>
      <c r="R408" s="65">
        <v>4</v>
      </c>
      <c r="S408" s="65"/>
      <c r="T408" s="65">
        <v>244</v>
      </c>
      <c r="U408" s="65"/>
      <c r="V408" s="65">
        <v>24</v>
      </c>
      <c r="W408" s="65"/>
      <c r="X408" s="110">
        <v>1216</v>
      </c>
      <c r="Y408" s="216">
        <v>15</v>
      </c>
      <c r="Z408" s="141">
        <f>IF(AND(L408&lt;&gt;"",Y408&lt;&gt;""),L408/Y408,"")</f>
        <v>648.5333333333333</v>
      </c>
      <c r="AA408" s="371"/>
      <c r="AB408" s="211">
        <f>L408/V408</f>
        <v>405.33333333333331</v>
      </c>
      <c r="AC408" s="99">
        <f>T408/V408</f>
        <v>10.166666666666666</v>
      </c>
      <c r="AD408" s="110">
        <f>256*36*V408</f>
        <v>221184</v>
      </c>
      <c r="AF408" s="6"/>
      <c r="AG408" s="236"/>
    </row>
    <row r="409" spans="1:33" ht="13.5" thickBot="1" x14ac:dyDescent="0.25">
      <c r="A409" s="182" t="s">
        <v>26</v>
      </c>
      <c r="B409" s="17"/>
      <c r="C409" s="227"/>
      <c r="D409" s="213"/>
      <c r="E409" s="118" t="s">
        <v>320</v>
      </c>
      <c r="F409" s="18" t="s">
        <v>327</v>
      </c>
      <c r="G409" s="19">
        <v>55.65</v>
      </c>
      <c r="H409" s="124">
        <v>17</v>
      </c>
      <c r="I409" s="162">
        <v>188</v>
      </c>
      <c r="J409" s="174" t="s">
        <v>165</v>
      </c>
      <c r="K409" s="176">
        <v>92.05</v>
      </c>
      <c r="L409" s="249">
        <f>8*X409</f>
        <v>15456</v>
      </c>
      <c r="M409" s="151">
        <f>8*X409</f>
        <v>15456</v>
      </c>
      <c r="N409" s="65">
        <f>IF(AND(G409&lt;&gt;"",M409&lt;&gt;""),M409/G409,"")</f>
        <v>277.7358490566038</v>
      </c>
      <c r="O409" s="65">
        <f>IF(AND(G409&lt;&gt;"",L409&lt;&gt;""),L409/G409,"")</f>
        <v>277.7358490566038</v>
      </c>
      <c r="P409" s="65"/>
      <c r="Q409" s="65"/>
      <c r="R409" s="65">
        <v>4</v>
      </c>
      <c r="S409" s="65"/>
      <c r="T409" s="65">
        <v>300</v>
      </c>
      <c r="U409" s="65"/>
      <c r="V409" s="65">
        <v>36</v>
      </c>
      <c r="W409" s="65"/>
      <c r="X409" s="110">
        <v>1932</v>
      </c>
      <c r="Y409" s="216"/>
      <c r="Z409" s="141"/>
      <c r="AA409" s="371"/>
      <c r="AB409" s="211">
        <f>L409/V409</f>
        <v>429.33333333333331</v>
      </c>
      <c r="AC409" s="99">
        <f>T409/V409</f>
        <v>8.3333333333333339</v>
      </c>
      <c r="AD409" s="110">
        <f>256*36*V409</f>
        <v>331776</v>
      </c>
      <c r="AF409" s="6"/>
      <c r="AG409" s="236"/>
    </row>
    <row r="410" spans="1:33" ht="13.5" thickBot="1" x14ac:dyDescent="0.25">
      <c r="A410" s="182" t="s">
        <v>26</v>
      </c>
      <c r="B410" s="21"/>
      <c r="C410" s="228"/>
      <c r="D410" s="214"/>
      <c r="E410" s="146" t="s">
        <v>321</v>
      </c>
      <c r="F410" s="22" t="s">
        <v>328</v>
      </c>
      <c r="G410" s="23">
        <v>66.849999999999994</v>
      </c>
      <c r="H410" s="125">
        <v>17</v>
      </c>
      <c r="I410" s="163">
        <v>188</v>
      </c>
      <c r="J410" s="174" t="s">
        <v>326</v>
      </c>
      <c r="K410" s="176">
        <v>105.36</v>
      </c>
      <c r="L410" s="250">
        <f>8*X410</f>
        <v>19712</v>
      </c>
      <c r="M410" s="151">
        <f>8*X410</f>
        <v>19712</v>
      </c>
      <c r="N410" s="65">
        <f>IF(AND(G410&lt;&gt;"",M410&lt;&gt;""),M410/G410,"")</f>
        <v>294.86910994764401</v>
      </c>
      <c r="O410" s="68">
        <f>IF(AND(G410&lt;&gt;"",L410&lt;&gt;""),L410/G410,"")</f>
        <v>294.86910994764401</v>
      </c>
      <c r="P410" s="68"/>
      <c r="Q410" s="68"/>
      <c r="R410" s="68">
        <v>4</v>
      </c>
      <c r="S410" s="68"/>
      <c r="T410" s="68">
        <v>340</v>
      </c>
      <c r="U410" s="68"/>
      <c r="V410" s="68">
        <v>44</v>
      </c>
      <c r="W410" s="68"/>
      <c r="X410" s="111">
        <v>2464</v>
      </c>
      <c r="Y410" s="217"/>
      <c r="Z410" s="142"/>
      <c r="AA410" s="374"/>
      <c r="AB410" s="202">
        <f>L410/V410</f>
        <v>448</v>
      </c>
      <c r="AC410" s="100">
        <f>T410/V410</f>
        <v>7.7272727272727275</v>
      </c>
      <c r="AD410" s="111">
        <f>256*36*V410</f>
        <v>405504</v>
      </c>
      <c r="AF410" s="6"/>
      <c r="AG410" s="236"/>
    </row>
    <row r="411" spans="1:33" ht="13.5" customHeight="1" x14ac:dyDescent="0.2">
      <c r="A411" s="182"/>
      <c r="B411" s="48" t="s">
        <v>716</v>
      </c>
      <c r="C411" s="226"/>
      <c r="D411" s="212"/>
      <c r="E411" s="12" t="s">
        <v>514</v>
      </c>
      <c r="F411" s="466" t="s">
        <v>1015</v>
      </c>
      <c r="G411" s="14" t="s">
        <v>22</v>
      </c>
      <c r="H411" s="132" t="s">
        <v>528</v>
      </c>
      <c r="I411" s="161"/>
      <c r="J411" s="145"/>
      <c r="K411" s="16" t="s">
        <v>22</v>
      </c>
      <c r="L411" s="244" t="s">
        <v>23</v>
      </c>
      <c r="M411" s="60"/>
      <c r="N411" s="380">
        <f>AVERAGE(N412:N416)</f>
        <v>443.36984510958263</v>
      </c>
      <c r="O411" s="61"/>
      <c r="P411" s="61"/>
      <c r="Q411" s="61" t="s">
        <v>1737</v>
      </c>
      <c r="R411" s="61"/>
      <c r="S411" s="61"/>
      <c r="T411" s="61"/>
      <c r="U411" s="61"/>
      <c r="V411" s="62" t="s">
        <v>206</v>
      </c>
      <c r="W411" s="61" t="s">
        <v>66</v>
      </c>
      <c r="X411" s="109" t="s">
        <v>158</v>
      </c>
      <c r="Y411" s="80"/>
      <c r="Z411" s="164"/>
      <c r="AA411" s="372">
        <f>AVERAGE(AA412:AA416)</f>
        <v>810.47619047619048</v>
      </c>
      <c r="AB411" s="92">
        <f>AVERAGE(AB412:AB416)</f>
        <v>913.96825396825386</v>
      </c>
      <c r="AC411" s="98">
        <f>AVERAGE(AC412:AC416)</f>
        <v>18.690793650793651</v>
      </c>
      <c r="AD411" s="109" t="s">
        <v>650</v>
      </c>
      <c r="AE411" s="193"/>
      <c r="AF411" s="868">
        <f>AVERAGE(AF412:AF416)</f>
        <v>49.941781338742388</v>
      </c>
      <c r="AG411" s="269" t="s">
        <v>329</v>
      </c>
    </row>
    <row r="412" spans="1:33" x14ac:dyDescent="0.2">
      <c r="A412" s="274" t="s">
        <v>740</v>
      </c>
      <c r="B412" s="41" t="s">
        <v>701</v>
      </c>
      <c r="C412" s="230" t="s">
        <v>697</v>
      </c>
      <c r="D412" s="213" t="s">
        <v>708</v>
      </c>
      <c r="E412" s="134" t="s">
        <v>1128</v>
      </c>
      <c r="F412" s="45" t="s">
        <v>1125</v>
      </c>
      <c r="G412" s="19">
        <v>13.2</v>
      </c>
      <c r="H412" s="124">
        <v>8</v>
      </c>
      <c r="I412" s="162">
        <v>86</v>
      </c>
      <c r="J412" s="138"/>
      <c r="K412" s="20"/>
      <c r="L412" s="245">
        <f>8*X412</f>
        <v>5000</v>
      </c>
      <c r="M412" s="151">
        <f>8*X412</f>
        <v>5000</v>
      </c>
      <c r="N412" s="65">
        <f>IF(AND(G412&lt;&gt;"",M412&lt;&gt;""),M412/G412,"")</f>
        <v>378.78787878787881</v>
      </c>
      <c r="O412" s="65">
        <f>IF(AND(G412&lt;&gt;"",L412&lt;&gt;""),L412/G412,"")</f>
        <v>378.78787878787881</v>
      </c>
      <c r="P412" s="65"/>
      <c r="Q412" s="65">
        <v>12</v>
      </c>
      <c r="R412" s="65">
        <v>2</v>
      </c>
      <c r="S412" s="65"/>
      <c r="T412" s="65">
        <v>172</v>
      </c>
      <c r="U412" s="65"/>
      <c r="V412" s="65">
        <v>9</v>
      </c>
      <c r="W412" s="65"/>
      <c r="X412" s="110">
        <v>625</v>
      </c>
      <c r="Y412" s="81"/>
      <c r="Z412" s="141" t="str">
        <f>IF(AND(L412&lt;&gt;"",Y412&lt;&gt;""),L412/Y412,"")</f>
        <v/>
      </c>
      <c r="AA412" s="371">
        <f>L412/Q412</f>
        <v>416.66666666666669</v>
      </c>
      <c r="AB412" s="54">
        <f>L412/V412</f>
        <v>555.55555555555554</v>
      </c>
      <c r="AC412" s="99">
        <f>T412/V412</f>
        <v>19.111111111111111</v>
      </c>
      <c r="AD412" s="191">
        <f>512*36*V412/1000000</f>
        <v>0.16588800000000001</v>
      </c>
      <c r="AE412" s="17">
        <v>1.27</v>
      </c>
      <c r="AF412" s="198">
        <f>(AE412*1000000-V412*36*512)/(4*L412)</f>
        <v>55.205599999999997</v>
      </c>
      <c r="AG412" s="236" t="s">
        <v>709</v>
      </c>
    </row>
    <row r="413" spans="1:33" x14ac:dyDescent="0.2">
      <c r="A413" s="274" t="s">
        <v>740</v>
      </c>
      <c r="B413" s="41" t="s">
        <v>701</v>
      </c>
      <c r="C413" s="230" t="s">
        <v>697</v>
      </c>
      <c r="D413" s="213" t="s">
        <v>708</v>
      </c>
      <c r="E413" s="134" t="s">
        <v>1129</v>
      </c>
      <c r="F413" s="45" t="s">
        <v>1125</v>
      </c>
      <c r="G413" s="19">
        <v>16.899999999999999</v>
      </c>
      <c r="H413" s="124">
        <v>8</v>
      </c>
      <c r="I413" s="162">
        <v>86</v>
      </c>
      <c r="J413" s="138"/>
      <c r="K413" s="20"/>
      <c r="L413" s="245">
        <f>8*X413</f>
        <v>8000</v>
      </c>
      <c r="M413" s="151">
        <f>8*X413</f>
        <v>8000</v>
      </c>
      <c r="N413" s="65">
        <f>IF(AND(G413&lt;&gt;"",M413&lt;&gt;""),M413/G413,"")</f>
        <v>473.37278106508882</v>
      </c>
      <c r="O413" s="65">
        <f>IF(AND(G413&lt;&gt;"",L413&lt;&gt;""),L413/G413,"")</f>
        <v>473.37278106508882</v>
      </c>
      <c r="P413" s="65"/>
      <c r="Q413" s="65">
        <v>16</v>
      </c>
      <c r="R413" s="65">
        <v>2</v>
      </c>
      <c r="S413" s="65"/>
      <c r="T413" s="65">
        <v>201</v>
      </c>
      <c r="U413" s="65"/>
      <c r="V413" s="65">
        <v>12</v>
      </c>
      <c r="W413" s="65"/>
      <c r="X413" s="110">
        <v>1000</v>
      </c>
      <c r="Y413" s="81"/>
      <c r="Z413" s="141" t="str">
        <f>IF(AND(L413&lt;&gt;"",Y413&lt;&gt;""),L413/Y413,"")</f>
        <v/>
      </c>
      <c r="AA413" s="371">
        <f>L413/Q413</f>
        <v>500</v>
      </c>
      <c r="AB413" s="54">
        <f>L413/V413</f>
        <v>666.66666666666663</v>
      </c>
      <c r="AC413" s="99">
        <f>T413/V413</f>
        <v>16.75</v>
      </c>
      <c r="AD413" s="191">
        <f>512*36*V413/1000000</f>
        <v>0.22118399999999999</v>
      </c>
      <c r="AE413" s="17">
        <v>1.99</v>
      </c>
      <c r="AF413" s="198">
        <f>(AE413*1000000-V413*36*512)/(4*L413)</f>
        <v>55.275500000000001</v>
      </c>
      <c r="AG413" s="236"/>
    </row>
    <row r="414" spans="1:33" x14ac:dyDescent="0.2">
      <c r="A414" s="274" t="s">
        <v>740</v>
      </c>
      <c r="B414" s="41" t="s">
        <v>701</v>
      </c>
      <c r="C414" s="230" t="s">
        <v>697</v>
      </c>
      <c r="D414" s="213" t="s">
        <v>708</v>
      </c>
      <c r="E414" s="134" t="s">
        <v>1130</v>
      </c>
      <c r="F414" s="45" t="s">
        <v>1126</v>
      </c>
      <c r="G414" s="19">
        <v>35.9</v>
      </c>
      <c r="H414" s="124">
        <v>17</v>
      </c>
      <c r="I414" s="162">
        <v>201</v>
      </c>
      <c r="J414" s="138"/>
      <c r="K414" s="20"/>
      <c r="L414" s="245">
        <f>8*X414</f>
        <v>17000</v>
      </c>
      <c r="M414" s="151">
        <f>8*X414</f>
        <v>17000</v>
      </c>
      <c r="N414" s="65">
        <f>IF(AND(G414&lt;&gt;"",M414&lt;&gt;""),M414/G414,"")</f>
        <v>473.53760445682451</v>
      </c>
      <c r="O414" s="65">
        <f>IF(AND(G414&lt;&gt;"",L414&lt;&gt;""),L414/G414,"")</f>
        <v>473.53760445682451</v>
      </c>
      <c r="P414" s="65"/>
      <c r="Q414" s="65">
        <v>20</v>
      </c>
      <c r="R414" s="65">
        <v>4</v>
      </c>
      <c r="S414" s="65"/>
      <c r="T414" s="65">
        <v>358</v>
      </c>
      <c r="U414" s="65"/>
      <c r="V414" s="65">
        <v>15</v>
      </c>
      <c r="W414" s="65"/>
      <c r="X414" s="110">
        <v>2125</v>
      </c>
      <c r="Y414" s="81">
        <v>12</v>
      </c>
      <c r="Z414" s="141">
        <f>IF(AND(L414&lt;&gt;"",Y414&lt;&gt;""),L414/Y414,"")</f>
        <v>1416.6666666666667</v>
      </c>
      <c r="AA414" s="371">
        <f>L414/Q414</f>
        <v>850</v>
      </c>
      <c r="AB414" s="54">
        <f>L414/V414</f>
        <v>1133.3333333333333</v>
      </c>
      <c r="AC414" s="99">
        <f>T414/V414</f>
        <v>23.866666666666667</v>
      </c>
      <c r="AD414" s="191">
        <f>512*36*V414/1000000</f>
        <v>0.27648</v>
      </c>
      <c r="AE414" s="17">
        <v>3.54</v>
      </c>
      <c r="AF414" s="198">
        <f>(AE414*1000000-V414*36*512)/(4*L414)</f>
        <v>47.992941176470588</v>
      </c>
      <c r="AG414" s="236"/>
    </row>
    <row r="415" spans="1:33" x14ac:dyDescent="0.2">
      <c r="A415" s="274" t="s">
        <v>740</v>
      </c>
      <c r="B415" s="41" t="s">
        <v>701</v>
      </c>
      <c r="C415" s="230" t="s">
        <v>697</v>
      </c>
      <c r="D415" s="213" t="s">
        <v>708</v>
      </c>
      <c r="E415" s="134" t="s">
        <v>1131</v>
      </c>
      <c r="F415" s="45" t="s">
        <v>1127</v>
      </c>
      <c r="G415" s="19">
        <v>65.099999999999994</v>
      </c>
      <c r="H415" s="124">
        <v>17</v>
      </c>
      <c r="I415" s="162">
        <v>201</v>
      </c>
      <c r="J415" s="138"/>
      <c r="K415" s="20"/>
      <c r="L415" s="245">
        <f>8*X415</f>
        <v>29000</v>
      </c>
      <c r="M415" s="151">
        <f>8*X415</f>
        <v>29000</v>
      </c>
      <c r="N415" s="65">
        <f>IF(AND(G415&lt;&gt;"",M415&lt;&gt;""),M415/G415,"")</f>
        <v>445.46850998463907</v>
      </c>
      <c r="O415" s="65">
        <f>IF(AND(G415&lt;&gt;"",L415&lt;&gt;""),L415/G415,"")</f>
        <v>445.46850998463907</v>
      </c>
      <c r="P415" s="65"/>
      <c r="Q415" s="65">
        <v>28</v>
      </c>
      <c r="R415" s="65">
        <v>4</v>
      </c>
      <c r="S415" s="65"/>
      <c r="T415" s="65">
        <v>472</v>
      </c>
      <c r="U415" s="65"/>
      <c r="V415" s="65">
        <v>21</v>
      </c>
      <c r="W415" s="65"/>
      <c r="X415" s="110">
        <v>3625</v>
      </c>
      <c r="Y415" s="81"/>
      <c r="Z415" s="141" t="str">
        <f>IF(AND(L415&lt;&gt;"",Y415&lt;&gt;""),L415/Y415,"")</f>
        <v/>
      </c>
      <c r="AA415" s="371">
        <f>L415/Q415</f>
        <v>1035.7142857142858</v>
      </c>
      <c r="AB415" s="54">
        <f>L415/V415</f>
        <v>1380.952380952381</v>
      </c>
      <c r="AC415" s="99">
        <f>T415/V415</f>
        <v>22.476190476190474</v>
      </c>
      <c r="AD415" s="191">
        <f>512*36*V415/1000000</f>
        <v>0.38707200000000003</v>
      </c>
      <c r="AE415" s="17">
        <v>5.79</v>
      </c>
      <c r="AF415" s="198">
        <f>(AE415*1000000-V415*36*512)/(4*L415)</f>
        <v>46.576965517241376</v>
      </c>
      <c r="AG415" s="236"/>
    </row>
    <row r="416" spans="1:33" ht="13.5" thickBot="1" x14ac:dyDescent="0.25">
      <c r="A416" s="274" t="s">
        <v>740</v>
      </c>
      <c r="B416" s="33" t="s">
        <v>701</v>
      </c>
      <c r="C416" s="230" t="s">
        <v>697</v>
      </c>
      <c r="D416" s="213" t="s">
        <v>708</v>
      </c>
      <c r="E416" s="417" t="s">
        <v>1132</v>
      </c>
      <c r="F416" s="133" t="s">
        <v>751</v>
      </c>
      <c r="G416" s="23">
        <v>89.75</v>
      </c>
      <c r="H416" s="125">
        <v>23</v>
      </c>
      <c r="I416" s="163">
        <v>363</v>
      </c>
      <c r="J416" s="150"/>
      <c r="K416" s="24"/>
      <c r="L416" s="246">
        <f>8*X416</f>
        <v>40000</v>
      </c>
      <c r="M416" s="152">
        <f>8*X416</f>
        <v>40000</v>
      </c>
      <c r="N416" s="65">
        <f>IF(AND(G416&lt;&gt;"",M416&lt;&gt;""),M416/G416,"")</f>
        <v>445.68245125348187</v>
      </c>
      <c r="O416" s="68">
        <f>IF(AND(G416&lt;&gt;"",L416&lt;&gt;""),L416/G416,"")</f>
        <v>445.68245125348187</v>
      </c>
      <c r="P416" s="68"/>
      <c r="Q416" s="68">
        <v>32</v>
      </c>
      <c r="R416" s="68">
        <v>4</v>
      </c>
      <c r="S416" s="68"/>
      <c r="T416" s="68">
        <v>540</v>
      </c>
      <c r="U416" s="68"/>
      <c r="V416" s="68">
        <v>48</v>
      </c>
      <c r="W416" s="68"/>
      <c r="X416" s="111">
        <v>5000</v>
      </c>
      <c r="Y416" s="82"/>
      <c r="Z416" s="142" t="str">
        <f>IF(AND(L416&lt;&gt;"",Y416&lt;&gt;""),L416/Y416,"")</f>
        <v/>
      </c>
      <c r="AA416" s="371">
        <f>L416/Q416</f>
        <v>1250</v>
      </c>
      <c r="AB416" s="55">
        <f>L416/V416</f>
        <v>833.33333333333337</v>
      </c>
      <c r="AC416" s="100">
        <f>T416/V416</f>
        <v>11.25</v>
      </c>
      <c r="AD416" s="191">
        <f>512*36*V416/1000000</f>
        <v>0.88473599999999997</v>
      </c>
      <c r="AE416" s="21">
        <v>8.0299999999999994</v>
      </c>
      <c r="AF416" s="200">
        <f>(AE416*1000000-V416*36*512)/(4*L416)</f>
        <v>44.657899999999991</v>
      </c>
      <c r="AG416" s="236"/>
    </row>
    <row r="417" spans="1:33" ht="13.5" customHeight="1" thickBot="1" x14ac:dyDescent="0.25">
      <c r="A417" s="183"/>
      <c r="B417" s="48" t="s">
        <v>716</v>
      </c>
      <c r="C417" s="226"/>
      <c r="D417" s="212"/>
      <c r="E417" s="12" t="s">
        <v>438</v>
      </c>
      <c r="F417" s="466" t="s">
        <v>1015</v>
      </c>
      <c r="G417" s="14" t="s">
        <v>22</v>
      </c>
      <c r="H417" s="123"/>
      <c r="I417" s="161"/>
      <c r="J417" s="174"/>
      <c r="K417" s="175" t="s">
        <v>22</v>
      </c>
      <c r="L417" s="248" t="s">
        <v>23</v>
      </c>
      <c r="M417" s="61"/>
      <c r="N417" s="61"/>
      <c r="O417" s="61"/>
      <c r="P417" s="61"/>
      <c r="Q417" s="61"/>
      <c r="R417" s="61"/>
      <c r="S417" s="61" t="s">
        <v>439</v>
      </c>
      <c r="T417" s="61"/>
      <c r="U417" s="61"/>
      <c r="V417" s="62" t="s">
        <v>206</v>
      </c>
      <c r="W417" s="61"/>
      <c r="X417" s="109" t="s">
        <v>158</v>
      </c>
      <c r="Y417" s="215"/>
      <c r="Z417" s="164"/>
      <c r="AA417" s="377"/>
      <c r="AB417" s="210">
        <f>AVERAGE(AB418:AB422)</f>
        <v>246.88928779117458</v>
      </c>
      <c r="AC417" s="98">
        <f>AVERAGE(AC418:AC422)</f>
        <v>3.54077826436317</v>
      </c>
      <c r="AD417" s="109" t="s">
        <v>650</v>
      </c>
      <c r="AG417" s="269" t="s">
        <v>329</v>
      </c>
    </row>
    <row r="418" spans="1:33" ht="13.5" thickBot="1" x14ac:dyDescent="0.25">
      <c r="A418" s="182" t="s">
        <v>26</v>
      </c>
      <c r="B418" s="17"/>
      <c r="C418" s="227"/>
      <c r="D418" s="213"/>
      <c r="E418" s="17" t="s">
        <v>440</v>
      </c>
      <c r="F418" s="18"/>
      <c r="G418" s="19"/>
      <c r="H418" s="124"/>
      <c r="I418" s="162"/>
      <c r="J418" s="174"/>
      <c r="K418" s="176"/>
      <c r="L418" s="249">
        <f>8*X418</f>
        <v>15200</v>
      </c>
      <c r="M418" s="65"/>
      <c r="N418" s="65"/>
      <c r="O418" s="65" t="str">
        <f>IF(AND(G418&lt;&gt;"",L418&lt;&gt;""),L418/G418,"")</f>
        <v/>
      </c>
      <c r="P418" s="65"/>
      <c r="Q418" s="65"/>
      <c r="R418" s="65">
        <v>12</v>
      </c>
      <c r="S418" s="65">
        <v>8</v>
      </c>
      <c r="T418" s="65">
        <v>300</v>
      </c>
      <c r="U418" s="65"/>
      <c r="V418" s="65">
        <v>56</v>
      </c>
      <c r="W418" s="65"/>
      <c r="X418" s="110">
        <v>1900</v>
      </c>
      <c r="Y418" s="216"/>
      <c r="Z418" s="141"/>
      <c r="AA418" s="378"/>
      <c r="AB418" s="211">
        <f>L418/V418</f>
        <v>271.42857142857144</v>
      </c>
      <c r="AC418" s="99">
        <f>T418/V418</f>
        <v>5.3571428571428568</v>
      </c>
      <c r="AD418" s="191">
        <f>512*36*V418/1000000</f>
        <v>1.032192</v>
      </c>
      <c r="AF418" s="6"/>
      <c r="AG418" s="236"/>
    </row>
    <row r="419" spans="1:33" ht="13.5" thickBot="1" x14ac:dyDescent="0.25">
      <c r="A419" s="182" t="s">
        <v>26</v>
      </c>
      <c r="B419" s="17"/>
      <c r="C419" s="227"/>
      <c r="D419" s="213"/>
      <c r="E419" s="17" t="s">
        <v>441</v>
      </c>
      <c r="F419" s="18"/>
      <c r="G419" s="19"/>
      <c r="H419" s="124"/>
      <c r="I419" s="162"/>
      <c r="J419" s="174"/>
      <c r="K419" s="176"/>
      <c r="L419" s="249">
        <f>8*X419</f>
        <v>25400</v>
      </c>
      <c r="M419" s="65"/>
      <c r="N419" s="65"/>
      <c r="O419" s="65" t="str">
        <f>IF(AND(G419&lt;&gt;"",L419&lt;&gt;""),L419/G419,"")</f>
        <v/>
      </c>
      <c r="P419" s="65"/>
      <c r="Q419" s="65"/>
      <c r="R419" s="65">
        <v>12</v>
      </c>
      <c r="S419" s="65">
        <v>16</v>
      </c>
      <c r="T419" s="65">
        <v>476</v>
      </c>
      <c r="U419" s="65"/>
      <c r="V419" s="65">
        <v>104</v>
      </c>
      <c r="W419" s="65"/>
      <c r="X419" s="110">
        <v>3175</v>
      </c>
      <c r="Y419" s="216"/>
      <c r="Z419" s="141"/>
      <c r="AA419" s="378"/>
      <c r="AB419" s="211">
        <f>L419/V419</f>
        <v>244.23076923076923</v>
      </c>
      <c r="AC419" s="99">
        <f>T419/V419</f>
        <v>4.5769230769230766</v>
      </c>
      <c r="AD419" s="191">
        <f>512*36*V419/1000000</f>
        <v>1.916928</v>
      </c>
      <c r="AF419" s="6"/>
      <c r="AG419" s="236"/>
    </row>
    <row r="420" spans="1:33" ht="13.5" thickBot="1" x14ac:dyDescent="0.25">
      <c r="A420" s="182" t="s">
        <v>26</v>
      </c>
      <c r="B420" s="17"/>
      <c r="C420" s="227"/>
      <c r="D420" s="213"/>
      <c r="E420" s="17" t="s">
        <v>442</v>
      </c>
      <c r="F420" s="18"/>
      <c r="G420" s="19"/>
      <c r="H420" s="124"/>
      <c r="I420" s="162"/>
      <c r="J420" s="174"/>
      <c r="K420" s="176"/>
      <c r="L420" s="249">
        <f>8*X420</f>
        <v>40400</v>
      </c>
      <c r="M420" s="65"/>
      <c r="N420" s="65"/>
      <c r="O420" s="65" t="str">
        <f>IF(AND(G420&lt;&gt;"",L420&lt;&gt;""),L420/G420,"")</f>
        <v/>
      </c>
      <c r="P420" s="65"/>
      <c r="Q420" s="65"/>
      <c r="R420" s="65">
        <v>12</v>
      </c>
      <c r="S420" s="65">
        <v>16</v>
      </c>
      <c r="T420" s="65">
        <v>562</v>
      </c>
      <c r="U420" s="65"/>
      <c r="V420" s="65">
        <v>216</v>
      </c>
      <c r="W420" s="65"/>
      <c r="X420" s="110">
        <v>5050</v>
      </c>
      <c r="Y420" s="216"/>
      <c r="Z420" s="141" t="str">
        <f>IF(AND(L420&lt;&gt;"",Y420&lt;&gt;""),L420/Y420,"")</f>
        <v/>
      </c>
      <c r="AA420" s="378"/>
      <c r="AB420" s="211">
        <f>L420/V420</f>
        <v>187.03703703703704</v>
      </c>
      <c r="AC420" s="99">
        <f>T420/V420</f>
        <v>2.6018518518518516</v>
      </c>
      <c r="AD420" s="191">
        <f>512*36*V420/1000000</f>
        <v>3.981312</v>
      </c>
      <c r="AF420" s="6"/>
      <c r="AG420" s="236"/>
    </row>
    <row r="421" spans="1:33" ht="13.5" thickBot="1" x14ac:dyDescent="0.25">
      <c r="A421" s="182" t="s">
        <v>26</v>
      </c>
      <c r="B421" s="17"/>
      <c r="C421" s="227"/>
      <c r="D421" s="213"/>
      <c r="E421" s="17" t="s">
        <v>443</v>
      </c>
      <c r="F421" s="18"/>
      <c r="G421" s="19"/>
      <c r="H421" s="124"/>
      <c r="I421" s="162"/>
      <c r="J421" s="174"/>
      <c r="K421" s="176"/>
      <c r="L421" s="249">
        <f>8*X421</f>
        <v>80096</v>
      </c>
      <c r="M421" s="65"/>
      <c r="N421" s="65"/>
      <c r="O421" s="65" t="str">
        <f>IF(AND(G421&lt;&gt;"",L421&lt;&gt;""),L421/G421,"")</f>
        <v/>
      </c>
      <c r="P421" s="65"/>
      <c r="Q421" s="65"/>
      <c r="R421" s="65">
        <v>12</v>
      </c>
      <c r="S421" s="65">
        <v>32</v>
      </c>
      <c r="T421" s="65">
        <v>906</v>
      </c>
      <c r="U421" s="65"/>
      <c r="V421" s="65">
        <v>308</v>
      </c>
      <c r="W421" s="65"/>
      <c r="X421" s="110">
        <v>10012</v>
      </c>
      <c r="Y421" s="216"/>
      <c r="Z421" s="141"/>
      <c r="AA421" s="378"/>
      <c r="AB421" s="211">
        <f>L421/V421</f>
        <v>260.05194805194805</v>
      </c>
      <c r="AC421" s="99">
        <f>T421/V421</f>
        <v>2.9415584415584415</v>
      </c>
      <c r="AD421" s="191">
        <f>512*36*V421/1000000</f>
        <v>5.6770560000000003</v>
      </c>
      <c r="AF421" s="6"/>
      <c r="AG421" s="236"/>
    </row>
    <row r="422" spans="1:33" ht="13.5" thickBot="1" x14ac:dyDescent="0.25">
      <c r="A422" s="184" t="s">
        <v>26</v>
      </c>
      <c r="B422" s="21"/>
      <c r="C422" s="228"/>
      <c r="D422" s="214"/>
      <c r="E422" s="21" t="s">
        <v>444</v>
      </c>
      <c r="F422" s="22"/>
      <c r="G422" s="23"/>
      <c r="H422" s="125"/>
      <c r="I422" s="163"/>
      <c r="J422" s="174"/>
      <c r="K422" s="176"/>
      <c r="L422" s="250">
        <f>8*X422</f>
        <v>115200</v>
      </c>
      <c r="M422" s="68"/>
      <c r="N422" s="68"/>
      <c r="O422" s="68" t="str">
        <f>IF(AND(G422&lt;&gt;"",L422&lt;&gt;""),L422/G422,"")</f>
        <v/>
      </c>
      <c r="P422" s="68"/>
      <c r="Q422" s="68"/>
      <c r="R422" s="68">
        <v>12</v>
      </c>
      <c r="S422" s="68">
        <v>32</v>
      </c>
      <c r="T422" s="68">
        <v>944</v>
      </c>
      <c r="U422" s="68"/>
      <c r="V422" s="68">
        <v>424</v>
      </c>
      <c r="W422" s="68"/>
      <c r="X422" s="111">
        <v>14400</v>
      </c>
      <c r="Y422" s="217"/>
      <c r="Z422" s="142"/>
      <c r="AA422" s="379"/>
      <c r="AB422" s="202">
        <f>L422/V422</f>
        <v>271.69811320754718</v>
      </c>
      <c r="AC422" s="100">
        <f>T422/V422</f>
        <v>2.2264150943396226</v>
      </c>
      <c r="AD422" s="191">
        <f>512*36*V422/1000000</f>
        <v>7.8151679999999999</v>
      </c>
      <c r="AF422" s="6"/>
      <c r="AG422" s="236"/>
    </row>
    <row r="423" spans="1:33" s="751" customFormat="1" ht="12.75" customHeight="1" x14ac:dyDescent="0.2">
      <c r="A423" s="854"/>
      <c r="B423" s="773" t="s">
        <v>595</v>
      </c>
      <c r="C423" s="771"/>
      <c r="D423" s="772"/>
      <c r="F423" s="774" t="s">
        <v>1012</v>
      </c>
      <c r="G423" s="843"/>
      <c r="H423" s="844" t="s">
        <v>943</v>
      </c>
      <c r="I423" s="855"/>
      <c r="J423" s="845"/>
      <c r="K423" s="846"/>
      <c r="L423" s="813" t="s">
        <v>23</v>
      </c>
      <c r="M423" s="780"/>
      <c r="N423" s="780"/>
      <c r="O423" s="780"/>
      <c r="P423" s="780"/>
      <c r="Q423" s="780"/>
      <c r="R423" s="780"/>
      <c r="S423" s="780"/>
      <c r="T423" s="780"/>
      <c r="U423" s="780"/>
      <c r="V423" s="780" t="s">
        <v>52</v>
      </c>
      <c r="W423" s="780" t="s">
        <v>598</v>
      </c>
      <c r="X423" s="847" t="s">
        <v>158</v>
      </c>
      <c r="Y423" s="848"/>
      <c r="Z423" s="784"/>
      <c r="AA423" s="849"/>
      <c r="AB423" s="850"/>
      <c r="AC423" s="851"/>
      <c r="AD423" s="782" t="s">
        <v>650</v>
      </c>
      <c r="AE423" s="852"/>
      <c r="AF423" s="853">
        <f>AVERAGE(AF425:AF429)</f>
        <v>31.795036018668835</v>
      </c>
      <c r="AG423" s="796" t="s">
        <v>653</v>
      </c>
    </row>
    <row r="424" spans="1:33" s="751" customFormat="1" ht="12.75" customHeight="1" x14ac:dyDescent="0.2">
      <c r="A424" s="818" t="s">
        <v>1092</v>
      </c>
      <c r="B424" s="573" t="s">
        <v>701</v>
      </c>
      <c r="C424" s="574"/>
      <c r="D424" s="554" t="s">
        <v>705</v>
      </c>
      <c r="E424" s="573" t="s">
        <v>852</v>
      </c>
      <c r="F424" s="790"/>
      <c r="G424" s="791"/>
      <c r="H424" s="1087">
        <v>2.5</v>
      </c>
      <c r="I424" s="877">
        <v>24</v>
      </c>
      <c r="J424" s="580"/>
      <c r="K424" s="882"/>
      <c r="L424" s="1013">
        <v>1280</v>
      </c>
      <c r="M424" s="564"/>
      <c r="N424" s="564"/>
      <c r="O424" s="564"/>
      <c r="P424" s="564"/>
      <c r="Q424" s="564"/>
      <c r="R424" s="564"/>
      <c r="S424" s="564"/>
      <c r="T424" s="564">
        <v>95</v>
      </c>
      <c r="U424" s="564"/>
      <c r="V424" s="564">
        <v>16</v>
      </c>
      <c r="W424" s="1088">
        <v>0.314</v>
      </c>
      <c r="X424" s="566">
        <v>160</v>
      </c>
      <c r="Y424" s="795">
        <v>0.99</v>
      </c>
      <c r="Z424" s="568">
        <f>L424/Y424</f>
        <v>1292.9292929292928</v>
      </c>
      <c r="AA424" s="601"/>
      <c r="AB424" s="602">
        <f>L424/V424</f>
        <v>80</v>
      </c>
      <c r="AC424" s="571">
        <f>T424/V424</f>
        <v>5.9375</v>
      </c>
      <c r="AD424" s="572">
        <f t="shared" ref="AD424:AD429" si="166">256*16*V424/1000000</f>
        <v>6.5535999999999997E-2</v>
      </c>
      <c r="AE424" s="1089">
        <v>0.245</v>
      </c>
      <c r="AF424" s="594">
        <f>250000*AE424/L424</f>
        <v>47.8515625</v>
      </c>
      <c r="AG424" s="796" t="s">
        <v>714</v>
      </c>
    </row>
    <row r="425" spans="1:33" s="751" customFormat="1" ht="12.75" customHeight="1" x14ac:dyDescent="0.2">
      <c r="A425" s="818" t="s">
        <v>1092</v>
      </c>
      <c r="B425" s="573" t="s">
        <v>701</v>
      </c>
      <c r="C425" s="574"/>
      <c r="D425" s="554" t="s">
        <v>705</v>
      </c>
      <c r="E425" s="573" t="s">
        <v>596</v>
      </c>
      <c r="F425" s="790"/>
      <c r="G425" s="791"/>
      <c r="H425" s="1087">
        <v>3.5</v>
      </c>
      <c r="I425" s="877">
        <v>48</v>
      </c>
      <c r="J425" s="580"/>
      <c r="K425" s="882"/>
      <c r="L425" s="1013">
        <f>8*X425</f>
        <v>1792</v>
      </c>
      <c r="M425" s="564"/>
      <c r="N425" s="564"/>
      <c r="O425" s="564"/>
      <c r="P425" s="564"/>
      <c r="Q425" s="564"/>
      <c r="R425" s="564"/>
      <c r="S425" s="564"/>
      <c r="T425" s="564">
        <v>128</v>
      </c>
      <c r="U425" s="564"/>
      <c r="V425" s="564">
        <v>16</v>
      </c>
      <c r="W425" s="1088">
        <v>0.314</v>
      </c>
      <c r="X425" s="566">
        <v>224</v>
      </c>
      <c r="Y425" s="795">
        <v>1</v>
      </c>
      <c r="Z425" s="568">
        <f>L425/Y425</f>
        <v>1792</v>
      </c>
      <c r="AA425" s="601"/>
      <c r="AB425" s="602">
        <f>L425/V425</f>
        <v>112</v>
      </c>
      <c r="AC425" s="571">
        <f>T425/V425</f>
        <v>8</v>
      </c>
      <c r="AD425" s="572">
        <f t="shared" si="166"/>
        <v>6.5535999999999997E-2</v>
      </c>
      <c r="AE425" s="1089">
        <v>0.25</v>
      </c>
      <c r="AF425" s="594">
        <f>250000*AE425/L425</f>
        <v>34.877232142857146</v>
      </c>
      <c r="AG425" s="796" t="s">
        <v>1367</v>
      </c>
    </row>
    <row r="426" spans="1:33" s="751" customFormat="1" ht="12.75" customHeight="1" x14ac:dyDescent="0.2">
      <c r="A426" s="818" t="s">
        <v>1092</v>
      </c>
      <c r="B426" s="573" t="s">
        <v>701</v>
      </c>
      <c r="C426" s="574"/>
      <c r="D426" s="554" t="s">
        <v>705</v>
      </c>
      <c r="E426" s="573" t="s">
        <v>946</v>
      </c>
      <c r="F426" s="790"/>
      <c r="G426" s="791"/>
      <c r="H426" s="1087">
        <v>4.5</v>
      </c>
      <c r="I426" s="877">
        <v>55</v>
      </c>
      <c r="J426" s="580"/>
      <c r="K426" s="882"/>
      <c r="L426" s="1013">
        <f>8*X426</f>
        <v>3520</v>
      </c>
      <c r="M426" s="564"/>
      <c r="N426" s="564"/>
      <c r="O426" s="564"/>
      <c r="P426" s="564"/>
      <c r="Q426" s="564"/>
      <c r="R426" s="564" t="s">
        <v>947</v>
      </c>
      <c r="S426" s="564"/>
      <c r="T426" s="564">
        <v>176</v>
      </c>
      <c r="U426" s="564"/>
      <c r="V426" s="564">
        <v>20</v>
      </c>
      <c r="W426" s="1088">
        <v>0.53300000000000003</v>
      </c>
      <c r="X426" s="566">
        <v>440</v>
      </c>
      <c r="Y426" s="795">
        <v>2</v>
      </c>
      <c r="Z426" s="568">
        <f>L426/Y426</f>
        <v>1760</v>
      </c>
      <c r="AA426" s="601"/>
      <c r="AB426" s="602">
        <f>L426/V426</f>
        <v>176</v>
      </c>
      <c r="AC426" s="571">
        <f>T426/V426</f>
        <v>8.8000000000000007</v>
      </c>
      <c r="AD426" s="572">
        <f t="shared" si="166"/>
        <v>8.1920000000000007E-2</v>
      </c>
      <c r="AE426" s="1089">
        <v>0.45300000000000001</v>
      </c>
      <c r="AF426" s="594">
        <f>250000*AE426/L426</f>
        <v>32.173295454545453</v>
      </c>
      <c r="AG426" s="796" t="s">
        <v>949</v>
      </c>
    </row>
    <row r="427" spans="1:33" s="751" customFormat="1" ht="12.75" customHeight="1" x14ac:dyDescent="0.2">
      <c r="A427" s="818" t="s">
        <v>1092</v>
      </c>
      <c r="B427" s="573" t="s">
        <v>701</v>
      </c>
      <c r="C427" s="574"/>
      <c r="D427" s="554" t="s">
        <v>705</v>
      </c>
      <c r="E427" s="573" t="s">
        <v>945</v>
      </c>
      <c r="F427" s="790"/>
      <c r="G427" s="791"/>
      <c r="H427" s="1087">
        <v>5</v>
      </c>
      <c r="I427" s="877">
        <v>75</v>
      </c>
      <c r="J427" s="580"/>
      <c r="K427" s="882"/>
      <c r="L427" s="1013">
        <f>8*X427</f>
        <v>7680</v>
      </c>
      <c r="M427" s="564"/>
      <c r="N427" s="564"/>
      <c r="O427" s="564"/>
      <c r="P427" s="564"/>
      <c r="Q427" s="564"/>
      <c r="R427" s="564" t="s">
        <v>948</v>
      </c>
      <c r="S427" s="564"/>
      <c r="T427" s="564">
        <v>222</v>
      </c>
      <c r="U427" s="564"/>
      <c r="V427" s="564">
        <v>32</v>
      </c>
      <c r="W427" s="1088">
        <v>1.0569999999999999</v>
      </c>
      <c r="X427" s="566">
        <v>960</v>
      </c>
      <c r="Y427" s="795"/>
      <c r="Z427" s="568"/>
      <c r="AA427" s="601"/>
      <c r="AB427" s="602">
        <f>L427/V427</f>
        <v>240</v>
      </c>
      <c r="AC427" s="571">
        <f>T427/V427</f>
        <v>6.9375</v>
      </c>
      <c r="AD427" s="572">
        <f t="shared" si="166"/>
        <v>0.13107199999999999</v>
      </c>
      <c r="AE427" s="1089">
        <v>0.92900000000000005</v>
      </c>
      <c r="AF427" s="594">
        <f>250000*AE427/L427</f>
        <v>30.240885416666668</v>
      </c>
      <c r="AG427" s="796" t="s">
        <v>1486</v>
      </c>
    </row>
    <row r="428" spans="1:33" s="751" customFormat="1" ht="12.75" customHeight="1" x14ac:dyDescent="0.2">
      <c r="A428" s="818" t="s">
        <v>1092</v>
      </c>
      <c r="B428" s="573" t="s">
        <v>701</v>
      </c>
      <c r="C428" s="799"/>
      <c r="D428" s="554" t="s">
        <v>705</v>
      </c>
      <c r="E428" s="798" t="s">
        <v>944</v>
      </c>
      <c r="F428" s="802"/>
      <c r="G428" s="803"/>
      <c r="H428" s="1126"/>
      <c r="I428" s="1090"/>
      <c r="J428" s="1071"/>
      <c r="K428" s="1072"/>
      <c r="L428" s="1091">
        <v>12160</v>
      </c>
      <c r="M428" s="808"/>
      <c r="N428" s="808"/>
      <c r="O428" s="808"/>
      <c r="P428" s="808"/>
      <c r="Q428" s="808"/>
      <c r="R428" s="808" t="s">
        <v>948</v>
      </c>
      <c r="S428" s="808"/>
      <c r="T428" s="808"/>
      <c r="U428" s="808"/>
      <c r="V428" s="808">
        <v>40</v>
      </c>
      <c r="W428" s="1092"/>
      <c r="X428" s="809">
        <v>1520</v>
      </c>
      <c r="Y428" s="810"/>
      <c r="Z428" s="1093"/>
      <c r="AA428" s="601"/>
      <c r="AB428" s="753"/>
      <c r="AC428" s="754"/>
      <c r="AD428" s="572">
        <f t="shared" si="166"/>
        <v>0.16384000000000001</v>
      </c>
      <c r="AE428" s="1094"/>
      <c r="AF428" s="1095"/>
      <c r="AG428" s="796"/>
    </row>
    <row r="429" spans="1:33" s="751" customFormat="1" ht="12.75" customHeight="1" thickBot="1" x14ac:dyDescent="0.25">
      <c r="A429" s="818" t="s">
        <v>1092</v>
      </c>
      <c r="B429" s="798" t="s">
        <v>701</v>
      </c>
      <c r="C429" s="799"/>
      <c r="D429" s="800" t="s">
        <v>705</v>
      </c>
      <c r="E429" s="798" t="s">
        <v>597</v>
      </c>
      <c r="F429" s="802"/>
      <c r="G429" s="803"/>
      <c r="H429" s="1126">
        <v>6</v>
      </c>
      <c r="I429" s="1090">
        <v>130</v>
      </c>
      <c r="J429" s="805"/>
      <c r="K429" s="806"/>
      <c r="L429" s="1091">
        <f>8*X429</f>
        <v>16896</v>
      </c>
      <c r="M429" s="808"/>
      <c r="N429" s="808"/>
      <c r="O429" s="808"/>
      <c r="P429" s="808"/>
      <c r="Q429" s="808"/>
      <c r="R429" s="808"/>
      <c r="S429" s="808"/>
      <c r="T429" s="808">
        <v>384</v>
      </c>
      <c r="U429" s="808"/>
      <c r="V429" s="808">
        <v>96</v>
      </c>
      <c r="W429" s="1092">
        <v>2.4039999999999999</v>
      </c>
      <c r="X429" s="809">
        <v>2112</v>
      </c>
      <c r="Y429" s="810"/>
      <c r="Z429" s="1093"/>
      <c r="AA429" s="1096"/>
      <c r="AB429" s="753">
        <f>L429/V429</f>
        <v>176</v>
      </c>
      <c r="AC429" s="754">
        <f>T429/V429</f>
        <v>4</v>
      </c>
      <c r="AD429" s="812">
        <f t="shared" si="166"/>
        <v>0.39321600000000001</v>
      </c>
      <c r="AE429" s="1094">
        <v>2.02</v>
      </c>
      <c r="AF429" s="1095">
        <f>250000*AE429/L429</f>
        <v>29.888731060606062</v>
      </c>
      <c r="AG429" s="796"/>
    </row>
    <row r="430" spans="1:33" ht="12.75" customHeight="1" x14ac:dyDescent="0.2">
      <c r="A430" s="185"/>
      <c r="B430" s="12" t="s">
        <v>595</v>
      </c>
      <c r="C430" s="226"/>
      <c r="D430" s="212"/>
      <c r="E430" s="276"/>
      <c r="F430" s="466" t="s">
        <v>1017</v>
      </c>
      <c r="G430" s="49"/>
      <c r="H430" s="131" t="s">
        <v>943</v>
      </c>
      <c r="I430" s="165"/>
      <c r="J430" s="136"/>
      <c r="K430" s="50"/>
      <c r="L430" s="248" t="s">
        <v>23</v>
      </c>
      <c r="M430" s="61"/>
      <c r="N430" s="380">
        <f>AVERAGE(N432:N442)</f>
        <v>678.04931835217394</v>
      </c>
      <c r="O430" s="61"/>
      <c r="P430" s="61"/>
      <c r="Q430" s="61" t="s">
        <v>1570</v>
      </c>
      <c r="R430" s="61"/>
      <c r="S430" s="61"/>
      <c r="T430" s="61"/>
      <c r="U430" s="61"/>
      <c r="V430" s="61" t="s">
        <v>52</v>
      </c>
      <c r="W430" s="399" t="s">
        <v>2522</v>
      </c>
      <c r="X430" s="113" t="s">
        <v>158</v>
      </c>
      <c r="Y430" s="171" t="s">
        <v>2508</v>
      </c>
      <c r="Z430" s="164"/>
      <c r="AA430" s="373"/>
      <c r="AB430" s="53"/>
      <c r="AC430" s="105"/>
      <c r="AD430" s="109" t="s">
        <v>650</v>
      </c>
      <c r="AE430" s="201"/>
      <c r="AF430" s="853">
        <f>AVERAGE(AF431:AF442)</f>
        <v>90.34743434343433</v>
      </c>
      <c r="AG430" s="516" t="s">
        <v>1628</v>
      </c>
    </row>
    <row r="431" spans="1:33" s="493" customFormat="1" ht="12.75" customHeight="1" x14ac:dyDescent="0.2">
      <c r="A431" s="519" t="s">
        <v>740</v>
      </c>
      <c r="B431" s="41" t="s">
        <v>701</v>
      </c>
      <c r="C431" s="230"/>
      <c r="D431" s="229" t="s">
        <v>705</v>
      </c>
      <c r="E431" s="910" t="s">
        <v>1482</v>
      </c>
      <c r="F431" s="304" t="s">
        <v>1484</v>
      </c>
      <c r="G431" s="1051">
        <v>1.51</v>
      </c>
      <c r="H431" s="1052">
        <v>2.5</v>
      </c>
      <c r="I431" s="1053">
        <v>25</v>
      </c>
      <c r="J431" s="1054"/>
      <c r="K431" s="1055"/>
      <c r="L431" s="1056">
        <v>384</v>
      </c>
      <c r="M431" s="1057">
        <f t="shared" ref="M431:M442" si="167">L431</f>
        <v>384</v>
      </c>
      <c r="N431" s="469">
        <f t="shared" ref="N431:N447" si="168">IF(AND(G431&lt;&gt;"",M431&lt;&gt;""),M431/G431,"")</f>
        <v>254.3046357615894</v>
      </c>
      <c r="O431" s="1004"/>
      <c r="P431" s="1004"/>
      <c r="Q431" s="1004"/>
      <c r="R431" s="1004"/>
      <c r="S431" s="1004"/>
      <c r="T431" s="1004">
        <v>37</v>
      </c>
      <c r="U431" s="1004"/>
      <c r="V431" s="1004"/>
      <c r="W431" s="1058"/>
      <c r="X431" s="1059">
        <f t="shared" ref="X431:X442" si="169">L431/8</f>
        <v>48</v>
      </c>
      <c r="Y431" s="1060"/>
      <c r="Z431" s="1061"/>
      <c r="AA431" s="1062"/>
      <c r="AB431" s="439"/>
      <c r="AC431" s="103"/>
      <c r="AD431" s="1399"/>
      <c r="AE431" s="1063">
        <v>6.2976000000000004E-2</v>
      </c>
      <c r="AF431" s="1049">
        <f t="shared" ref="AF431:AF436" si="170">250000*AE431/L431</f>
        <v>41.000000000000007</v>
      </c>
      <c r="AG431" s="516" t="s">
        <v>1485</v>
      </c>
    </row>
    <row r="432" spans="1:33" s="493" customFormat="1" ht="12.75" customHeight="1" x14ac:dyDescent="0.2">
      <c r="A432" s="519" t="s">
        <v>929</v>
      </c>
      <c r="B432" s="41" t="s">
        <v>701</v>
      </c>
      <c r="C432" s="230"/>
      <c r="D432" s="229" t="s">
        <v>705</v>
      </c>
      <c r="E432" s="910" t="s">
        <v>2511</v>
      </c>
      <c r="F432" s="304" t="s">
        <v>1096</v>
      </c>
      <c r="G432" s="1051">
        <v>1.41</v>
      </c>
      <c r="H432" s="1052">
        <v>1.4</v>
      </c>
      <c r="I432" s="1053">
        <v>10</v>
      </c>
      <c r="J432" s="1054"/>
      <c r="K432" s="1055"/>
      <c r="L432" s="1056">
        <v>640</v>
      </c>
      <c r="M432" s="1057">
        <f t="shared" si="167"/>
        <v>640</v>
      </c>
      <c r="N432" s="469">
        <f t="shared" si="168"/>
        <v>453.90070921985819</v>
      </c>
      <c r="O432" s="1004"/>
      <c r="P432" s="1004"/>
      <c r="Q432" s="1004"/>
      <c r="R432" s="1004"/>
      <c r="S432" s="1004"/>
      <c r="T432" s="1004">
        <v>63</v>
      </c>
      <c r="U432" s="1004"/>
      <c r="V432" s="1004">
        <v>14</v>
      </c>
      <c r="W432" s="1058"/>
      <c r="X432" s="1059">
        <f t="shared" si="169"/>
        <v>80</v>
      </c>
      <c r="Y432" s="1060">
        <v>1.1000000000000001</v>
      </c>
      <c r="Z432" s="141">
        <f>IF(AND(M432&lt;&gt;"",Y432&lt;&gt;""),M432/Y432,"")</f>
        <v>581.81818181818176</v>
      </c>
      <c r="AA432" s="1062"/>
      <c r="AB432" s="439"/>
      <c r="AC432" s="103">
        <f t="shared" ref="AC432:AC437" si="171">T432/V432</f>
        <v>4.5</v>
      </c>
      <c r="AD432" s="903">
        <f>V432*256*16/1000000</f>
        <v>5.7343999999999999E-2</v>
      </c>
      <c r="AE432" s="1063">
        <v>0.27289600000000003</v>
      </c>
      <c r="AF432" s="1049">
        <f t="shared" si="170"/>
        <v>106.6</v>
      </c>
      <c r="AG432" s="516" t="s">
        <v>1486</v>
      </c>
    </row>
    <row r="433" spans="1:33" s="493" customFormat="1" ht="12.75" customHeight="1" x14ac:dyDescent="0.2">
      <c r="A433" s="519" t="s">
        <v>929</v>
      </c>
      <c r="B433" s="41" t="s">
        <v>701</v>
      </c>
      <c r="C433" s="230"/>
      <c r="D433" s="229" t="s">
        <v>705</v>
      </c>
      <c r="E433" s="910" t="s">
        <v>2510</v>
      </c>
      <c r="F433" s="45" t="s">
        <v>1096</v>
      </c>
      <c r="G433" s="1064">
        <v>1.46</v>
      </c>
      <c r="H433" s="1052">
        <v>1.4</v>
      </c>
      <c r="I433" s="1065">
        <v>10</v>
      </c>
      <c r="J433" s="1040"/>
      <c r="K433" s="1066"/>
      <c r="L433" s="1067">
        <v>1280</v>
      </c>
      <c r="M433" s="1057">
        <f t="shared" si="167"/>
        <v>1280</v>
      </c>
      <c r="N433" s="469">
        <f t="shared" si="168"/>
        <v>876.71232876712327</v>
      </c>
      <c r="O433" s="469"/>
      <c r="P433" s="469"/>
      <c r="Q433" s="469"/>
      <c r="R433" s="469">
        <v>1</v>
      </c>
      <c r="S433" s="469"/>
      <c r="T433" s="469">
        <v>95</v>
      </c>
      <c r="U433" s="469"/>
      <c r="V433" s="469">
        <v>14</v>
      </c>
      <c r="W433" s="536"/>
      <c r="X433" s="1059">
        <f t="shared" si="169"/>
        <v>160</v>
      </c>
      <c r="Y433" s="1068">
        <v>1.1000000000000001</v>
      </c>
      <c r="Z433" s="141">
        <f>IF(AND(M433&lt;&gt;"",Y433&lt;&gt;""),M433/Y433,"")</f>
        <v>1163.6363636363635</v>
      </c>
      <c r="AA433" s="1046"/>
      <c r="AB433" s="93"/>
      <c r="AC433" s="103">
        <f t="shared" si="171"/>
        <v>6.7857142857142856</v>
      </c>
      <c r="AD433" s="903">
        <f>V433*256*16/1000000</f>
        <v>5.7343999999999999E-2</v>
      </c>
      <c r="AE433" s="1069">
        <v>1.0915840000000001</v>
      </c>
      <c r="AF433" s="1049">
        <f t="shared" si="170"/>
        <v>213.2</v>
      </c>
      <c r="AG433" s="516"/>
    </row>
    <row r="434" spans="1:33" s="493" customFormat="1" ht="12.75" customHeight="1" x14ac:dyDescent="0.2">
      <c r="A434" s="519" t="s">
        <v>740</v>
      </c>
      <c r="B434" s="41" t="s">
        <v>701</v>
      </c>
      <c r="C434" s="230"/>
      <c r="D434" s="229" t="s">
        <v>705</v>
      </c>
      <c r="E434" s="910" t="s">
        <v>1483</v>
      </c>
      <c r="F434" s="45" t="s">
        <v>1096</v>
      </c>
      <c r="G434" s="1064">
        <v>4.55</v>
      </c>
      <c r="H434" s="1052">
        <v>1.71</v>
      </c>
      <c r="I434" s="1065">
        <v>18</v>
      </c>
      <c r="J434" s="1040"/>
      <c r="K434" s="1066"/>
      <c r="L434" s="1067">
        <v>2000</v>
      </c>
      <c r="M434" s="1057">
        <f t="shared" si="167"/>
        <v>2000</v>
      </c>
      <c r="N434" s="469">
        <f t="shared" si="168"/>
        <v>439.56043956043959</v>
      </c>
      <c r="O434" s="469"/>
      <c r="P434" s="469"/>
      <c r="Q434" s="469"/>
      <c r="R434" s="469">
        <v>1</v>
      </c>
      <c r="S434" s="469"/>
      <c r="T434" s="469">
        <v>35</v>
      </c>
      <c r="U434" s="469"/>
      <c r="V434" s="469">
        <v>20</v>
      </c>
      <c r="W434" s="536"/>
      <c r="X434" s="1059">
        <f t="shared" si="169"/>
        <v>250</v>
      </c>
      <c r="Y434" s="1068"/>
      <c r="Z434" s="1045"/>
      <c r="AA434" s="1046"/>
      <c r="AB434" s="93"/>
      <c r="AC434" s="103"/>
      <c r="AD434" s="1047"/>
      <c r="AE434" s="1069">
        <v>0.54579200000000005</v>
      </c>
      <c r="AF434" s="1049">
        <f t="shared" si="170"/>
        <v>68.224000000000004</v>
      </c>
      <c r="AG434" s="516"/>
    </row>
    <row r="435" spans="1:33" s="493" customFormat="1" ht="12.75" customHeight="1" x14ac:dyDescent="0.2">
      <c r="A435" s="519" t="s">
        <v>740</v>
      </c>
      <c r="B435" s="41" t="s">
        <v>701</v>
      </c>
      <c r="C435" s="230"/>
      <c r="D435" s="229" t="s">
        <v>705</v>
      </c>
      <c r="E435" s="910" t="s">
        <v>1488</v>
      </c>
      <c r="F435" s="45" t="s">
        <v>1097</v>
      </c>
      <c r="G435" s="1064">
        <v>5.03</v>
      </c>
      <c r="H435" s="1052">
        <v>5</v>
      </c>
      <c r="I435" s="1065">
        <v>93</v>
      </c>
      <c r="J435" s="1040"/>
      <c r="K435" s="1066"/>
      <c r="L435" s="1067">
        <v>3520</v>
      </c>
      <c r="M435" s="1057">
        <f t="shared" si="167"/>
        <v>3520</v>
      </c>
      <c r="N435" s="469">
        <f t="shared" si="168"/>
        <v>699.80119284294233</v>
      </c>
      <c r="O435" s="469"/>
      <c r="P435" s="469"/>
      <c r="Q435" s="469"/>
      <c r="R435" s="469">
        <v>2</v>
      </c>
      <c r="S435" s="469"/>
      <c r="T435" s="469">
        <v>137</v>
      </c>
      <c r="U435" s="469"/>
      <c r="V435" s="469">
        <v>20</v>
      </c>
      <c r="W435" s="536"/>
      <c r="X435" s="1059">
        <f t="shared" si="169"/>
        <v>440</v>
      </c>
      <c r="Y435" s="1068">
        <v>4.49</v>
      </c>
      <c r="Z435" s="141">
        <f>IF(AND(M435&lt;&gt;"",Y435&lt;&gt;""),M435/Y435,"")</f>
        <v>783.96436525612467</v>
      </c>
      <c r="AA435" s="1046"/>
      <c r="AB435" s="93"/>
      <c r="AC435" s="103">
        <f t="shared" si="171"/>
        <v>6.85</v>
      </c>
      <c r="AD435" s="903">
        <f>V435*256*16/1000000</f>
        <v>8.1920000000000007E-2</v>
      </c>
      <c r="AE435" s="1069">
        <v>1.0915840000000001</v>
      </c>
      <c r="AF435" s="1049">
        <f t="shared" si="170"/>
        <v>77.527272727272731</v>
      </c>
      <c r="AG435" s="516"/>
    </row>
    <row r="436" spans="1:33" s="493" customFormat="1" ht="12.75" customHeight="1" x14ac:dyDescent="0.2">
      <c r="A436" s="519" t="s">
        <v>740</v>
      </c>
      <c r="B436" s="41" t="s">
        <v>701</v>
      </c>
      <c r="C436" s="230"/>
      <c r="D436" s="229" t="s">
        <v>705</v>
      </c>
      <c r="E436" s="910" t="s">
        <v>1094</v>
      </c>
      <c r="F436" s="45" t="s">
        <v>1097</v>
      </c>
      <c r="G436" s="1064">
        <v>7.07</v>
      </c>
      <c r="H436" s="1052">
        <v>5</v>
      </c>
      <c r="I436" s="1065">
        <v>93</v>
      </c>
      <c r="J436" s="1040"/>
      <c r="K436" s="1066"/>
      <c r="L436" s="1067">
        <v>7680</v>
      </c>
      <c r="M436" s="1057">
        <f t="shared" si="167"/>
        <v>7680</v>
      </c>
      <c r="N436" s="469">
        <f t="shared" si="168"/>
        <v>1086.2800565770863</v>
      </c>
      <c r="O436" s="469"/>
      <c r="P436" s="469"/>
      <c r="Q436" s="469"/>
      <c r="R436" s="469">
        <v>2</v>
      </c>
      <c r="S436" s="469"/>
      <c r="T436" s="469">
        <v>178</v>
      </c>
      <c r="U436" s="469"/>
      <c r="V436" s="469">
        <v>32</v>
      </c>
      <c r="W436" s="536"/>
      <c r="X436" s="1059">
        <f t="shared" si="169"/>
        <v>960</v>
      </c>
      <c r="Y436" s="1068">
        <v>5.38</v>
      </c>
      <c r="Z436" s="141">
        <f>IF(AND(M436&lt;&gt;"",Y436&lt;&gt;""),M436/Y436,"")</f>
        <v>1427.5092936802973</v>
      </c>
      <c r="AA436" s="1046"/>
      <c r="AB436" s="93"/>
      <c r="AC436" s="103">
        <f t="shared" si="171"/>
        <v>5.5625</v>
      </c>
      <c r="AD436" s="903">
        <f>V436*256*16/1000000</f>
        <v>0.13107199999999999</v>
      </c>
      <c r="AE436" s="1069">
        <v>1.0915840000000001</v>
      </c>
      <c r="AF436" s="1049">
        <f t="shared" si="170"/>
        <v>35.533333333333331</v>
      </c>
      <c r="AG436" s="516"/>
    </row>
    <row r="437" spans="1:33" s="493" customFormat="1" ht="12.75" customHeight="1" x14ac:dyDescent="0.2">
      <c r="A437" s="519" t="s">
        <v>740</v>
      </c>
      <c r="B437" s="41" t="s">
        <v>701</v>
      </c>
      <c r="C437" s="230"/>
      <c r="D437" s="229"/>
      <c r="E437" s="1313" t="s">
        <v>1567</v>
      </c>
      <c r="F437" s="1082" t="s">
        <v>1626</v>
      </c>
      <c r="G437" s="1117">
        <v>2.95</v>
      </c>
      <c r="H437" s="1118">
        <v>2.06</v>
      </c>
      <c r="I437" s="1119">
        <v>12</v>
      </c>
      <c r="J437" s="894"/>
      <c r="K437" s="1120"/>
      <c r="L437" s="1121">
        <v>1100</v>
      </c>
      <c r="M437" s="1057">
        <f t="shared" si="167"/>
        <v>1100</v>
      </c>
      <c r="N437" s="469">
        <f t="shared" si="168"/>
        <v>372.88135593220335</v>
      </c>
      <c r="O437" s="496"/>
      <c r="P437" s="496"/>
      <c r="Q437" s="496">
        <v>2</v>
      </c>
      <c r="R437" s="496">
        <v>1</v>
      </c>
      <c r="S437" s="496"/>
      <c r="T437" s="496">
        <v>26</v>
      </c>
      <c r="U437" s="496"/>
      <c r="V437" s="496">
        <v>16</v>
      </c>
      <c r="W437" s="1122"/>
      <c r="X437" s="1059">
        <f t="shared" si="169"/>
        <v>137.5</v>
      </c>
      <c r="Y437" s="1123">
        <v>2.41</v>
      </c>
      <c r="Z437" s="141">
        <f>IF(AND(M437&lt;&gt;"",Y437&lt;&gt;""),M437/Y437,"")</f>
        <v>456.43153526970951</v>
      </c>
      <c r="AA437" s="371">
        <f>L437/Q437</f>
        <v>550</v>
      </c>
      <c r="AB437" s="901"/>
      <c r="AC437" s="103">
        <f t="shared" si="171"/>
        <v>1.625</v>
      </c>
      <c r="AD437" s="903">
        <f>V437*256*16/1000000</f>
        <v>6.5535999999999997E-2</v>
      </c>
      <c r="AE437" s="1124"/>
      <c r="AF437" s="1125"/>
      <c r="AG437" s="516" t="s">
        <v>1627</v>
      </c>
    </row>
    <row r="438" spans="1:33" s="493" customFormat="1" ht="12.75" customHeight="1" x14ac:dyDescent="0.2">
      <c r="A438" s="519" t="s">
        <v>740</v>
      </c>
      <c r="B438" s="41" t="s">
        <v>701</v>
      </c>
      <c r="C438" s="230"/>
      <c r="D438" s="229"/>
      <c r="E438" s="1313" t="s">
        <v>1568</v>
      </c>
      <c r="F438" s="1082" t="s">
        <v>1626</v>
      </c>
      <c r="G438" s="1117">
        <v>4.25</v>
      </c>
      <c r="H438" s="1118">
        <v>2.06</v>
      </c>
      <c r="I438" s="1119">
        <v>12</v>
      </c>
      <c r="J438" s="894"/>
      <c r="K438" s="1120"/>
      <c r="L438" s="1121">
        <v>2048</v>
      </c>
      <c r="M438" s="1057">
        <f>L438</f>
        <v>2048</v>
      </c>
      <c r="N438" s="469">
        <f t="shared" si="168"/>
        <v>481.88235294117646</v>
      </c>
      <c r="O438" s="496"/>
      <c r="P438" s="496"/>
      <c r="Q438" s="496">
        <v>4</v>
      </c>
      <c r="R438" s="496">
        <v>1</v>
      </c>
      <c r="S438" s="496"/>
      <c r="T438" s="496">
        <v>26</v>
      </c>
      <c r="U438" s="496"/>
      <c r="V438" s="496">
        <v>20</v>
      </c>
      <c r="W438" s="1122"/>
      <c r="X438" s="1059">
        <f>L438/8</f>
        <v>256</v>
      </c>
      <c r="Y438" s="1123"/>
      <c r="Z438" s="899"/>
      <c r="AA438" s="371">
        <f>L438/Q438</f>
        <v>512</v>
      </c>
      <c r="AB438" s="901"/>
      <c r="AC438" s="103">
        <f>T438/V438</f>
        <v>1.3</v>
      </c>
      <c r="AD438" s="903">
        <f>V438*256*16/1000000</f>
        <v>8.1920000000000007E-2</v>
      </c>
      <c r="AE438" s="1124"/>
      <c r="AF438" s="1125"/>
      <c r="AG438" s="516" t="s">
        <v>1628</v>
      </c>
    </row>
    <row r="439" spans="1:33" s="493" customFormat="1" ht="12.75" customHeight="1" x14ac:dyDescent="0.2">
      <c r="A439" s="519" t="s">
        <v>929</v>
      </c>
      <c r="B439" s="41" t="s">
        <v>701</v>
      </c>
      <c r="C439" s="230"/>
      <c r="D439" s="229"/>
      <c r="E439" s="1313" t="s">
        <v>1569</v>
      </c>
      <c r="F439" s="1082" t="s">
        <v>1626</v>
      </c>
      <c r="G439" s="1117">
        <v>4.6500000000000004</v>
      </c>
      <c r="H439" s="1118">
        <v>2.06</v>
      </c>
      <c r="I439" s="1119">
        <v>12</v>
      </c>
      <c r="J439" s="894"/>
      <c r="K439" s="1120"/>
      <c r="L439" s="1121">
        <v>3520</v>
      </c>
      <c r="M439" s="1057">
        <f>L439</f>
        <v>3520</v>
      </c>
      <c r="N439" s="469">
        <f t="shared" si="168"/>
        <v>756.98924731182785</v>
      </c>
      <c r="O439" s="496"/>
      <c r="P439" s="496"/>
      <c r="Q439" s="496">
        <v>4</v>
      </c>
      <c r="R439" s="496">
        <v>1</v>
      </c>
      <c r="S439" s="496"/>
      <c r="T439" s="496">
        <v>26</v>
      </c>
      <c r="U439" s="496"/>
      <c r="V439" s="496">
        <v>20</v>
      </c>
      <c r="W439" s="1122"/>
      <c r="X439" s="1059">
        <f>L439/8</f>
        <v>440</v>
      </c>
      <c r="Y439" s="1123"/>
      <c r="Z439" s="899"/>
      <c r="AA439" s="371">
        <f>L439/Q439</f>
        <v>880</v>
      </c>
      <c r="AB439" s="901"/>
      <c r="AC439" s="103">
        <f>T439/V439</f>
        <v>1.3</v>
      </c>
      <c r="AD439" s="903">
        <f>V439*256*16/1000000</f>
        <v>8.1920000000000007E-2</v>
      </c>
      <c r="AE439" s="1124"/>
      <c r="AF439" s="1125"/>
      <c r="AG439" s="516" t="s">
        <v>1628</v>
      </c>
    </row>
    <row r="440" spans="1:33" s="493" customFormat="1" ht="12.75" customHeight="1" x14ac:dyDescent="0.2">
      <c r="A440" s="519" t="s">
        <v>740</v>
      </c>
      <c r="B440" s="157"/>
      <c r="C440" s="303"/>
      <c r="D440" s="532"/>
      <c r="E440" s="1313" t="s">
        <v>2291</v>
      </c>
      <c r="F440" s="1082" t="s">
        <v>2328</v>
      </c>
      <c r="G440" s="1117">
        <v>4.3499999999999996</v>
      </c>
      <c r="H440" s="1118">
        <v>2.34</v>
      </c>
      <c r="I440" s="1119">
        <v>21</v>
      </c>
      <c r="J440" s="894"/>
      <c r="K440" s="1120"/>
      <c r="L440" s="1067">
        <v>2800</v>
      </c>
      <c r="M440" s="469">
        <f>L440</f>
        <v>2800</v>
      </c>
      <c r="N440" s="469">
        <f t="shared" si="168"/>
        <v>643.67816091954023</v>
      </c>
      <c r="O440" s="469"/>
      <c r="P440" s="469"/>
      <c r="Q440" s="469">
        <v>4</v>
      </c>
      <c r="R440" s="469">
        <v>1</v>
      </c>
      <c r="S440" s="469"/>
      <c r="T440" s="469">
        <v>21</v>
      </c>
      <c r="U440" s="469"/>
      <c r="V440" s="469">
        <v>20</v>
      </c>
      <c r="W440" s="469">
        <v>4</v>
      </c>
      <c r="X440" s="1131">
        <f>L440/8</f>
        <v>350</v>
      </c>
      <c r="Y440" s="1123">
        <v>3.44</v>
      </c>
      <c r="Z440" s="141">
        <f>IF(AND(M440&lt;&gt;"",Y440&lt;&gt;""),M440/Y440,"")</f>
        <v>813.95348837209303</v>
      </c>
      <c r="AA440" s="371">
        <f>L440/Q440</f>
        <v>700</v>
      </c>
      <c r="AB440" s="901"/>
      <c r="AC440" s="902">
        <f>T440/V440</f>
        <v>1.05</v>
      </c>
      <c r="AD440" s="903">
        <f>(V440*256*16+W440*16384*16)/1000000</f>
        <v>1.1304959999999999</v>
      </c>
      <c r="AE440" s="1124"/>
      <c r="AF440" s="1125"/>
      <c r="AG440" s="516" t="s">
        <v>2523</v>
      </c>
    </row>
    <row r="441" spans="1:33" s="493" customFormat="1" ht="12.75" customHeight="1" x14ac:dyDescent="0.2">
      <c r="A441" s="519" t="s">
        <v>929</v>
      </c>
      <c r="B441" s="157"/>
      <c r="C441" s="303"/>
      <c r="D441" s="532"/>
      <c r="E441" s="1313" t="s">
        <v>2292</v>
      </c>
      <c r="F441" s="1082" t="s">
        <v>2328</v>
      </c>
      <c r="G441" s="1117">
        <v>5.45</v>
      </c>
      <c r="H441" s="1118">
        <v>2.34</v>
      </c>
      <c r="I441" s="1119">
        <v>21</v>
      </c>
      <c r="J441" s="894"/>
      <c r="K441" s="1120"/>
      <c r="L441" s="1067">
        <v>5280</v>
      </c>
      <c r="M441" s="469">
        <f>L441</f>
        <v>5280</v>
      </c>
      <c r="N441" s="469">
        <f t="shared" si="168"/>
        <v>968.80733944954125</v>
      </c>
      <c r="O441" s="469"/>
      <c r="P441" s="469"/>
      <c r="Q441" s="469">
        <v>8</v>
      </c>
      <c r="R441" s="469">
        <v>1</v>
      </c>
      <c r="S441" s="469"/>
      <c r="T441" s="469">
        <v>39</v>
      </c>
      <c r="U441" s="469"/>
      <c r="V441" s="469">
        <v>30</v>
      </c>
      <c r="W441" s="469">
        <v>4</v>
      </c>
      <c r="X441" s="1131">
        <f>L441/8</f>
        <v>660</v>
      </c>
      <c r="Y441" s="1123">
        <v>4.42</v>
      </c>
      <c r="Z441" s="141">
        <f>IF(AND(M441&lt;&gt;"",Y441&lt;&gt;""),M441/Y441,"")</f>
        <v>1194.5701357466064</v>
      </c>
      <c r="AA441" s="371">
        <f>L441/Q441</f>
        <v>660</v>
      </c>
      <c r="AB441" s="901"/>
      <c r="AC441" s="902">
        <f>T441/V441</f>
        <v>1.3</v>
      </c>
      <c r="AD441" s="903">
        <f>(V441*256*16+W441*16384*16)/1000000</f>
        <v>1.1714560000000001</v>
      </c>
      <c r="AE441" s="1124"/>
      <c r="AF441" s="1125"/>
      <c r="AG441" s="516" t="s">
        <v>2523</v>
      </c>
    </row>
    <row r="442" spans="1:33" s="751" customFormat="1" ht="12.75" customHeight="1" thickBot="1" x14ac:dyDescent="0.25">
      <c r="A442" s="818" t="s">
        <v>740</v>
      </c>
      <c r="B442" s="798" t="s">
        <v>701</v>
      </c>
      <c r="C442" s="799"/>
      <c r="D442" s="800" t="s">
        <v>705</v>
      </c>
      <c r="E442" s="798" t="s">
        <v>1095</v>
      </c>
      <c r="F442" s="802" t="s">
        <v>1098</v>
      </c>
      <c r="G442" s="803"/>
      <c r="H442" s="1126">
        <v>7</v>
      </c>
      <c r="I442" s="1127">
        <v>178</v>
      </c>
      <c r="J442" s="805"/>
      <c r="K442" s="806"/>
      <c r="L442" s="562">
        <v>16192</v>
      </c>
      <c r="M442" s="565">
        <f t="shared" si="167"/>
        <v>16192</v>
      </c>
      <c r="N442" s="565" t="str">
        <f t="shared" si="168"/>
        <v/>
      </c>
      <c r="O442" s="565"/>
      <c r="P442" s="565"/>
      <c r="Q442" s="565"/>
      <c r="R442" s="565">
        <v>2</v>
      </c>
      <c r="S442" s="565"/>
      <c r="T442" s="565">
        <v>178</v>
      </c>
      <c r="U442" s="565"/>
      <c r="V442" s="565">
        <v>96</v>
      </c>
      <c r="W442" s="1267"/>
      <c r="X442" s="815">
        <f t="shared" si="169"/>
        <v>2024</v>
      </c>
      <c r="Y442" s="810"/>
      <c r="Z442" s="1093"/>
      <c r="AA442" s="1096"/>
      <c r="AB442" s="753"/>
      <c r="AC442" s="754"/>
      <c r="AD442" s="812"/>
      <c r="AE442" s="1094"/>
      <c r="AF442" s="1095"/>
      <c r="AG442" s="796"/>
    </row>
    <row r="443" spans="1:33" s="493" customFormat="1" ht="12.75" customHeight="1" x14ac:dyDescent="0.2">
      <c r="A443" s="519"/>
      <c r="B443" s="48" t="s">
        <v>1571</v>
      </c>
      <c r="C443" s="1077"/>
      <c r="D443" s="1078"/>
      <c r="E443" s="1128" t="s">
        <v>1711</v>
      </c>
      <c r="F443" s="466"/>
      <c r="G443" s="856"/>
      <c r="H443" s="1129" t="s">
        <v>1479</v>
      </c>
      <c r="I443" s="857"/>
      <c r="J443" s="858"/>
      <c r="K443" s="859"/>
      <c r="L443" s="517" t="s">
        <v>1577</v>
      </c>
      <c r="M443" s="860" t="s">
        <v>1582</v>
      </c>
      <c r="N443" s="399"/>
      <c r="O443" s="399"/>
      <c r="P443" s="399"/>
      <c r="Q443" s="399"/>
      <c r="R443" s="399"/>
      <c r="S443" s="399"/>
      <c r="T443" s="399"/>
      <c r="U443" s="399"/>
      <c r="V443" s="399"/>
      <c r="W443" s="518"/>
      <c r="X443" s="861"/>
      <c r="Y443" s="862" t="s">
        <v>1576</v>
      </c>
      <c r="Z443" s="863"/>
      <c r="AA443" s="864"/>
      <c r="AB443" s="381"/>
      <c r="AC443" s="865"/>
      <c r="AD443" s="866"/>
      <c r="AE443" s="867"/>
      <c r="AF443" s="868"/>
      <c r="AG443" s="516" t="s">
        <v>1578</v>
      </c>
    </row>
    <row r="444" spans="1:33" s="493" customFormat="1" ht="12.75" customHeight="1" x14ac:dyDescent="0.2">
      <c r="A444" s="519"/>
      <c r="B444" s="41"/>
      <c r="C444" s="230"/>
      <c r="D444" s="229"/>
      <c r="E444" s="41" t="s">
        <v>1572</v>
      </c>
      <c r="F444" s="45"/>
      <c r="G444" s="1064">
        <v>0.45</v>
      </c>
      <c r="H444" s="1052">
        <v>1.6</v>
      </c>
      <c r="I444" s="1065">
        <v>8</v>
      </c>
      <c r="J444" s="1040"/>
      <c r="K444" s="1066"/>
      <c r="L444" s="1067">
        <v>10</v>
      </c>
      <c r="M444" s="1130">
        <v>10</v>
      </c>
      <c r="N444" s="469">
        <f t="shared" si="168"/>
        <v>22.222222222222221</v>
      </c>
      <c r="O444" s="469"/>
      <c r="P444" s="469"/>
      <c r="Q444" s="469"/>
      <c r="R444" s="469"/>
      <c r="S444" s="469"/>
      <c r="T444" s="469">
        <v>8</v>
      </c>
      <c r="U444" s="469"/>
      <c r="V444" s="469"/>
      <c r="W444" s="536"/>
      <c r="X444" s="1131"/>
      <c r="Y444" s="1068">
        <v>0.2</v>
      </c>
      <c r="Z444" s="141">
        <f>IF(AND(M444&lt;&gt;"",Y444&lt;&gt;""),M444/Y444,"")</f>
        <v>50</v>
      </c>
      <c r="AA444" s="1046"/>
      <c r="AB444" s="93"/>
      <c r="AC444" s="103"/>
      <c r="AD444" s="1047"/>
      <c r="AE444" s="1069"/>
      <c r="AF444" s="1049"/>
      <c r="AG444" s="516" t="s">
        <v>1579</v>
      </c>
    </row>
    <row r="445" spans="1:33" s="493" customFormat="1" ht="12.75" customHeight="1" x14ac:dyDescent="0.2">
      <c r="A445" s="519"/>
      <c r="B445" s="41"/>
      <c r="C445" s="230"/>
      <c r="D445" s="229"/>
      <c r="E445" s="41" t="s">
        <v>1573</v>
      </c>
      <c r="F445" s="45"/>
      <c r="G445" s="1064">
        <v>0.48</v>
      </c>
      <c r="H445" s="1052">
        <v>1.6</v>
      </c>
      <c r="I445" s="1065">
        <v>8</v>
      </c>
      <c r="J445" s="1040"/>
      <c r="K445" s="1066"/>
      <c r="L445" s="1067">
        <v>16</v>
      </c>
      <c r="M445" s="1130">
        <v>16</v>
      </c>
      <c r="N445" s="469">
        <f t="shared" si="168"/>
        <v>33.333333333333336</v>
      </c>
      <c r="O445" s="469"/>
      <c r="P445" s="469"/>
      <c r="Q445" s="469"/>
      <c r="R445" s="469"/>
      <c r="S445" s="469"/>
      <c r="T445" s="469">
        <v>8</v>
      </c>
      <c r="U445" s="469"/>
      <c r="V445" s="469"/>
      <c r="W445" s="536"/>
      <c r="X445" s="1131"/>
      <c r="Y445" s="1068">
        <v>0.23</v>
      </c>
      <c r="Z445" s="141">
        <f>IF(AND(M445&lt;&gt;"",Y445&lt;&gt;""),M445/Y445,"")</f>
        <v>69.565217391304344</v>
      </c>
      <c r="AA445" s="1046"/>
      <c r="AB445" s="93"/>
      <c r="AC445" s="103"/>
      <c r="AD445" s="1047"/>
      <c r="AE445" s="1069"/>
      <c r="AF445" s="1049"/>
      <c r="AG445" s="516" t="s">
        <v>1579</v>
      </c>
    </row>
    <row r="446" spans="1:33" s="493" customFormat="1" ht="12.75" customHeight="1" x14ac:dyDescent="0.2">
      <c r="A446" s="519"/>
      <c r="B446" s="41"/>
      <c r="C446" s="230"/>
      <c r="D446" s="229"/>
      <c r="E446" s="41" t="s">
        <v>1575</v>
      </c>
      <c r="F446" s="45"/>
      <c r="G446" s="1064">
        <v>0.6</v>
      </c>
      <c r="H446" s="1052">
        <v>2</v>
      </c>
      <c r="I446" s="1065">
        <v>18</v>
      </c>
      <c r="J446" s="1040"/>
      <c r="K446" s="1066"/>
      <c r="L446" s="1067">
        <v>18</v>
      </c>
      <c r="M446" s="1130">
        <v>20</v>
      </c>
      <c r="N446" s="469">
        <f t="shared" si="168"/>
        <v>33.333333333333336</v>
      </c>
      <c r="O446" s="469"/>
      <c r="P446" s="469"/>
      <c r="Q446" s="469"/>
      <c r="R446" s="469"/>
      <c r="S446" s="469"/>
      <c r="T446" s="469">
        <v>18</v>
      </c>
      <c r="U446" s="469"/>
      <c r="V446" s="469"/>
      <c r="W446" s="536"/>
      <c r="X446" s="1131"/>
      <c r="Y446" s="1068">
        <v>0.35</v>
      </c>
      <c r="Z446" s="141">
        <f>IF(AND(M446&lt;&gt;"",Y446&lt;&gt;""),M446/Y446,"")</f>
        <v>57.142857142857146</v>
      </c>
      <c r="AA446" s="1046"/>
      <c r="AB446" s="93"/>
      <c r="AC446" s="103"/>
      <c r="AD446" s="1047"/>
      <c r="AE446" s="1069"/>
      <c r="AF446" s="1049"/>
      <c r="AG446" s="516" t="s">
        <v>1580</v>
      </c>
    </row>
    <row r="447" spans="1:33" s="493" customFormat="1" ht="12.75" customHeight="1" thickBot="1" x14ac:dyDescent="0.25">
      <c r="A447" s="519"/>
      <c r="B447" s="33"/>
      <c r="C447" s="232"/>
      <c r="D447" s="231"/>
      <c r="E447" s="33" t="s">
        <v>1574</v>
      </c>
      <c r="F447" s="133"/>
      <c r="G447" s="1143">
        <v>0.6</v>
      </c>
      <c r="H447" s="1132">
        <v>2</v>
      </c>
      <c r="I447" s="1133">
        <v>18</v>
      </c>
      <c r="J447" s="1134"/>
      <c r="K447" s="1135"/>
      <c r="L447" s="1136">
        <v>15</v>
      </c>
      <c r="M447" s="1137">
        <v>25</v>
      </c>
      <c r="N447" s="469">
        <f t="shared" si="168"/>
        <v>41.666666666666671</v>
      </c>
      <c r="O447" s="533"/>
      <c r="P447" s="533"/>
      <c r="Q447" s="533"/>
      <c r="R447" s="533"/>
      <c r="S447" s="533"/>
      <c r="T447" s="533">
        <v>18</v>
      </c>
      <c r="U447" s="533"/>
      <c r="V447" s="533"/>
      <c r="W447" s="1138"/>
      <c r="X447" s="1139"/>
      <c r="Y447" s="1140">
        <v>0.35</v>
      </c>
      <c r="Z447" s="141">
        <f>IF(AND(M447&lt;&gt;"",Y447&lt;&gt;""),M447/Y447,"")</f>
        <v>71.428571428571431</v>
      </c>
      <c r="AA447" s="1141"/>
      <c r="AB447" s="94"/>
      <c r="AC447" s="104"/>
      <c r="AD447" s="1142"/>
      <c r="AE447" s="904"/>
      <c r="AF447" s="905"/>
      <c r="AG447" s="516" t="s">
        <v>1581</v>
      </c>
    </row>
    <row r="448" spans="1:33" s="493" customFormat="1" ht="12.75" customHeight="1" x14ac:dyDescent="0.2">
      <c r="A448" s="519"/>
      <c r="B448" s="48" t="s">
        <v>1571</v>
      </c>
      <c r="C448" s="1077"/>
      <c r="D448" s="1078"/>
      <c r="E448" s="1128" t="s">
        <v>1712</v>
      </c>
      <c r="F448" s="466"/>
      <c r="G448" s="856"/>
      <c r="H448" s="1129" t="s">
        <v>1479</v>
      </c>
      <c r="I448" s="857"/>
      <c r="J448" s="858"/>
      <c r="K448" s="859"/>
      <c r="L448" s="517" t="s">
        <v>1577</v>
      </c>
      <c r="M448" s="860" t="s">
        <v>1582</v>
      </c>
      <c r="N448" s="399"/>
      <c r="O448" s="399"/>
      <c r="P448" s="399"/>
      <c r="Q448" s="399"/>
      <c r="R448" s="399"/>
      <c r="S448" s="399"/>
      <c r="T448" s="399"/>
      <c r="U448" s="399"/>
      <c r="V448" s="399"/>
      <c r="W448" s="518"/>
      <c r="X448" s="861"/>
      <c r="Y448" s="862" t="s">
        <v>1576</v>
      </c>
      <c r="Z448" s="863"/>
      <c r="AA448" s="864"/>
      <c r="AB448" s="381"/>
      <c r="AC448" s="865"/>
      <c r="AD448" s="866"/>
      <c r="AE448" s="867"/>
      <c r="AF448" s="868"/>
      <c r="AG448" s="516" t="s">
        <v>1578</v>
      </c>
    </row>
    <row r="449" spans="1:33" s="493" customFormat="1" ht="12.75" customHeight="1" thickBot="1" x14ac:dyDescent="0.25">
      <c r="A449" s="519"/>
      <c r="B449" s="33"/>
      <c r="C449" s="232"/>
      <c r="D449" s="231"/>
      <c r="E449" s="33" t="s">
        <v>1713</v>
      </c>
      <c r="F449" s="133"/>
      <c r="G449" s="1143">
        <v>0.53</v>
      </c>
      <c r="H449" s="1132">
        <v>2</v>
      </c>
      <c r="I449" s="1133">
        <v>18</v>
      </c>
      <c r="J449" s="1134"/>
      <c r="K449" s="1135"/>
      <c r="L449" s="1136">
        <v>17</v>
      </c>
      <c r="M449" s="1137">
        <v>75</v>
      </c>
      <c r="N449" s="469">
        <f>IF(AND(G449&lt;&gt;"",M449&lt;&gt;""),M449/G449,"")</f>
        <v>141.50943396226415</v>
      </c>
      <c r="O449" s="533"/>
      <c r="P449" s="533"/>
      <c r="Q449" s="533"/>
      <c r="R449" s="533"/>
      <c r="S449" s="533"/>
      <c r="T449" s="533">
        <v>18</v>
      </c>
      <c r="U449" s="533"/>
      <c r="V449" s="533"/>
      <c r="W449" s="1138"/>
      <c r="X449" s="1139"/>
      <c r="Y449" s="1140">
        <v>0.37</v>
      </c>
      <c r="Z449" s="141">
        <f>IF(AND(M449&lt;&gt;"",Y449&lt;&gt;""),M449/Y449,"")</f>
        <v>202.70270270270271</v>
      </c>
      <c r="AA449" s="1141"/>
      <c r="AB449" s="94"/>
      <c r="AC449" s="104"/>
      <c r="AD449" s="1142"/>
      <c r="AE449" s="904"/>
      <c r="AF449" s="905"/>
      <c r="AG449" s="516" t="s">
        <v>1714</v>
      </c>
    </row>
    <row r="450" spans="1:33" s="493" customFormat="1" ht="12.75" customHeight="1" x14ac:dyDescent="0.2">
      <c r="A450" s="519"/>
      <c r="B450" s="48" t="s">
        <v>2417</v>
      </c>
      <c r="C450" s="1077"/>
      <c r="D450" s="1078"/>
      <c r="E450" s="1128" t="s">
        <v>2419</v>
      </c>
      <c r="F450" s="466"/>
      <c r="G450" s="856"/>
      <c r="H450" s="1129" t="s">
        <v>1479</v>
      </c>
      <c r="I450" s="857"/>
      <c r="J450" s="858"/>
      <c r="K450" s="859"/>
      <c r="L450" s="517" t="s">
        <v>431</v>
      </c>
      <c r="M450" s="860"/>
      <c r="N450" s="399"/>
      <c r="O450" s="399"/>
      <c r="P450" s="399"/>
      <c r="Q450" s="399"/>
      <c r="R450" s="399"/>
      <c r="S450" s="399"/>
      <c r="T450" s="399"/>
      <c r="U450" s="399"/>
      <c r="V450" s="399"/>
      <c r="W450" s="518"/>
      <c r="X450" s="861"/>
      <c r="Y450" s="862" t="s">
        <v>1576</v>
      </c>
      <c r="Z450" s="863"/>
      <c r="AA450" s="864"/>
      <c r="AB450" s="381"/>
      <c r="AC450" s="865"/>
      <c r="AD450" s="866"/>
      <c r="AE450" s="867"/>
      <c r="AF450" s="868"/>
      <c r="AG450" s="516" t="s">
        <v>2418</v>
      </c>
    </row>
    <row r="451" spans="1:33" s="493" customFormat="1" ht="12.75" customHeight="1" thickBot="1" x14ac:dyDescent="0.25">
      <c r="A451" s="519"/>
      <c r="B451" s="33"/>
      <c r="C451" s="232"/>
      <c r="D451" s="231"/>
      <c r="E451" s="33"/>
      <c r="F451" s="133"/>
      <c r="G451" s="1143"/>
      <c r="H451" s="1132">
        <v>2</v>
      </c>
      <c r="I451" s="1133">
        <v>18</v>
      </c>
      <c r="J451" s="1134"/>
      <c r="K451" s="1135"/>
      <c r="L451" s="1136">
        <v>1000</v>
      </c>
      <c r="M451" s="1137"/>
      <c r="N451" s="469" t="str">
        <f>IF(AND(G451&lt;&gt;"",M451&lt;&gt;""),M451/G451,"")</f>
        <v/>
      </c>
      <c r="O451" s="533"/>
      <c r="P451" s="533"/>
      <c r="Q451" s="533"/>
      <c r="R451" s="533"/>
      <c r="S451" s="533"/>
      <c r="T451" s="533"/>
      <c r="U451" s="533"/>
      <c r="V451" s="533"/>
      <c r="W451" s="1138"/>
      <c r="X451" s="1139"/>
      <c r="Y451" s="1140">
        <v>0.37</v>
      </c>
      <c r="Z451" s="141" t="str">
        <f>IF(AND(M451&lt;&gt;"",Y451&lt;&gt;""),M451/Y451,"")</f>
        <v/>
      </c>
      <c r="AA451" s="1141"/>
      <c r="AB451" s="94"/>
      <c r="AC451" s="104"/>
      <c r="AD451" s="1142"/>
      <c r="AE451" s="904"/>
      <c r="AF451" s="905"/>
      <c r="AG451" s="516" t="s">
        <v>2420</v>
      </c>
    </row>
    <row r="452" spans="1:33" s="751" customFormat="1" ht="12.75" customHeight="1" x14ac:dyDescent="0.2">
      <c r="A452" s="818"/>
      <c r="B452" s="842" t="s">
        <v>1080</v>
      </c>
      <c r="C452" s="1175"/>
      <c r="D452" s="1176"/>
      <c r="E452" s="842" t="s">
        <v>1081</v>
      </c>
      <c r="F452" s="774" t="s">
        <v>1017</v>
      </c>
      <c r="G452" s="843"/>
      <c r="H452" s="844"/>
      <c r="I452" s="1177"/>
      <c r="J452" s="845"/>
      <c r="K452" s="846"/>
      <c r="L452" s="813" t="s">
        <v>1089</v>
      </c>
      <c r="M452" s="1005"/>
      <c r="N452" s="780"/>
      <c r="O452" s="780"/>
      <c r="P452" s="780"/>
      <c r="Q452" s="780" t="s">
        <v>92</v>
      </c>
      <c r="R452" s="780"/>
      <c r="S452" s="780"/>
      <c r="T452" s="780"/>
      <c r="U452" s="780" t="s">
        <v>730</v>
      </c>
      <c r="V452" s="780" t="s">
        <v>1090</v>
      </c>
      <c r="W452" s="1178" t="s">
        <v>1091</v>
      </c>
      <c r="X452" s="847"/>
      <c r="Y452" s="848"/>
      <c r="Z452" s="784"/>
      <c r="AA452" s="849"/>
      <c r="AB452" s="850"/>
      <c r="AC452" s="851"/>
      <c r="AD452" s="1179"/>
      <c r="AE452" s="852"/>
      <c r="AF452" s="853"/>
      <c r="AG452" s="796" t="s">
        <v>1087</v>
      </c>
    </row>
    <row r="453" spans="1:33" s="751" customFormat="1" ht="12.75" customHeight="1" x14ac:dyDescent="0.2">
      <c r="A453" s="818"/>
      <c r="B453" s="573"/>
      <c r="C453" s="574"/>
      <c r="D453" s="554"/>
      <c r="E453" s="573" t="s">
        <v>1082</v>
      </c>
      <c r="F453" s="790"/>
      <c r="G453" s="791"/>
      <c r="H453" s="792">
        <v>40</v>
      </c>
      <c r="I453" s="1180">
        <v>496</v>
      </c>
      <c r="J453" s="597"/>
      <c r="K453" s="793"/>
      <c r="L453" s="1181">
        <v>220</v>
      </c>
      <c r="M453" s="1014">
        <v>220</v>
      </c>
      <c r="N453" s="564"/>
      <c r="O453" s="564"/>
      <c r="P453" s="564"/>
      <c r="Q453" s="564"/>
      <c r="R453" s="564">
        <v>44</v>
      </c>
      <c r="S453" s="564">
        <v>48</v>
      </c>
      <c r="T453" s="564">
        <v>920</v>
      </c>
      <c r="U453" s="564">
        <v>960</v>
      </c>
      <c r="V453" s="564">
        <v>240</v>
      </c>
      <c r="W453" s="564">
        <v>480</v>
      </c>
      <c r="X453" s="566"/>
      <c r="Y453" s="795">
        <v>105</v>
      </c>
      <c r="Z453" s="568">
        <f>IF(AND(L453&lt;&gt;"",Y453&lt;&gt;""),1000*L453/Y453,"")</f>
        <v>2095.2380952380954</v>
      </c>
      <c r="AA453" s="601"/>
      <c r="AB453" s="602"/>
      <c r="AC453" s="571"/>
      <c r="AD453" s="572">
        <f>9*(U453*64+V453*4096+W453*8192)/1000000</f>
        <v>44.789760000000001</v>
      </c>
      <c r="AE453" s="1089"/>
      <c r="AF453" s="594"/>
      <c r="AG453" s="796" t="s">
        <v>1086</v>
      </c>
    </row>
    <row r="454" spans="1:33" s="751" customFormat="1" ht="12.75" customHeight="1" x14ac:dyDescent="0.2">
      <c r="A454" s="818"/>
      <c r="B454" s="573"/>
      <c r="C454" s="574"/>
      <c r="D454" s="554"/>
      <c r="E454" s="573" t="s">
        <v>1083</v>
      </c>
      <c r="F454" s="790"/>
      <c r="G454" s="791"/>
      <c r="H454" s="792">
        <v>40</v>
      </c>
      <c r="I454" s="1180">
        <v>496</v>
      </c>
      <c r="J454" s="597"/>
      <c r="K454" s="793"/>
      <c r="L454" s="1181">
        <v>300</v>
      </c>
      <c r="M454" s="1014">
        <v>300</v>
      </c>
      <c r="N454" s="564"/>
      <c r="O454" s="564"/>
      <c r="P454" s="564"/>
      <c r="Q454" s="564"/>
      <c r="R454" s="564">
        <v>44</v>
      </c>
      <c r="S454" s="564">
        <v>48</v>
      </c>
      <c r="T454" s="564">
        <v>920</v>
      </c>
      <c r="U454" s="564">
        <v>960</v>
      </c>
      <c r="V454" s="564">
        <v>240</v>
      </c>
      <c r="W454" s="564">
        <v>480</v>
      </c>
      <c r="X454" s="566"/>
      <c r="Y454" s="795"/>
      <c r="Z454" s="568"/>
      <c r="AA454" s="601"/>
      <c r="AB454" s="602"/>
      <c r="AC454" s="571"/>
      <c r="AD454" s="572">
        <f>9*(U454*64+V454*4096+W454*8192)/1000000</f>
        <v>44.789760000000001</v>
      </c>
      <c r="AE454" s="1089"/>
      <c r="AF454" s="594"/>
      <c r="AG454" s="796" t="s">
        <v>1088</v>
      </c>
    </row>
    <row r="455" spans="1:33" s="751" customFormat="1" ht="12.75" customHeight="1" x14ac:dyDescent="0.2">
      <c r="A455" s="818"/>
      <c r="B455" s="573"/>
      <c r="C455" s="574"/>
      <c r="D455" s="554"/>
      <c r="E455" s="573" t="s">
        <v>1084</v>
      </c>
      <c r="F455" s="790"/>
      <c r="G455" s="791"/>
      <c r="H455" s="792">
        <v>40</v>
      </c>
      <c r="I455" s="1180">
        <v>496</v>
      </c>
      <c r="J455" s="597"/>
      <c r="K455" s="793"/>
      <c r="L455" s="1181">
        <v>390</v>
      </c>
      <c r="M455" s="1014">
        <v>390</v>
      </c>
      <c r="N455" s="564"/>
      <c r="O455" s="564"/>
      <c r="P455" s="564"/>
      <c r="Q455" s="564"/>
      <c r="R455" s="564">
        <v>44</v>
      </c>
      <c r="S455" s="564">
        <v>48</v>
      </c>
      <c r="T455" s="564">
        <v>920</v>
      </c>
      <c r="U455" s="564">
        <v>960</v>
      </c>
      <c r="V455" s="564">
        <v>240</v>
      </c>
      <c r="W455" s="564">
        <v>480</v>
      </c>
      <c r="X455" s="566"/>
      <c r="Y455" s="795"/>
      <c r="Z455" s="568"/>
      <c r="AA455" s="601"/>
      <c r="AB455" s="602"/>
      <c r="AC455" s="571"/>
      <c r="AD455" s="572">
        <f>9*(U455*64+V455*4096+W455*8192)/1000000</f>
        <v>44.789760000000001</v>
      </c>
      <c r="AE455" s="1089"/>
      <c r="AF455" s="594"/>
      <c r="AG455" s="796"/>
    </row>
    <row r="456" spans="1:33" s="751" customFormat="1" ht="12.75" customHeight="1" thickBot="1" x14ac:dyDescent="0.25">
      <c r="A456" s="818"/>
      <c r="B456" s="555"/>
      <c r="C456" s="819"/>
      <c r="D456" s="757"/>
      <c r="E456" s="555" t="s">
        <v>1085</v>
      </c>
      <c r="F456" s="556"/>
      <c r="G456" s="557">
        <v>500</v>
      </c>
      <c r="H456" s="558">
        <v>40</v>
      </c>
      <c r="I456" s="820">
        <v>496</v>
      </c>
      <c r="J456" s="560"/>
      <c r="K456" s="561"/>
      <c r="L456" s="821">
        <v>630</v>
      </c>
      <c r="M456" s="563">
        <v>630</v>
      </c>
      <c r="N456" s="822">
        <f>IF(AND(G456&lt;&gt;"",M456&lt;&gt;""),1000*M456/G456,"")</f>
        <v>1260</v>
      </c>
      <c r="O456" s="565"/>
      <c r="P456" s="565"/>
      <c r="Q456" s="565">
        <v>1280</v>
      </c>
      <c r="R456" s="565">
        <v>44</v>
      </c>
      <c r="S456" s="565">
        <v>48</v>
      </c>
      <c r="T456" s="565">
        <v>920</v>
      </c>
      <c r="U456" s="564">
        <v>960</v>
      </c>
      <c r="V456" s="564">
        <v>240</v>
      </c>
      <c r="W456" s="564">
        <v>480</v>
      </c>
      <c r="X456" s="815"/>
      <c r="Y456" s="816">
        <v>200</v>
      </c>
      <c r="Z456" s="568">
        <f>IF(AND(L456&lt;&gt;"",Y456&lt;&gt;""),1000*L456/Y456,"")</f>
        <v>3150</v>
      </c>
      <c r="AA456" s="569"/>
      <c r="AB456" s="766"/>
      <c r="AC456" s="767"/>
      <c r="AD456" s="572">
        <f>9*(U456*64+V456*4096+W456*8192)/1000000</f>
        <v>44.789760000000001</v>
      </c>
      <c r="AE456" s="823"/>
      <c r="AF456" s="824"/>
      <c r="AG456" s="796"/>
    </row>
    <row r="457" spans="1:33" x14ac:dyDescent="0.2">
      <c r="A457" s="183"/>
      <c r="B457" s="48" t="s">
        <v>715</v>
      </c>
      <c r="C457" s="226"/>
      <c r="D457" s="212"/>
      <c r="E457" s="12" t="s">
        <v>184</v>
      </c>
      <c r="F457" s="466" t="s">
        <v>1013</v>
      </c>
      <c r="G457" s="14" t="s">
        <v>185</v>
      </c>
      <c r="H457" s="123"/>
      <c r="I457" s="123"/>
      <c r="J457" s="15"/>
      <c r="K457" s="16" t="s">
        <v>22</v>
      </c>
      <c r="L457" s="248" t="s">
        <v>23</v>
      </c>
      <c r="M457" s="383" t="s">
        <v>696</v>
      </c>
      <c r="N457" s="380">
        <f>AVERAGE(N458:N462)</f>
        <v>177.94923896016661</v>
      </c>
      <c r="O457" s="382">
        <f>AVERAGE(O458:O462)</f>
        <v>158.1771012979259</v>
      </c>
      <c r="P457" s="61"/>
      <c r="Q457" s="61"/>
      <c r="R457" s="61"/>
      <c r="S457" s="61"/>
      <c r="T457" s="61"/>
      <c r="U457" s="61" t="s">
        <v>187</v>
      </c>
      <c r="V457" s="62" t="s">
        <v>52</v>
      </c>
      <c r="W457" s="61"/>
      <c r="X457" s="109" t="s">
        <v>188</v>
      </c>
      <c r="Y457" s="80"/>
      <c r="Z457" s="164"/>
      <c r="AA457" s="373"/>
      <c r="AB457" s="92">
        <f>AVERAGE(AB458:AB464)</f>
        <v>267.42857142857144</v>
      </c>
      <c r="AC457" s="98">
        <f>AVERAGE(AC458:AC462)</f>
        <v>21.247738095238095</v>
      </c>
      <c r="AD457" s="109"/>
      <c r="AE457" s="193"/>
      <c r="AF457" s="196">
        <f>AVERAGE(AF458:AF464)</f>
        <v>77.264710293839769</v>
      </c>
      <c r="AG457" s="236" t="s">
        <v>1862</v>
      </c>
    </row>
    <row r="458" spans="1:33" x14ac:dyDescent="0.2">
      <c r="A458" s="182" t="s">
        <v>189</v>
      </c>
      <c r="B458" s="17"/>
      <c r="C458" s="227"/>
      <c r="D458" s="213"/>
      <c r="E458" s="118" t="s">
        <v>190</v>
      </c>
      <c r="F458" s="18" t="s">
        <v>191</v>
      </c>
      <c r="G458" s="19">
        <v>13.914999999999999</v>
      </c>
      <c r="H458" s="124"/>
      <c r="I458" s="124"/>
      <c r="J458" s="18" t="s">
        <v>192</v>
      </c>
      <c r="K458" s="20">
        <v>20.79</v>
      </c>
      <c r="L458" s="249">
        <f t="shared" ref="L458:L464" si="172">4*X458</f>
        <v>1536</v>
      </c>
      <c r="M458" s="64">
        <f t="shared" ref="M458:M464" si="173">4.5*X458</f>
        <v>1728</v>
      </c>
      <c r="N458" s="65">
        <f t="shared" ref="N458:N464" si="174">IF(AND(G458&lt;&gt;"",M458&lt;&gt;""),M458/G458,"")</f>
        <v>124.18253683075818</v>
      </c>
      <c r="O458" s="65">
        <f t="shared" ref="O458:O464" si="175">IF(AND(G458&lt;&gt;"",L458&lt;&gt;""),L458/G458,"")</f>
        <v>110.38447718289616</v>
      </c>
      <c r="P458" s="65"/>
      <c r="Q458" s="65"/>
      <c r="R458" s="65"/>
      <c r="S458" s="65"/>
      <c r="T458" s="65">
        <v>182</v>
      </c>
      <c r="U458" s="65"/>
      <c r="V458" s="65">
        <v>8</v>
      </c>
      <c r="W458" s="65"/>
      <c r="X458" s="110">
        <v>384</v>
      </c>
      <c r="Y458" s="81"/>
      <c r="Z458" s="141"/>
      <c r="AA458" s="371"/>
      <c r="AB458" s="54">
        <f t="shared" ref="AB458:AB464" si="176">L458/V458</f>
        <v>192</v>
      </c>
      <c r="AC458" s="99">
        <f t="shared" ref="AC458:AC464" si="177">T458/V458</f>
        <v>22.75</v>
      </c>
      <c r="AD458" s="110">
        <f t="shared" ref="AD458:AD464" si="178">256*16*V458</f>
        <v>32768</v>
      </c>
      <c r="AE458" s="203">
        <v>0.63</v>
      </c>
      <c r="AF458" s="198">
        <f t="shared" ref="AF458:AF464" si="179">(AE458*1000000-V458*16*256)/(4*L458)</f>
        <v>97.205729166666671</v>
      </c>
      <c r="AG458" s="236" t="s">
        <v>1863</v>
      </c>
    </row>
    <row r="459" spans="1:33" x14ac:dyDescent="0.2">
      <c r="A459" s="182" t="s">
        <v>189</v>
      </c>
      <c r="B459" s="17"/>
      <c r="C459" s="227"/>
      <c r="D459" s="213"/>
      <c r="E459" s="118" t="s">
        <v>193</v>
      </c>
      <c r="F459" s="18" t="s">
        <v>194</v>
      </c>
      <c r="G459" s="19">
        <v>16.335000000000001</v>
      </c>
      <c r="H459" s="124"/>
      <c r="I459" s="124"/>
      <c r="J459" s="18" t="s">
        <v>195</v>
      </c>
      <c r="K459" s="20">
        <v>38.445</v>
      </c>
      <c r="L459" s="249">
        <f t="shared" si="172"/>
        <v>2400</v>
      </c>
      <c r="M459" s="64">
        <f t="shared" si="173"/>
        <v>2700</v>
      </c>
      <c r="N459" s="65">
        <f t="shared" si="174"/>
        <v>165.28925619834709</v>
      </c>
      <c r="O459" s="65">
        <f t="shared" si="175"/>
        <v>146.92378328741964</v>
      </c>
      <c r="P459" s="65"/>
      <c r="Q459" s="65"/>
      <c r="R459" s="65"/>
      <c r="S459" s="65"/>
      <c r="T459" s="65">
        <v>202</v>
      </c>
      <c r="U459" s="65"/>
      <c r="V459" s="65">
        <v>10</v>
      </c>
      <c r="W459" s="65"/>
      <c r="X459" s="110">
        <v>600</v>
      </c>
      <c r="Y459" s="81"/>
      <c r="Z459" s="141"/>
      <c r="AA459" s="371"/>
      <c r="AB459" s="54">
        <f t="shared" si="176"/>
        <v>240</v>
      </c>
      <c r="AC459" s="99">
        <f t="shared" si="177"/>
        <v>20.2</v>
      </c>
      <c r="AD459" s="110">
        <f t="shared" si="178"/>
        <v>40960</v>
      </c>
      <c r="AE459" s="203">
        <v>0.86399999999999999</v>
      </c>
      <c r="AF459" s="198">
        <f t="shared" si="179"/>
        <v>85.733333333333334</v>
      </c>
      <c r="AG459" s="236" t="s">
        <v>1864</v>
      </c>
    </row>
    <row r="460" spans="1:33" x14ac:dyDescent="0.2">
      <c r="A460" s="182" t="s">
        <v>189</v>
      </c>
      <c r="B460" s="17"/>
      <c r="C460" s="227"/>
      <c r="D460" s="213"/>
      <c r="E460" s="118" t="s">
        <v>196</v>
      </c>
      <c r="F460" s="18" t="s">
        <v>194</v>
      </c>
      <c r="G460" s="19">
        <v>16.335000000000001</v>
      </c>
      <c r="H460" s="124"/>
      <c r="I460" s="124"/>
      <c r="J460" s="18" t="s">
        <v>195</v>
      </c>
      <c r="K460" s="20">
        <v>38.445</v>
      </c>
      <c r="L460" s="249">
        <f t="shared" si="172"/>
        <v>3456</v>
      </c>
      <c r="M460" s="64">
        <f t="shared" si="173"/>
        <v>3888</v>
      </c>
      <c r="N460" s="65">
        <f t="shared" si="174"/>
        <v>238.01652892561981</v>
      </c>
      <c r="O460" s="65">
        <f t="shared" si="175"/>
        <v>211.57024793388427</v>
      </c>
      <c r="P460" s="65"/>
      <c r="Q460" s="65"/>
      <c r="R460" s="65"/>
      <c r="S460" s="65"/>
      <c r="T460" s="65">
        <v>265</v>
      </c>
      <c r="U460" s="65"/>
      <c r="V460" s="65">
        <v>12</v>
      </c>
      <c r="W460" s="65"/>
      <c r="X460" s="110">
        <v>864</v>
      </c>
      <c r="Y460" s="81"/>
      <c r="Z460" s="141"/>
      <c r="AA460" s="371"/>
      <c r="AB460" s="54">
        <f t="shared" si="176"/>
        <v>288</v>
      </c>
      <c r="AC460" s="99">
        <f t="shared" si="177"/>
        <v>22.083333333333332</v>
      </c>
      <c r="AD460" s="110">
        <f t="shared" si="178"/>
        <v>49152</v>
      </c>
      <c r="AE460" s="203">
        <v>1.1339999999999999</v>
      </c>
      <c r="AF460" s="198">
        <f t="shared" si="179"/>
        <v>78.475694444444443</v>
      </c>
      <c r="AG460" s="236"/>
    </row>
    <row r="461" spans="1:33" x14ac:dyDescent="0.2">
      <c r="A461" s="182" t="s">
        <v>189</v>
      </c>
      <c r="B461" s="17"/>
      <c r="C461" s="227"/>
      <c r="D461" s="213"/>
      <c r="E461" s="118" t="s">
        <v>197</v>
      </c>
      <c r="F461" s="18" t="s">
        <v>198</v>
      </c>
      <c r="G461" s="19">
        <v>26.73</v>
      </c>
      <c r="H461" s="124"/>
      <c r="I461" s="124"/>
      <c r="J461" s="18" t="s">
        <v>195</v>
      </c>
      <c r="K461" s="20">
        <v>47.465000000000003</v>
      </c>
      <c r="L461" s="249">
        <f t="shared" si="172"/>
        <v>4704</v>
      </c>
      <c r="M461" s="64">
        <f t="shared" si="173"/>
        <v>5292</v>
      </c>
      <c r="N461" s="65">
        <f t="shared" si="174"/>
        <v>197.97979797979798</v>
      </c>
      <c r="O461" s="65">
        <f t="shared" si="175"/>
        <v>175.98204264870932</v>
      </c>
      <c r="P461" s="65"/>
      <c r="Q461" s="65"/>
      <c r="R461" s="65"/>
      <c r="S461" s="65"/>
      <c r="T461" s="65">
        <v>289</v>
      </c>
      <c r="U461" s="65"/>
      <c r="V461" s="65">
        <v>14</v>
      </c>
      <c r="W461" s="65"/>
      <c r="X461" s="110">
        <v>1176</v>
      </c>
      <c r="Y461" s="81"/>
      <c r="Z461" s="141"/>
      <c r="AA461" s="371"/>
      <c r="AB461" s="54">
        <f t="shared" si="176"/>
        <v>336</v>
      </c>
      <c r="AC461" s="99">
        <f t="shared" si="177"/>
        <v>20.642857142857142</v>
      </c>
      <c r="AD461" s="110">
        <f t="shared" si="178"/>
        <v>57344</v>
      </c>
      <c r="AE461" s="203">
        <v>1.4419999999999999</v>
      </c>
      <c r="AF461" s="198">
        <f t="shared" si="179"/>
        <v>73.589285714285708</v>
      </c>
      <c r="AG461" s="236"/>
    </row>
    <row r="462" spans="1:33" x14ac:dyDescent="0.2">
      <c r="A462" s="182" t="s">
        <v>189</v>
      </c>
      <c r="B462" s="17"/>
      <c r="C462" s="227"/>
      <c r="D462" s="213"/>
      <c r="E462" s="118" t="s">
        <v>199</v>
      </c>
      <c r="F462" s="18" t="s">
        <v>198</v>
      </c>
      <c r="G462" s="19">
        <v>42.075000000000003</v>
      </c>
      <c r="H462" s="124"/>
      <c r="I462" s="124"/>
      <c r="J462" s="18" t="s">
        <v>195</v>
      </c>
      <c r="K462" s="20">
        <v>72.875</v>
      </c>
      <c r="L462" s="249">
        <f t="shared" si="172"/>
        <v>6144</v>
      </c>
      <c r="M462" s="64">
        <f t="shared" si="173"/>
        <v>6912</v>
      </c>
      <c r="N462" s="65">
        <f t="shared" si="174"/>
        <v>164.27807486631016</v>
      </c>
      <c r="O462" s="65">
        <f t="shared" si="175"/>
        <v>146.02495543672012</v>
      </c>
      <c r="P462" s="65"/>
      <c r="Q462" s="65"/>
      <c r="R462" s="65"/>
      <c r="S462" s="65"/>
      <c r="T462" s="65">
        <v>329</v>
      </c>
      <c r="U462" s="65"/>
      <c r="V462" s="65">
        <v>16</v>
      </c>
      <c r="W462" s="65"/>
      <c r="X462" s="110">
        <v>1536</v>
      </c>
      <c r="Y462" s="81"/>
      <c r="Z462" s="141"/>
      <c r="AA462" s="371"/>
      <c r="AB462" s="54">
        <f t="shared" si="176"/>
        <v>384</v>
      </c>
      <c r="AC462" s="99">
        <f t="shared" si="177"/>
        <v>20.5625</v>
      </c>
      <c r="AD462" s="110">
        <f t="shared" si="178"/>
        <v>65536</v>
      </c>
      <c r="AE462" s="203">
        <v>1.8759999999999999</v>
      </c>
      <c r="AF462" s="198">
        <f t="shared" si="179"/>
        <v>73.66796875</v>
      </c>
      <c r="AG462" s="236"/>
    </row>
    <row r="463" spans="1:33" x14ac:dyDescent="0.2">
      <c r="A463" s="182" t="s">
        <v>189</v>
      </c>
      <c r="B463" s="17"/>
      <c r="C463" s="227"/>
      <c r="D463" s="213"/>
      <c r="E463" s="118" t="s">
        <v>200</v>
      </c>
      <c r="F463" s="18" t="s">
        <v>201</v>
      </c>
      <c r="G463" s="19">
        <v>65.67</v>
      </c>
      <c r="H463" s="124"/>
      <c r="I463" s="124"/>
      <c r="J463" s="18" t="s">
        <v>202</v>
      </c>
      <c r="K463" s="20">
        <v>198</v>
      </c>
      <c r="L463" s="249">
        <f t="shared" si="172"/>
        <v>9600</v>
      </c>
      <c r="M463" s="64">
        <f t="shared" si="173"/>
        <v>10800</v>
      </c>
      <c r="N463" s="65">
        <f t="shared" si="174"/>
        <v>164.45865692096848</v>
      </c>
      <c r="O463" s="65">
        <f t="shared" si="175"/>
        <v>146.18547281863866</v>
      </c>
      <c r="P463" s="65"/>
      <c r="Q463" s="65"/>
      <c r="R463" s="65"/>
      <c r="S463" s="65"/>
      <c r="T463" s="65">
        <v>410</v>
      </c>
      <c r="U463" s="65"/>
      <c r="V463" s="65">
        <v>40</v>
      </c>
      <c r="W463" s="65"/>
      <c r="X463" s="110">
        <v>2400</v>
      </c>
      <c r="Y463" s="81"/>
      <c r="Z463" s="141"/>
      <c r="AA463" s="371"/>
      <c r="AB463" s="54">
        <f t="shared" si="176"/>
        <v>240</v>
      </c>
      <c r="AC463" s="99">
        <f t="shared" si="177"/>
        <v>10.25</v>
      </c>
      <c r="AD463" s="110">
        <f t="shared" si="178"/>
        <v>163840</v>
      </c>
      <c r="AE463" s="203">
        <v>2.6930000000000001</v>
      </c>
      <c r="AF463" s="198">
        <f t="shared" si="179"/>
        <v>65.863541666666663</v>
      </c>
      <c r="AG463" s="236"/>
    </row>
    <row r="464" spans="1:33" ht="13.5" thickBot="1" x14ac:dyDescent="0.25">
      <c r="A464" s="182" t="s">
        <v>189</v>
      </c>
      <c r="B464" s="21"/>
      <c r="C464" s="228"/>
      <c r="D464" s="214"/>
      <c r="E464" s="146" t="s">
        <v>203</v>
      </c>
      <c r="F464" s="22" t="s">
        <v>204</v>
      </c>
      <c r="G464" s="23">
        <v>162.19499999999999</v>
      </c>
      <c r="H464" s="125"/>
      <c r="I464" s="125"/>
      <c r="J464" s="22" t="s">
        <v>202</v>
      </c>
      <c r="K464" s="24">
        <v>273.89999999999998</v>
      </c>
      <c r="L464" s="250">
        <f t="shared" si="172"/>
        <v>13824</v>
      </c>
      <c r="M464" s="67">
        <f t="shared" si="173"/>
        <v>15552</v>
      </c>
      <c r="N464" s="68">
        <f t="shared" si="174"/>
        <v>95.884583371867194</v>
      </c>
      <c r="O464" s="68">
        <f t="shared" si="175"/>
        <v>85.230740774993066</v>
      </c>
      <c r="P464" s="68"/>
      <c r="Q464" s="68"/>
      <c r="R464" s="68"/>
      <c r="S464" s="68"/>
      <c r="T464" s="68">
        <v>514</v>
      </c>
      <c r="U464" s="68"/>
      <c r="V464" s="68">
        <v>72</v>
      </c>
      <c r="W464" s="68"/>
      <c r="X464" s="111">
        <v>3456</v>
      </c>
      <c r="Y464" s="82"/>
      <c r="Z464" s="142"/>
      <c r="AA464" s="374"/>
      <c r="AB464" s="55">
        <f t="shared" si="176"/>
        <v>192</v>
      </c>
      <c r="AC464" s="100">
        <f t="shared" si="177"/>
        <v>7.1388888888888893</v>
      </c>
      <c r="AD464" s="111">
        <f t="shared" si="178"/>
        <v>294912</v>
      </c>
      <c r="AE464" s="204">
        <v>3.9620000000000002</v>
      </c>
      <c r="AF464" s="198">
        <f t="shared" si="179"/>
        <v>66.317418981481481</v>
      </c>
      <c r="AG464" s="236"/>
    </row>
    <row r="465" spans="1:33" x14ac:dyDescent="0.2">
      <c r="A465" s="182"/>
      <c r="B465" s="48" t="s">
        <v>715</v>
      </c>
      <c r="C465" s="226"/>
      <c r="D465" s="212"/>
      <c r="E465" s="12" t="s">
        <v>205</v>
      </c>
      <c r="F465" s="466" t="s">
        <v>1015</v>
      </c>
      <c r="G465" s="14" t="s">
        <v>21</v>
      </c>
      <c r="H465" s="132" t="s">
        <v>530</v>
      </c>
      <c r="I465" s="161"/>
      <c r="J465" s="136"/>
      <c r="K465" s="16" t="s">
        <v>22</v>
      </c>
      <c r="L465" s="244" t="s">
        <v>23</v>
      </c>
      <c r="M465" s="383" t="s">
        <v>696</v>
      </c>
      <c r="N465" s="380">
        <f>AVERAGE(N466:N485)</f>
        <v>362.52109779373313</v>
      </c>
      <c r="O465" s="382">
        <f>AVERAGE(O466:O485)</f>
        <v>0.32224097581665168</v>
      </c>
      <c r="P465" s="61"/>
      <c r="Q465" s="61" t="s">
        <v>92</v>
      </c>
      <c r="R465" s="61"/>
      <c r="S465" s="61"/>
      <c r="T465" s="61"/>
      <c r="U465" s="61" t="s">
        <v>187</v>
      </c>
      <c r="V465" s="62" t="s">
        <v>206</v>
      </c>
      <c r="W465" s="61" t="s">
        <v>587</v>
      </c>
      <c r="X465" s="109" t="s">
        <v>207</v>
      </c>
      <c r="Y465" s="215" t="s">
        <v>65</v>
      </c>
      <c r="Z465" s="164"/>
      <c r="AA465" s="372">
        <f>AVERAGE(AA466:AA485)</f>
        <v>606.16285714285709</v>
      </c>
      <c r="AB465" s="92">
        <f>AVERAGE(AB466:AB485)</f>
        <v>0.54329142857142854</v>
      </c>
      <c r="AC465" s="98">
        <f>AVERAGE(AC466:AC485)</f>
        <v>16.193396291208796</v>
      </c>
      <c r="AD465" s="109" t="s">
        <v>650</v>
      </c>
      <c r="AE465" s="201"/>
      <c r="AF465" s="196">
        <f>AVERAGE(AF466:AF485)</f>
        <v>51.423080201671212</v>
      </c>
      <c r="AG465" s="237" t="s">
        <v>208</v>
      </c>
    </row>
    <row r="466" spans="1:33" x14ac:dyDescent="0.2">
      <c r="A466" s="182" t="s">
        <v>189</v>
      </c>
      <c r="B466" s="17"/>
      <c r="C466" s="227"/>
      <c r="D466" s="213"/>
      <c r="E466" s="134" t="s">
        <v>209</v>
      </c>
      <c r="F466" s="18" t="s">
        <v>210</v>
      </c>
      <c r="G466" s="19">
        <v>8.4149999999999991</v>
      </c>
      <c r="H466" s="124">
        <v>8</v>
      </c>
      <c r="I466" s="162">
        <v>89</v>
      </c>
      <c r="J466" s="138" t="s">
        <v>211</v>
      </c>
      <c r="K466" s="20">
        <v>15.29</v>
      </c>
      <c r="L466" s="460">
        <f t="shared" ref="L466:L485" si="180">8*X466/1000</f>
        <v>1.536</v>
      </c>
      <c r="M466" s="235">
        <f t="shared" ref="M466:M485" si="181">9*X466/1000</f>
        <v>1.728</v>
      </c>
      <c r="N466" s="282">
        <f t="shared" ref="N466:N485" si="182">IF(AND(G466&lt;&gt;"",M466&lt;&gt;""),1000*M466/G466,"")</f>
        <v>205.34759358288773</v>
      </c>
      <c r="O466" s="65">
        <f t="shared" ref="O466:O485" si="183">IF(AND(G466&lt;&gt;"",L466&lt;&gt;""),L466/G466,"")</f>
        <v>0.1825311942959002</v>
      </c>
      <c r="P466" s="65"/>
      <c r="Q466" s="65">
        <v>4</v>
      </c>
      <c r="R466" s="65">
        <v>2</v>
      </c>
      <c r="S466" s="65"/>
      <c r="T466" s="65">
        <v>124</v>
      </c>
      <c r="U466" s="65"/>
      <c r="V466" s="65">
        <v>4</v>
      </c>
      <c r="W466" s="154"/>
      <c r="X466" s="110">
        <v>192</v>
      </c>
      <c r="Y466" s="216">
        <v>2.95</v>
      </c>
      <c r="Z466" s="141">
        <f t="shared" ref="Z466:Z485" si="184">IF(AND(L466&lt;&gt;"",Y466&lt;&gt;""),1000*L466/Y466,"")</f>
        <v>520.67796610169489</v>
      </c>
      <c r="AA466" s="371">
        <f t="shared" ref="AA466:AA485" si="185">1000*M466/Q466</f>
        <v>432</v>
      </c>
      <c r="AB466" s="54">
        <f t="shared" ref="AB466:AB485" si="186">L466/V466</f>
        <v>0.38400000000000001</v>
      </c>
      <c r="AC466" s="99">
        <f t="shared" ref="AC466:AC485" si="187">T466/V466</f>
        <v>31</v>
      </c>
      <c r="AD466" s="191">
        <f t="shared" ref="AD466:AD485" si="188">512*36*V466/1000000</f>
        <v>7.3728000000000002E-2</v>
      </c>
      <c r="AE466" s="197">
        <v>0.437</v>
      </c>
      <c r="AF466" s="198">
        <f t="shared" ref="AF466:AF485" si="189">(AE466*1000000-V466*36*512)/(4000*L466)</f>
        <v>59.126302083333336</v>
      </c>
      <c r="AG466" s="236"/>
    </row>
    <row r="467" spans="1:33" x14ac:dyDescent="0.2">
      <c r="A467" s="182" t="s">
        <v>189</v>
      </c>
      <c r="B467" s="17"/>
      <c r="C467" s="227"/>
      <c r="D467" s="213"/>
      <c r="E467" s="118" t="s">
        <v>534</v>
      </c>
      <c r="F467" s="18" t="s">
        <v>607</v>
      </c>
      <c r="G467" s="19">
        <v>12.0625</v>
      </c>
      <c r="H467" s="124">
        <v>17</v>
      </c>
      <c r="I467" s="162">
        <v>144</v>
      </c>
      <c r="J467" s="138"/>
      <c r="K467" s="20"/>
      <c r="L467" s="460">
        <f t="shared" si="180"/>
        <v>1.4079999999999999</v>
      </c>
      <c r="M467" s="235">
        <f t="shared" si="181"/>
        <v>1.5840000000000001</v>
      </c>
      <c r="N467" s="282">
        <f t="shared" si="182"/>
        <v>131.31606217616581</v>
      </c>
      <c r="O467" s="65">
        <f t="shared" si="183"/>
        <v>0.11672538860103626</v>
      </c>
      <c r="P467" s="65"/>
      <c r="Q467" s="65">
        <v>3</v>
      </c>
      <c r="R467" s="65">
        <v>2</v>
      </c>
      <c r="S467" s="65"/>
      <c r="T467" s="65">
        <v>144</v>
      </c>
      <c r="U467" s="65"/>
      <c r="V467" s="65">
        <v>3</v>
      </c>
      <c r="W467" s="154">
        <v>1.0813440000000001</v>
      </c>
      <c r="X467" s="110">
        <v>176</v>
      </c>
      <c r="Y467" s="216">
        <v>1.5</v>
      </c>
      <c r="Z467" s="141">
        <f t="shared" si="184"/>
        <v>938.66666666666663</v>
      </c>
      <c r="AA467" s="371">
        <f t="shared" si="185"/>
        <v>528</v>
      </c>
      <c r="AB467" s="54">
        <f t="shared" si="186"/>
        <v>0.46933333333333332</v>
      </c>
      <c r="AC467" s="99">
        <f t="shared" si="187"/>
        <v>48</v>
      </c>
      <c r="AD467" s="191">
        <f t="shared" si="188"/>
        <v>5.5295999999999998E-2</v>
      </c>
      <c r="AE467" s="197">
        <v>0.439</v>
      </c>
      <c r="AF467" s="198">
        <f t="shared" si="189"/>
        <v>68.12926136363636</v>
      </c>
      <c r="AG467" s="236" t="s">
        <v>583</v>
      </c>
    </row>
    <row r="468" spans="1:33" x14ac:dyDescent="0.2">
      <c r="A468" s="182" t="s">
        <v>189</v>
      </c>
      <c r="B468" s="17"/>
      <c r="C468" s="227"/>
      <c r="D468" s="213"/>
      <c r="E468" s="118" t="s">
        <v>212</v>
      </c>
      <c r="F468" s="18" t="s">
        <v>210</v>
      </c>
      <c r="G468" s="19">
        <v>9.8800000000000008</v>
      </c>
      <c r="H468" s="124">
        <v>8</v>
      </c>
      <c r="I468" s="162">
        <v>83</v>
      </c>
      <c r="J468" s="138" t="s">
        <v>218</v>
      </c>
      <c r="K468" s="20">
        <v>11.57</v>
      </c>
      <c r="L468" s="460">
        <f t="shared" si="180"/>
        <v>1.92</v>
      </c>
      <c r="M468" s="235">
        <f t="shared" si="181"/>
        <v>2.16</v>
      </c>
      <c r="N468" s="282">
        <f t="shared" si="182"/>
        <v>218.62348178137651</v>
      </c>
      <c r="O468" s="65">
        <f t="shared" si="183"/>
        <v>0.19433198380566799</v>
      </c>
      <c r="P468" s="65"/>
      <c r="Q468" s="65">
        <v>4</v>
      </c>
      <c r="R468" s="65"/>
      <c r="S468" s="65"/>
      <c r="T468" s="65">
        <v>108</v>
      </c>
      <c r="U468" s="65"/>
      <c r="V468" s="65">
        <v>4</v>
      </c>
      <c r="W468" s="154"/>
      <c r="X468" s="110">
        <v>240</v>
      </c>
      <c r="Y468" s="216">
        <v>2</v>
      </c>
      <c r="Z468" s="141">
        <f t="shared" si="184"/>
        <v>960</v>
      </c>
      <c r="AA468" s="371">
        <f t="shared" si="185"/>
        <v>540</v>
      </c>
      <c r="AB468" s="54">
        <f t="shared" si="186"/>
        <v>0.48</v>
      </c>
      <c r="AC468" s="99">
        <f t="shared" si="187"/>
        <v>27</v>
      </c>
      <c r="AD468" s="191">
        <f t="shared" si="188"/>
        <v>7.3728000000000002E-2</v>
      </c>
      <c r="AE468" s="197">
        <v>0.58099999999999996</v>
      </c>
      <c r="AF468" s="198">
        <f t="shared" si="189"/>
        <v>66.051041666666663</v>
      </c>
      <c r="AG468" s="236"/>
    </row>
    <row r="469" spans="1:33" x14ac:dyDescent="0.2">
      <c r="A469" s="182" t="s">
        <v>189</v>
      </c>
      <c r="B469" s="17"/>
      <c r="C469" s="227"/>
      <c r="D469" s="213"/>
      <c r="E469" s="118" t="s">
        <v>213</v>
      </c>
      <c r="F469" s="18" t="s">
        <v>214</v>
      </c>
      <c r="G469" s="19">
        <v>11.22</v>
      </c>
      <c r="H469" s="124">
        <v>16</v>
      </c>
      <c r="I469" s="162">
        <v>63</v>
      </c>
      <c r="J469" s="138" t="s">
        <v>215</v>
      </c>
      <c r="K469" s="20">
        <v>32.340000000000003</v>
      </c>
      <c r="L469" s="460">
        <f t="shared" si="180"/>
        <v>3.84</v>
      </c>
      <c r="M469" s="235">
        <f t="shared" si="181"/>
        <v>4.32</v>
      </c>
      <c r="N469" s="282">
        <f t="shared" si="182"/>
        <v>385.02673796791441</v>
      </c>
      <c r="O469" s="65">
        <f t="shared" si="183"/>
        <v>0.34224598930481281</v>
      </c>
      <c r="P469" s="65"/>
      <c r="Q469" s="65">
        <v>12</v>
      </c>
      <c r="R469" s="65">
        <v>4</v>
      </c>
      <c r="S469" s="65"/>
      <c r="T469" s="65">
        <v>173</v>
      </c>
      <c r="U469" s="65"/>
      <c r="V469" s="65">
        <v>12</v>
      </c>
      <c r="W469" s="154"/>
      <c r="X469" s="110">
        <v>480</v>
      </c>
      <c r="Y469" s="216">
        <v>4</v>
      </c>
      <c r="Z469" s="141">
        <f t="shared" si="184"/>
        <v>960</v>
      </c>
      <c r="AA469" s="371">
        <f t="shared" si="185"/>
        <v>360</v>
      </c>
      <c r="AB469" s="54">
        <f t="shared" si="186"/>
        <v>0.32</v>
      </c>
      <c r="AC469" s="99">
        <f t="shared" si="187"/>
        <v>14.416666666666666</v>
      </c>
      <c r="AD469" s="191">
        <f t="shared" si="188"/>
        <v>0.22118399999999999</v>
      </c>
      <c r="AE469" s="197">
        <v>1.0469999999999999</v>
      </c>
      <c r="AF469" s="198">
        <f t="shared" si="189"/>
        <v>53.764062499999994</v>
      </c>
      <c r="AG469" s="236"/>
    </row>
    <row r="470" spans="1:33" x14ac:dyDescent="0.2">
      <c r="A470" s="182" t="s">
        <v>189</v>
      </c>
      <c r="B470" s="17"/>
      <c r="C470" s="227"/>
      <c r="D470" s="213"/>
      <c r="E470" s="118" t="s">
        <v>535</v>
      </c>
      <c r="F470" s="18" t="s">
        <v>222</v>
      </c>
      <c r="G470" s="19">
        <v>18.8125</v>
      </c>
      <c r="H470" s="124">
        <v>17</v>
      </c>
      <c r="I470" s="162">
        <v>195</v>
      </c>
      <c r="J470" s="138"/>
      <c r="K470" s="20"/>
      <c r="L470" s="460">
        <f t="shared" si="180"/>
        <v>3.5840000000000001</v>
      </c>
      <c r="M470" s="235">
        <f t="shared" si="181"/>
        <v>4.032</v>
      </c>
      <c r="N470" s="282">
        <f t="shared" si="182"/>
        <v>214.32558139534885</v>
      </c>
      <c r="O470" s="65">
        <f t="shared" si="183"/>
        <v>0.19051162790697676</v>
      </c>
      <c r="P470" s="65"/>
      <c r="Q470" s="65">
        <v>16</v>
      </c>
      <c r="R470" s="65">
        <v>4</v>
      </c>
      <c r="S470" s="65"/>
      <c r="T470" s="65">
        <v>248</v>
      </c>
      <c r="U470" s="65"/>
      <c r="V470" s="65">
        <v>16</v>
      </c>
      <c r="W470" s="154">
        <v>4.3253760000000003</v>
      </c>
      <c r="X470" s="110">
        <v>448</v>
      </c>
      <c r="Y470" s="216">
        <v>3</v>
      </c>
      <c r="Z470" s="141">
        <f t="shared" si="184"/>
        <v>1194.6666666666667</v>
      </c>
      <c r="AA470" s="371">
        <f t="shared" si="185"/>
        <v>252</v>
      </c>
      <c r="AB470" s="54">
        <f t="shared" si="186"/>
        <v>0.224</v>
      </c>
      <c r="AC470" s="99">
        <f t="shared" si="187"/>
        <v>15.5</v>
      </c>
      <c r="AD470" s="191">
        <f t="shared" si="188"/>
        <v>0.29491200000000001</v>
      </c>
      <c r="AE470" s="197">
        <v>1.196</v>
      </c>
      <c r="AF470" s="198">
        <f t="shared" si="189"/>
        <v>62.854910714285715</v>
      </c>
      <c r="AG470" s="236" t="s">
        <v>583</v>
      </c>
    </row>
    <row r="471" spans="1:33" x14ac:dyDescent="0.2">
      <c r="A471" s="182" t="s">
        <v>189</v>
      </c>
      <c r="B471" s="17"/>
      <c r="C471" s="227"/>
      <c r="D471" s="213"/>
      <c r="E471" s="118" t="s">
        <v>216</v>
      </c>
      <c r="F471" s="18" t="s">
        <v>452</v>
      </c>
      <c r="G471" s="19">
        <v>19.059999999999999</v>
      </c>
      <c r="H471" s="124">
        <v>8</v>
      </c>
      <c r="I471" s="162">
        <v>92</v>
      </c>
      <c r="J471" s="138" t="s">
        <v>222</v>
      </c>
      <c r="K471" s="20">
        <v>21.06</v>
      </c>
      <c r="L471" s="460">
        <f t="shared" si="180"/>
        <v>4.8959999999999999</v>
      </c>
      <c r="M471" s="235">
        <f t="shared" si="181"/>
        <v>5.508</v>
      </c>
      <c r="N471" s="282">
        <f t="shared" si="182"/>
        <v>288.98216159496332</v>
      </c>
      <c r="O471" s="65">
        <f t="shared" si="183"/>
        <v>0.25687303252885624</v>
      </c>
      <c r="P471" s="65"/>
      <c r="Q471" s="65">
        <v>12</v>
      </c>
      <c r="R471" s="65"/>
      <c r="S471" s="65"/>
      <c r="T471" s="65">
        <v>172</v>
      </c>
      <c r="U471" s="65"/>
      <c r="V471" s="65">
        <v>12</v>
      </c>
      <c r="W471" s="154"/>
      <c r="X471" s="110">
        <v>612</v>
      </c>
      <c r="Y471" s="216"/>
      <c r="Z471" s="141" t="str">
        <f t="shared" si="184"/>
        <v/>
      </c>
      <c r="AA471" s="371">
        <f t="shared" si="185"/>
        <v>459</v>
      </c>
      <c r="AB471" s="54">
        <f t="shared" si="186"/>
        <v>0.40799999999999997</v>
      </c>
      <c r="AC471" s="99">
        <f t="shared" si="187"/>
        <v>14.333333333333334</v>
      </c>
      <c r="AD471" s="191">
        <f t="shared" si="188"/>
        <v>0.22118399999999999</v>
      </c>
      <c r="AE471" s="197">
        <v>1.3540000000000001</v>
      </c>
      <c r="AF471" s="198">
        <f t="shared" si="189"/>
        <v>57.843954248366011</v>
      </c>
      <c r="AG471" s="236"/>
    </row>
    <row r="472" spans="1:33" x14ac:dyDescent="0.2">
      <c r="A472" s="182" t="s">
        <v>189</v>
      </c>
      <c r="B472" s="17"/>
      <c r="C472" s="227"/>
      <c r="D472" s="213"/>
      <c r="E472" s="118" t="s">
        <v>217</v>
      </c>
      <c r="F472" s="18" t="s">
        <v>218</v>
      </c>
      <c r="G472" s="19">
        <v>18.260000000000002</v>
      </c>
      <c r="H472" s="124">
        <v>17</v>
      </c>
      <c r="I472" s="162">
        <v>173</v>
      </c>
      <c r="J472" s="138" t="s">
        <v>219</v>
      </c>
      <c r="K472" s="20">
        <v>59.564999999999998</v>
      </c>
      <c r="L472" s="460">
        <f t="shared" si="180"/>
        <v>7.1680000000000001</v>
      </c>
      <c r="M472" s="235">
        <f t="shared" si="181"/>
        <v>8.0640000000000001</v>
      </c>
      <c r="N472" s="282">
        <f t="shared" si="182"/>
        <v>441.62102957283679</v>
      </c>
      <c r="O472" s="65">
        <f t="shared" si="183"/>
        <v>0.392552026286966</v>
      </c>
      <c r="P472" s="65"/>
      <c r="Q472" s="65">
        <v>16</v>
      </c>
      <c r="R472" s="65">
        <v>4</v>
      </c>
      <c r="S472" s="65"/>
      <c r="T472" s="65">
        <v>264</v>
      </c>
      <c r="U472" s="65"/>
      <c r="V472" s="65">
        <v>16</v>
      </c>
      <c r="W472" s="154"/>
      <c r="X472" s="110">
        <v>896</v>
      </c>
      <c r="Y472" s="216">
        <v>6.5</v>
      </c>
      <c r="Z472" s="141">
        <f t="shared" si="184"/>
        <v>1102.7692307692307</v>
      </c>
      <c r="AA472" s="371">
        <f t="shared" si="185"/>
        <v>504</v>
      </c>
      <c r="AB472" s="54">
        <f t="shared" si="186"/>
        <v>0.44800000000000001</v>
      </c>
      <c r="AC472" s="99">
        <f t="shared" si="187"/>
        <v>16.5</v>
      </c>
      <c r="AD472" s="191">
        <f t="shared" si="188"/>
        <v>0.29491200000000001</v>
      </c>
      <c r="AE472" s="197">
        <v>1.6990000000000001</v>
      </c>
      <c r="AF472" s="198">
        <f t="shared" si="189"/>
        <v>48.970703125</v>
      </c>
      <c r="AG472" s="236"/>
    </row>
    <row r="473" spans="1:33" x14ac:dyDescent="0.2">
      <c r="A473" s="182" t="s">
        <v>189</v>
      </c>
      <c r="B473" s="17"/>
      <c r="C473" s="227"/>
      <c r="D473" s="213"/>
      <c r="E473" s="118" t="s">
        <v>536</v>
      </c>
      <c r="F473" s="18" t="s">
        <v>606</v>
      </c>
      <c r="G473" s="19">
        <v>30.5625</v>
      </c>
      <c r="H473" s="124">
        <v>17</v>
      </c>
      <c r="I473" s="162">
        <v>195</v>
      </c>
      <c r="J473" s="138"/>
      <c r="K473" s="20"/>
      <c r="L473" s="460">
        <f t="shared" si="180"/>
        <v>7.1680000000000001</v>
      </c>
      <c r="M473" s="235">
        <f t="shared" si="181"/>
        <v>8.0640000000000001</v>
      </c>
      <c r="N473" s="282">
        <f t="shared" si="182"/>
        <v>263.85276073619633</v>
      </c>
      <c r="O473" s="65">
        <f t="shared" si="183"/>
        <v>0.23453578732106339</v>
      </c>
      <c r="P473" s="65"/>
      <c r="Q473" s="65">
        <v>20</v>
      </c>
      <c r="R473" s="65">
        <v>4</v>
      </c>
      <c r="S473" s="65"/>
      <c r="T473" s="65">
        <v>311</v>
      </c>
      <c r="U473" s="65"/>
      <c r="V473" s="65">
        <v>16</v>
      </c>
      <c r="W473" s="154">
        <v>4.3253760000000003</v>
      </c>
      <c r="X473" s="110">
        <v>896</v>
      </c>
      <c r="Y473" s="216"/>
      <c r="Z473" s="141" t="str">
        <f t="shared" si="184"/>
        <v/>
      </c>
      <c r="AA473" s="371">
        <f t="shared" si="185"/>
        <v>403.2</v>
      </c>
      <c r="AB473" s="54">
        <f t="shared" si="186"/>
        <v>0.44800000000000001</v>
      </c>
      <c r="AC473" s="99">
        <f t="shared" si="187"/>
        <v>19.4375</v>
      </c>
      <c r="AD473" s="191">
        <f t="shared" si="188"/>
        <v>0.29491200000000001</v>
      </c>
      <c r="AE473" s="197">
        <v>1.8859999999999999</v>
      </c>
      <c r="AF473" s="198">
        <f t="shared" si="189"/>
        <v>55.492745535714285</v>
      </c>
      <c r="AG473" s="236" t="s">
        <v>583</v>
      </c>
    </row>
    <row r="474" spans="1:33" x14ac:dyDescent="0.2">
      <c r="A474" s="182" t="s">
        <v>189</v>
      </c>
      <c r="B474" s="17"/>
      <c r="C474" s="227"/>
      <c r="D474" s="213"/>
      <c r="E474" s="118" t="s">
        <v>220</v>
      </c>
      <c r="F474" s="18" t="s">
        <v>453</v>
      </c>
      <c r="G474" s="19">
        <v>21.63</v>
      </c>
      <c r="H474" s="124">
        <v>8</v>
      </c>
      <c r="I474" s="162">
        <v>92</v>
      </c>
      <c r="J474" s="138" t="s">
        <v>222</v>
      </c>
      <c r="K474" s="20">
        <v>28.56</v>
      </c>
      <c r="L474" s="460">
        <f t="shared" si="180"/>
        <v>9.3119999999999994</v>
      </c>
      <c r="M474" s="235">
        <f t="shared" si="181"/>
        <v>10.476000000000001</v>
      </c>
      <c r="N474" s="282">
        <f t="shared" si="182"/>
        <v>484.32732316227464</v>
      </c>
      <c r="O474" s="65">
        <f t="shared" si="183"/>
        <v>0.43051317614424411</v>
      </c>
      <c r="P474" s="65"/>
      <c r="Q474" s="65">
        <v>20</v>
      </c>
      <c r="R474" s="65"/>
      <c r="S474" s="65"/>
      <c r="T474" s="65">
        <v>232</v>
      </c>
      <c r="U474" s="65"/>
      <c r="V474" s="65">
        <v>20</v>
      </c>
      <c r="W474" s="154"/>
      <c r="X474" s="110">
        <v>1164</v>
      </c>
      <c r="Y474" s="216"/>
      <c r="Z474" s="141" t="str">
        <f t="shared" si="184"/>
        <v/>
      </c>
      <c r="AA474" s="371">
        <f t="shared" si="185"/>
        <v>523.79999999999995</v>
      </c>
      <c r="AB474" s="54">
        <f t="shared" si="186"/>
        <v>0.46559999999999996</v>
      </c>
      <c r="AC474" s="99">
        <f t="shared" si="187"/>
        <v>11.6</v>
      </c>
      <c r="AD474" s="191">
        <f t="shared" si="188"/>
        <v>0.36864000000000002</v>
      </c>
      <c r="AE474" s="197">
        <v>2.27</v>
      </c>
      <c r="AF474" s="198">
        <f t="shared" si="189"/>
        <v>51.045962199312712</v>
      </c>
      <c r="AG474" s="236"/>
    </row>
    <row r="475" spans="1:33" x14ac:dyDescent="0.2">
      <c r="A475" s="182" t="s">
        <v>189</v>
      </c>
      <c r="B475" s="17"/>
      <c r="C475" s="227"/>
      <c r="D475" s="213"/>
      <c r="E475" s="118" t="s">
        <v>537</v>
      </c>
      <c r="F475" s="18" t="s">
        <v>605</v>
      </c>
      <c r="G475" s="19">
        <v>51.125</v>
      </c>
      <c r="H475" s="124">
        <v>21</v>
      </c>
      <c r="I475" s="162">
        <v>311</v>
      </c>
      <c r="J475" s="138"/>
      <c r="K475" s="20"/>
      <c r="L475" s="460">
        <f t="shared" si="180"/>
        <v>11.776</v>
      </c>
      <c r="M475" s="235">
        <f t="shared" si="181"/>
        <v>13.247999999999999</v>
      </c>
      <c r="N475" s="282">
        <f t="shared" si="182"/>
        <v>259.12958435207821</v>
      </c>
      <c r="O475" s="65">
        <f t="shared" si="183"/>
        <v>0.23033740831295843</v>
      </c>
      <c r="P475" s="65"/>
      <c r="Q475" s="65">
        <v>20</v>
      </c>
      <c r="R475" s="65">
        <v>8</v>
      </c>
      <c r="S475" s="65"/>
      <c r="T475" s="65">
        <v>372</v>
      </c>
      <c r="U475" s="65"/>
      <c r="V475" s="65">
        <v>20</v>
      </c>
      <c r="W475" s="154">
        <v>8.6507520000000007</v>
      </c>
      <c r="X475" s="110">
        <v>1472</v>
      </c>
      <c r="Y475" s="216">
        <v>6</v>
      </c>
      <c r="Z475" s="141">
        <f t="shared" si="184"/>
        <v>1962.6666666666667</v>
      </c>
      <c r="AA475" s="371">
        <f t="shared" si="185"/>
        <v>662.4</v>
      </c>
      <c r="AB475" s="54">
        <f t="shared" si="186"/>
        <v>0.58879999999999999</v>
      </c>
      <c r="AC475" s="99">
        <f t="shared" si="187"/>
        <v>18.600000000000001</v>
      </c>
      <c r="AD475" s="191">
        <f t="shared" si="188"/>
        <v>0.36864000000000002</v>
      </c>
      <c r="AE475" s="197">
        <v>2.7320000000000002</v>
      </c>
      <c r="AF475" s="198">
        <f t="shared" si="189"/>
        <v>50.173233695652172</v>
      </c>
      <c r="AG475" s="236" t="s">
        <v>583</v>
      </c>
    </row>
    <row r="476" spans="1:33" x14ac:dyDescent="0.2">
      <c r="A476" s="182" t="s">
        <v>189</v>
      </c>
      <c r="B476" s="17"/>
      <c r="C476" s="227"/>
      <c r="D476" s="213"/>
      <c r="E476" s="118" t="s">
        <v>221</v>
      </c>
      <c r="F476" s="18" t="s">
        <v>222</v>
      </c>
      <c r="G476" s="19">
        <v>38.774999999999999</v>
      </c>
      <c r="H476" s="124">
        <v>17</v>
      </c>
      <c r="I476" s="162">
        <v>173</v>
      </c>
      <c r="J476" s="138" t="s">
        <v>359</v>
      </c>
      <c r="K476" s="20">
        <v>108.295</v>
      </c>
      <c r="L476" s="460">
        <f t="shared" si="180"/>
        <v>15.36</v>
      </c>
      <c r="M476" s="235">
        <f t="shared" si="181"/>
        <v>17.28</v>
      </c>
      <c r="N476" s="282">
        <f t="shared" si="182"/>
        <v>445.64796905222437</v>
      </c>
      <c r="O476" s="65">
        <f t="shared" si="183"/>
        <v>0.39613152804642165</v>
      </c>
      <c r="P476" s="65"/>
      <c r="Q476" s="65">
        <v>24</v>
      </c>
      <c r="R476" s="65">
        <v>4</v>
      </c>
      <c r="S476" s="65"/>
      <c r="T476" s="65">
        <v>391</v>
      </c>
      <c r="U476" s="65"/>
      <c r="V476" s="65">
        <v>24</v>
      </c>
      <c r="W476" s="154"/>
      <c r="X476" s="110">
        <v>1920</v>
      </c>
      <c r="Y476" s="216">
        <v>12</v>
      </c>
      <c r="Z476" s="141">
        <f t="shared" si="184"/>
        <v>1280</v>
      </c>
      <c r="AA476" s="371">
        <f t="shared" si="185"/>
        <v>720</v>
      </c>
      <c r="AB476" s="54">
        <f t="shared" si="186"/>
        <v>0.64</v>
      </c>
      <c r="AC476" s="99">
        <f t="shared" si="187"/>
        <v>16.291666666666668</v>
      </c>
      <c r="AD476" s="191">
        <f t="shared" si="188"/>
        <v>0.44236799999999998</v>
      </c>
      <c r="AE476" s="197">
        <v>3.2229999999999999</v>
      </c>
      <c r="AF476" s="198">
        <f t="shared" si="189"/>
        <v>45.257682291666669</v>
      </c>
      <c r="AG476" s="236"/>
    </row>
    <row r="477" spans="1:33" x14ac:dyDescent="0.2">
      <c r="A477" s="182" t="s">
        <v>189</v>
      </c>
      <c r="B477" s="17"/>
      <c r="C477" s="227"/>
      <c r="D477" s="213"/>
      <c r="E477" s="118" t="s">
        <v>223</v>
      </c>
      <c r="F477" s="18" t="s">
        <v>454</v>
      </c>
      <c r="G477" s="19">
        <v>52.38</v>
      </c>
      <c r="H477" s="124">
        <v>17</v>
      </c>
      <c r="I477" s="162">
        <v>190</v>
      </c>
      <c r="J477" s="138"/>
      <c r="K477" s="20"/>
      <c r="L477" s="460">
        <f t="shared" si="180"/>
        <v>17.344000000000001</v>
      </c>
      <c r="M477" s="235">
        <f t="shared" si="181"/>
        <v>19.512</v>
      </c>
      <c r="N477" s="282">
        <f t="shared" si="182"/>
        <v>372.50859106529208</v>
      </c>
      <c r="O477" s="65">
        <f t="shared" si="183"/>
        <v>0.331118747613593</v>
      </c>
      <c r="P477" s="65"/>
      <c r="Q477" s="65">
        <v>28</v>
      </c>
      <c r="R477" s="65"/>
      <c r="S477" s="65"/>
      <c r="T477" s="65">
        <v>304</v>
      </c>
      <c r="U477" s="65"/>
      <c r="V477" s="65">
        <v>28</v>
      </c>
      <c r="W477" s="154"/>
      <c r="X477" s="110">
        <v>2168</v>
      </c>
      <c r="Y477" s="216">
        <v>9</v>
      </c>
      <c r="Z477" s="141">
        <f t="shared" si="184"/>
        <v>1927.1111111111111</v>
      </c>
      <c r="AA477" s="371">
        <f t="shared" si="185"/>
        <v>696.85714285714289</v>
      </c>
      <c r="AB477" s="54">
        <f t="shared" si="186"/>
        <v>0.61942857142857144</v>
      </c>
      <c r="AC477" s="99">
        <f t="shared" si="187"/>
        <v>10.857142857142858</v>
      </c>
      <c r="AD477" s="191">
        <f t="shared" si="188"/>
        <v>0.516096</v>
      </c>
      <c r="AE477" s="197">
        <v>3.8410000000000002</v>
      </c>
      <c r="AF477" s="198">
        <f t="shared" si="189"/>
        <v>47.925853321033209</v>
      </c>
      <c r="AG477" s="236"/>
    </row>
    <row r="478" spans="1:33" x14ac:dyDescent="0.2">
      <c r="A478" s="182" t="s">
        <v>189</v>
      </c>
      <c r="B478" s="17"/>
      <c r="C478" s="227"/>
      <c r="D478" s="213"/>
      <c r="E478" s="118" t="s">
        <v>538</v>
      </c>
      <c r="F478" s="18" t="s">
        <v>604</v>
      </c>
      <c r="G478" s="19">
        <v>70.8125</v>
      </c>
      <c r="H478" s="124">
        <v>23</v>
      </c>
      <c r="I478" s="162">
        <v>375</v>
      </c>
      <c r="J478" s="138"/>
      <c r="K478" s="20"/>
      <c r="L478" s="460">
        <f t="shared" si="180"/>
        <v>22.527999999999999</v>
      </c>
      <c r="M478" s="235">
        <f t="shared" si="181"/>
        <v>25.344000000000001</v>
      </c>
      <c r="N478" s="282">
        <f t="shared" si="182"/>
        <v>357.90291262135923</v>
      </c>
      <c r="O478" s="65">
        <f t="shared" si="183"/>
        <v>0.31813592233009708</v>
      </c>
      <c r="P478" s="65"/>
      <c r="Q478" s="65">
        <v>32</v>
      </c>
      <c r="R478" s="65">
        <v>8</v>
      </c>
      <c r="S478" s="65"/>
      <c r="T478" s="65">
        <v>502</v>
      </c>
      <c r="U478" s="65"/>
      <c r="V478" s="65">
        <v>32</v>
      </c>
      <c r="W478" s="154">
        <v>1.7301504000000001</v>
      </c>
      <c r="X478" s="110">
        <v>2816</v>
      </c>
      <c r="Y478" s="216">
        <v>9</v>
      </c>
      <c r="Z478" s="141">
        <f t="shared" si="184"/>
        <v>2503.1111111111113</v>
      </c>
      <c r="AA478" s="371">
        <f t="shared" si="185"/>
        <v>792</v>
      </c>
      <c r="AB478" s="54">
        <f t="shared" si="186"/>
        <v>0.70399999999999996</v>
      </c>
      <c r="AC478" s="99">
        <f t="shared" si="187"/>
        <v>15.6875</v>
      </c>
      <c r="AD478" s="191">
        <f t="shared" si="188"/>
        <v>0.58982400000000001</v>
      </c>
      <c r="AE478" s="197">
        <v>4.7549999999999999</v>
      </c>
      <c r="AF478" s="198">
        <f t="shared" si="189"/>
        <v>46.222212357954547</v>
      </c>
      <c r="AG478" s="236" t="s">
        <v>793</v>
      </c>
    </row>
    <row r="479" spans="1:33" x14ac:dyDescent="0.2">
      <c r="A479" s="182" t="s">
        <v>189</v>
      </c>
      <c r="B479" s="17"/>
      <c r="C479" s="227"/>
      <c r="D479" s="213"/>
      <c r="E479" s="118" t="s">
        <v>224</v>
      </c>
      <c r="F479" s="18" t="s">
        <v>225</v>
      </c>
      <c r="G479" s="19">
        <v>61.545000000000002</v>
      </c>
      <c r="H479" s="124">
        <v>19</v>
      </c>
      <c r="I479" s="162">
        <v>221</v>
      </c>
      <c r="J479" s="139" t="s">
        <v>226</v>
      </c>
      <c r="K479" s="28">
        <v>152.9</v>
      </c>
      <c r="L479" s="460">
        <f t="shared" si="180"/>
        <v>26.623999999999999</v>
      </c>
      <c r="M479" s="235">
        <f t="shared" si="181"/>
        <v>29.952000000000002</v>
      </c>
      <c r="N479" s="282">
        <f t="shared" si="182"/>
        <v>486.66829149402872</v>
      </c>
      <c r="O479" s="65">
        <f t="shared" si="183"/>
        <v>0.43259403688358111</v>
      </c>
      <c r="P479" s="65"/>
      <c r="Q479" s="65">
        <v>32</v>
      </c>
      <c r="R479" s="65">
        <v>4</v>
      </c>
      <c r="S479" s="65"/>
      <c r="T479" s="65">
        <v>487</v>
      </c>
      <c r="U479" s="65"/>
      <c r="V479" s="65">
        <v>32</v>
      </c>
      <c r="W479" s="154"/>
      <c r="X479" s="110">
        <v>3328</v>
      </c>
      <c r="Y479" s="216">
        <v>18</v>
      </c>
      <c r="Z479" s="141">
        <f t="shared" si="184"/>
        <v>1479.1111111111111</v>
      </c>
      <c r="AA479" s="371">
        <f t="shared" si="185"/>
        <v>936</v>
      </c>
      <c r="AB479" s="57">
        <f t="shared" si="186"/>
        <v>0.83199999999999996</v>
      </c>
      <c r="AC479" s="101">
        <f t="shared" si="187"/>
        <v>15.21875</v>
      </c>
      <c r="AD479" s="191">
        <f t="shared" si="188"/>
        <v>0.58982400000000001</v>
      </c>
      <c r="AE479" s="197">
        <v>5.2140000000000004</v>
      </c>
      <c r="AF479" s="198">
        <f t="shared" si="189"/>
        <v>43.42112379807692</v>
      </c>
      <c r="AG479" s="236" t="s">
        <v>792</v>
      </c>
    </row>
    <row r="480" spans="1:33" x14ac:dyDescent="0.2">
      <c r="A480" s="182" t="s">
        <v>189</v>
      </c>
      <c r="B480" s="17"/>
      <c r="C480" s="227"/>
      <c r="D480" s="213"/>
      <c r="E480" s="118" t="s">
        <v>227</v>
      </c>
      <c r="F480" s="18" t="s">
        <v>225</v>
      </c>
      <c r="G480" s="19">
        <v>63.5</v>
      </c>
      <c r="H480" s="124">
        <v>19</v>
      </c>
      <c r="I480" s="162">
        <v>250</v>
      </c>
      <c r="J480" s="137"/>
      <c r="K480" s="32"/>
      <c r="L480" s="460">
        <f t="shared" si="180"/>
        <v>29.504000000000001</v>
      </c>
      <c r="M480" s="235">
        <f t="shared" si="181"/>
        <v>33.192</v>
      </c>
      <c r="N480" s="282">
        <f t="shared" si="182"/>
        <v>522.70866141732279</v>
      </c>
      <c r="O480" s="65">
        <f t="shared" si="183"/>
        <v>0.46462992125984254</v>
      </c>
      <c r="P480" s="65"/>
      <c r="Q480" s="65">
        <v>36</v>
      </c>
      <c r="R480" s="65"/>
      <c r="S480" s="65"/>
      <c r="T480" s="65">
        <v>376</v>
      </c>
      <c r="U480" s="65"/>
      <c r="V480" s="65">
        <v>36</v>
      </c>
      <c r="W480" s="154"/>
      <c r="X480" s="110">
        <v>3688</v>
      </c>
      <c r="Y480" s="216"/>
      <c r="Z480" s="141" t="str">
        <f t="shared" si="184"/>
        <v/>
      </c>
      <c r="AA480" s="371">
        <f t="shared" si="185"/>
        <v>922</v>
      </c>
      <c r="AB480" s="56">
        <f t="shared" si="186"/>
        <v>0.81955555555555559</v>
      </c>
      <c r="AC480" s="102">
        <f t="shared" si="187"/>
        <v>10.444444444444445</v>
      </c>
      <c r="AD480" s="191">
        <f t="shared" si="188"/>
        <v>0.66355200000000003</v>
      </c>
      <c r="AE480" s="197">
        <v>5.97</v>
      </c>
      <c r="AF480" s="198">
        <f t="shared" si="189"/>
        <v>44.963801518438181</v>
      </c>
      <c r="AG480" s="236"/>
    </row>
    <row r="481" spans="1:33" x14ac:dyDescent="0.2">
      <c r="A481" s="182" t="s">
        <v>189</v>
      </c>
      <c r="B481" s="17"/>
      <c r="C481" s="227"/>
      <c r="D481" s="213"/>
      <c r="E481" s="118" t="s">
        <v>503</v>
      </c>
      <c r="F481" s="18" t="s">
        <v>603</v>
      </c>
      <c r="G481" s="19">
        <v>113.9375</v>
      </c>
      <c r="H481" s="124">
        <v>19</v>
      </c>
      <c r="I481" s="162">
        <v>309</v>
      </c>
      <c r="J481" s="137"/>
      <c r="K481" s="32"/>
      <c r="L481" s="460">
        <f t="shared" si="180"/>
        <v>33.28</v>
      </c>
      <c r="M481" s="235">
        <f t="shared" si="181"/>
        <v>37.44</v>
      </c>
      <c r="N481" s="282">
        <f t="shared" si="182"/>
        <v>328.60120680197474</v>
      </c>
      <c r="O481" s="71">
        <f t="shared" si="183"/>
        <v>0.29208996160175538</v>
      </c>
      <c r="P481" s="71"/>
      <c r="Q481" s="71">
        <v>84</v>
      </c>
      <c r="R481" s="71">
        <v>8</v>
      </c>
      <c r="S481" s="71"/>
      <c r="T481" s="71">
        <v>519</v>
      </c>
      <c r="U481" s="71"/>
      <c r="V481" s="71">
        <v>84</v>
      </c>
      <c r="W481" s="154"/>
      <c r="X481" s="114">
        <v>4160</v>
      </c>
      <c r="Y481" s="216">
        <v>29.85</v>
      </c>
      <c r="Z481" s="141">
        <f t="shared" si="184"/>
        <v>1114.9078726968173</v>
      </c>
      <c r="AA481" s="371">
        <f t="shared" si="185"/>
        <v>445.71428571428572</v>
      </c>
      <c r="AB481" s="56">
        <f t="shared" si="186"/>
        <v>0.3961904761904762</v>
      </c>
      <c r="AC481" s="102">
        <f t="shared" si="187"/>
        <v>6.1785714285714288</v>
      </c>
      <c r="AD481" s="191">
        <f t="shared" si="188"/>
        <v>1.5482880000000001</v>
      </c>
      <c r="AE481" s="197">
        <v>8.1999999999999993</v>
      </c>
      <c r="AF481" s="198">
        <f t="shared" si="189"/>
        <v>49.967788461538454</v>
      </c>
      <c r="AG481" s="236" t="s">
        <v>794</v>
      </c>
    </row>
    <row r="482" spans="1:33" x14ac:dyDescent="0.2">
      <c r="A482" s="182" t="s">
        <v>189</v>
      </c>
      <c r="B482" s="17"/>
      <c r="C482" s="227"/>
      <c r="D482" s="213"/>
      <c r="E482" s="17" t="s">
        <v>228</v>
      </c>
      <c r="F482" s="18" t="s">
        <v>219</v>
      </c>
      <c r="G482" s="19">
        <v>91.63</v>
      </c>
      <c r="H482" s="124">
        <v>23</v>
      </c>
      <c r="I482" s="162">
        <v>333</v>
      </c>
      <c r="J482" s="138" t="s">
        <v>360</v>
      </c>
      <c r="K482" s="20">
        <v>244.2</v>
      </c>
      <c r="L482" s="460">
        <f t="shared" si="180"/>
        <v>40.96</v>
      </c>
      <c r="M482" s="235">
        <f t="shared" si="181"/>
        <v>46.08</v>
      </c>
      <c r="N482" s="282">
        <f t="shared" si="182"/>
        <v>502.892065917276</v>
      </c>
      <c r="O482" s="65">
        <f t="shared" si="183"/>
        <v>0.44701516970424537</v>
      </c>
      <c r="P482" s="65"/>
      <c r="Q482" s="65">
        <v>40</v>
      </c>
      <c r="R482" s="65">
        <v>4</v>
      </c>
      <c r="S482" s="65"/>
      <c r="T482" s="65">
        <v>565</v>
      </c>
      <c r="U482" s="65"/>
      <c r="V482" s="65">
        <v>40</v>
      </c>
      <c r="W482" s="154"/>
      <c r="X482" s="110">
        <v>5120</v>
      </c>
      <c r="Y482" s="216">
        <v>24</v>
      </c>
      <c r="Z482" s="141">
        <f t="shared" si="184"/>
        <v>1706.6666666666667</v>
      </c>
      <c r="AA482" s="371">
        <f t="shared" si="185"/>
        <v>1152</v>
      </c>
      <c r="AB482" s="54">
        <f t="shared" si="186"/>
        <v>1.024</v>
      </c>
      <c r="AC482" s="99">
        <f t="shared" si="187"/>
        <v>14.125</v>
      </c>
      <c r="AD482" s="191">
        <f t="shared" si="188"/>
        <v>0.73728000000000005</v>
      </c>
      <c r="AE482" s="197">
        <v>7.673</v>
      </c>
      <c r="AF482" s="198">
        <f t="shared" si="189"/>
        <v>42.332275390625</v>
      </c>
      <c r="AG482" s="236"/>
    </row>
    <row r="483" spans="1:33" x14ac:dyDescent="0.2">
      <c r="A483" s="182" t="s">
        <v>189</v>
      </c>
      <c r="B483" s="17"/>
      <c r="C483" s="227"/>
      <c r="D483" s="213"/>
      <c r="E483" s="17" t="s">
        <v>504</v>
      </c>
      <c r="F483" s="18" t="s">
        <v>561</v>
      </c>
      <c r="G483" s="19">
        <v>156.25</v>
      </c>
      <c r="H483" s="124">
        <v>19</v>
      </c>
      <c r="I483" s="162">
        <v>309</v>
      </c>
      <c r="J483" s="138"/>
      <c r="K483" s="20"/>
      <c r="L483" s="460">
        <f t="shared" si="180"/>
        <v>47.744</v>
      </c>
      <c r="M483" s="235">
        <f t="shared" si="181"/>
        <v>53.712000000000003</v>
      </c>
      <c r="N483" s="282">
        <f t="shared" si="182"/>
        <v>343.7568</v>
      </c>
      <c r="O483" s="65">
        <f t="shared" si="183"/>
        <v>0.30556159999999999</v>
      </c>
      <c r="P483" s="65"/>
      <c r="Q483" s="65">
        <v>126</v>
      </c>
      <c r="R483" s="65">
        <v>8</v>
      </c>
      <c r="S483" s="65"/>
      <c r="T483" s="65">
        <v>469</v>
      </c>
      <c r="U483" s="65"/>
      <c r="V483" s="65">
        <v>126</v>
      </c>
      <c r="W483" s="154"/>
      <c r="X483" s="110">
        <v>5968</v>
      </c>
      <c r="Y483" s="216">
        <v>44.95</v>
      </c>
      <c r="Z483" s="141">
        <f t="shared" si="184"/>
        <v>1062.1579532814237</v>
      </c>
      <c r="AA483" s="371">
        <f t="shared" si="185"/>
        <v>426.28571428571428</v>
      </c>
      <c r="AB483" s="56">
        <f t="shared" si="186"/>
        <v>0.37892063492063494</v>
      </c>
      <c r="AC483" s="102">
        <f t="shared" si="187"/>
        <v>3.7222222222222223</v>
      </c>
      <c r="AD483" s="191">
        <f t="shared" si="188"/>
        <v>2.3224320000000001</v>
      </c>
      <c r="AE483" s="197">
        <v>11.7</v>
      </c>
      <c r="AF483" s="198">
        <f t="shared" si="189"/>
        <v>49.10338471849866</v>
      </c>
      <c r="AG483" s="236"/>
    </row>
    <row r="484" spans="1:33" x14ac:dyDescent="0.2">
      <c r="A484" s="182" t="s">
        <v>189</v>
      </c>
      <c r="B484" s="17"/>
      <c r="C484" s="227"/>
      <c r="D484" s="213"/>
      <c r="E484" s="17" t="s">
        <v>230</v>
      </c>
      <c r="F484" s="18" t="s">
        <v>229</v>
      </c>
      <c r="G484" s="19">
        <v>143</v>
      </c>
      <c r="H484" s="124">
        <v>27</v>
      </c>
      <c r="I484" s="162">
        <v>489</v>
      </c>
      <c r="J484" s="138" t="s">
        <v>361</v>
      </c>
      <c r="K484" s="20">
        <v>394.9</v>
      </c>
      <c r="L484" s="460">
        <f t="shared" si="180"/>
        <v>55.295999999999999</v>
      </c>
      <c r="M484" s="235">
        <f t="shared" si="181"/>
        <v>62.207999999999998</v>
      </c>
      <c r="N484" s="282">
        <f t="shared" si="182"/>
        <v>435.02097902097904</v>
      </c>
      <c r="O484" s="65">
        <f t="shared" si="183"/>
        <v>0.3866853146853147</v>
      </c>
      <c r="P484" s="65"/>
      <c r="Q484" s="65">
        <v>96</v>
      </c>
      <c r="R484" s="65">
        <v>4</v>
      </c>
      <c r="S484" s="65"/>
      <c r="T484" s="65">
        <v>712</v>
      </c>
      <c r="U484" s="65"/>
      <c r="V484" s="65">
        <v>96</v>
      </c>
      <c r="W484" s="154"/>
      <c r="X484" s="110">
        <v>6912</v>
      </c>
      <c r="Y484" s="216">
        <v>48</v>
      </c>
      <c r="Z484" s="141">
        <f t="shared" si="184"/>
        <v>1152</v>
      </c>
      <c r="AA484" s="371">
        <f t="shared" si="185"/>
        <v>648</v>
      </c>
      <c r="AB484" s="54">
        <f t="shared" si="186"/>
        <v>0.57599999999999996</v>
      </c>
      <c r="AC484" s="99">
        <f t="shared" si="187"/>
        <v>7.416666666666667</v>
      </c>
      <c r="AD484" s="191">
        <f t="shared" si="188"/>
        <v>1.7694719999999999</v>
      </c>
      <c r="AE484" s="197">
        <v>11.317</v>
      </c>
      <c r="AF484" s="198">
        <f t="shared" si="189"/>
        <v>43.16554542824074</v>
      </c>
      <c r="AG484" s="236"/>
    </row>
    <row r="485" spans="1:33" ht="13.5" thickBot="1" x14ac:dyDescent="0.25">
      <c r="A485" s="182" t="s">
        <v>189</v>
      </c>
      <c r="B485" s="21"/>
      <c r="C485" s="228"/>
      <c r="D485" s="214"/>
      <c r="E485" s="21" t="s">
        <v>232</v>
      </c>
      <c r="F485" s="22" t="s">
        <v>231</v>
      </c>
      <c r="G485" s="23">
        <v>133.19999999999999</v>
      </c>
      <c r="H485" s="125">
        <v>31</v>
      </c>
      <c r="I485" s="163">
        <v>633</v>
      </c>
      <c r="J485" s="150" t="s">
        <v>361</v>
      </c>
      <c r="K485" s="24">
        <v>448.8</v>
      </c>
      <c r="L485" s="460">
        <f t="shared" si="180"/>
        <v>66.56</v>
      </c>
      <c r="M485" s="235">
        <f t="shared" si="181"/>
        <v>74.88</v>
      </c>
      <c r="N485" s="282">
        <f t="shared" si="182"/>
        <v>562.16216216216219</v>
      </c>
      <c r="O485" s="68">
        <f t="shared" si="183"/>
        <v>0.49969969969969974</v>
      </c>
      <c r="P485" s="68"/>
      <c r="Q485" s="68">
        <v>104</v>
      </c>
      <c r="R485" s="68">
        <v>4</v>
      </c>
      <c r="S485" s="68"/>
      <c r="T485" s="68">
        <v>784</v>
      </c>
      <c r="U485" s="68"/>
      <c r="V485" s="68">
        <v>104</v>
      </c>
      <c r="W485" s="155"/>
      <c r="X485" s="111">
        <v>8320</v>
      </c>
      <c r="Y485" s="217">
        <v>60</v>
      </c>
      <c r="Z485" s="141">
        <f t="shared" si="184"/>
        <v>1109.3333333333333</v>
      </c>
      <c r="AA485" s="371">
        <f t="shared" si="185"/>
        <v>720</v>
      </c>
      <c r="AB485" s="55">
        <f t="shared" si="186"/>
        <v>0.64</v>
      </c>
      <c r="AC485" s="100">
        <f t="shared" si="187"/>
        <v>7.5384615384615383</v>
      </c>
      <c r="AD485" s="191">
        <f t="shared" si="188"/>
        <v>1.916928</v>
      </c>
      <c r="AE485" s="199">
        <v>13.272</v>
      </c>
      <c r="AF485" s="200">
        <f t="shared" si="189"/>
        <v>42.649759615384617</v>
      </c>
      <c r="AG485" s="236"/>
    </row>
    <row r="486" spans="1:33" ht="13.5" thickBot="1" x14ac:dyDescent="0.25">
      <c r="A486" s="182"/>
      <c r="B486" s="48" t="s">
        <v>715</v>
      </c>
      <c r="C486" s="226"/>
      <c r="D486" s="212"/>
      <c r="E486" s="12" t="s">
        <v>233</v>
      </c>
      <c r="F486" s="466" t="s">
        <v>1016</v>
      </c>
      <c r="G486" s="14" t="s">
        <v>234</v>
      </c>
      <c r="H486" s="40" t="s">
        <v>512</v>
      </c>
      <c r="I486" s="161"/>
      <c r="J486" s="174"/>
      <c r="K486" s="175" t="s">
        <v>22</v>
      </c>
      <c r="L486" s="248" t="s">
        <v>23</v>
      </c>
      <c r="M486" s="383" t="s">
        <v>696</v>
      </c>
      <c r="N486" s="380">
        <f>AVERAGE(N487:N497)</f>
        <v>44.572991227421113</v>
      </c>
      <c r="O486" s="382">
        <f>AVERAGE(O487:O497)</f>
        <v>39.620436646596545</v>
      </c>
      <c r="P486" s="61"/>
      <c r="Q486" s="61" t="s">
        <v>92</v>
      </c>
      <c r="R486" s="61"/>
      <c r="S486" s="61"/>
      <c r="T486" s="61"/>
      <c r="U486" s="61" t="s">
        <v>187</v>
      </c>
      <c r="V486" s="62" t="s">
        <v>206</v>
      </c>
      <c r="W486" s="61"/>
      <c r="X486" s="109" t="s">
        <v>207</v>
      </c>
      <c r="Y486" s="215"/>
      <c r="Z486" s="164"/>
      <c r="AA486" s="370">
        <f>AVERAGE(AA487:AA497)</f>
        <v>331.63636363636363</v>
      </c>
      <c r="AB486" s="92">
        <f>AVERAGE(AB487:AB497)</f>
        <v>294.78787878787881</v>
      </c>
      <c r="AC486" s="98">
        <f>AVERAGE(AC487:AC491)</f>
        <v>12.876666666666669</v>
      </c>
      <c r="AD486" s="109" t="s">
        <v>650</v>
      </c>
      <c r="AE486" s="1167"/>
      <c r="AF486" s="1168">
        <f>AVERAGE(AF487:AF497)</f>
        <v>80.128224166931545</v>
      </c>
      <c r="AG486" s="237" t="s">
        <v>235</v>
      </c>
    </row>
    <row r="487" spans="1:33" ht="13.5" thickBot="1" x14ac:dyDescent="0.25">
      <c r="A487" s="182" t="s">
        <v>189</v>
      </c>
      <c r="B487" s="17"/>
      <c r="C487" s="227"/>
      <c r="D487" s="213"/>
      <c r="E487" s="118" t="s">
        <v>236</v>
      </c>
      <c r="F487" s="18" t="s">
        <v>237</v>
      </c>
      <c r="G487" s="19">
        <v>26.73</v>
      </c>
      <c r="H487" s="124"/>
      <c r="I487" s="162"/>
      <c r="J487" s="174" t="s">
        <v>238</v>
      </c>
      <c r="K487" s="176">
        <v>59.62</v>
      </c>
      <c r="L487" s="249">
        <f t="shared" ref="L487:L497" si="190">8*X487</f>
        <v>512</v>
      </c>
      <c r="M487" s="65">
        <f t="shared" ref="M487:M497" si="191">9*X487</f>
        <v>576</v>
      </c>
      <c r="N487" s="65">
        <f t="shared" ref="N487:N497" si="192">IF(AND(G487&lt;&gt;"",M487&lt;&gt;""),M487/G487,"")</f>
        <v>21.54882154882155</v>
      </c>
      <c r="O487" s="65">
        <f t="shared" ref="O487:O497" si="193">IF(AND(G487&lt;&gt;"",L487&lt;&gt;""),L487/G487,"")</f>
        <v>19.15450804339693</v>
      </c>
      <c r="P487" s="65"/>
      <c r="Q487" s="65">
        <v>4</v>
      </c>
      <c r="R487" s="65">
        <v>4</v>
      </c>
      <c r="S487" s="65"/>
      <c r="T487" s="65">
        <v>88</v>
      </c>
      <c r="U487" s="65"/>
      <c r="V487" s="65">
        <v>4</v>
      </c>
      <c r="W487" s="65"/>
      <c r="X487" s="110">
        <v>64</v>
      </c>
      <c r="Y487" s="216">
        <v>10</v>
      </c>
      <c r="Z487" s="141">
        <f t="shared" ref="Z487:Z497" si="194">IF(AND(L487&lt;&gt;"",Y487&lt;&gt;""),L487/Y487,"")</f>
        <v>51.2</v>
      </c>
      <c r="AA487" s="378">
        <f t="shared" ref="AA487:AA497" si="195">M487/Q487</f>
        <v>144</v>
      </c>
      <c r="AB487" s="54">
        <f t="shared" ref="AB487:AB497" si="196">L487/V487</f>
        <v>128</v>
      </c>
      <c r="AC487" s="99">
        <f t="shared" ref="AC487:AC497" si="197">T487/V487</f>
        <v>22</v>
      </c>
      <c r="AD487" s="191">
        <f t="shared" ref="AD487:AD497" si="198">512*36*V487/1000000</f>
        <v>7.3728000000000002E-2</v>
      </c>
      <c r="AE487" s="1169">
        <v>0.33820800000000001</v>
      </c>
      <c r="AF487" s="198">
        <f>(AE487*1000000-V487*36*512)/(4*L487)</f>
        <v>129.140625</v>
      </c>
      <c r="AG487" s="236"/>
    </row>
    <row r="488" spans="1:33" ht="13.5" thickBot="1" x14ac:dyDescent="0.25">
      <c r="A488" s="182" t="s">
        <v>189</v>
      </c>
      <c r="B488" s="17"/>
      <c r="C488" s="227"/>
      <c r="D488" s="213"/>
      <c r="E488" s="118" t="s">
        <v>239</v>
      </c>
      <c r="F488" s="18" t="s">
        <v>240</v>
      </c>
      <c r="G488" s="19">
        <v>28.324999999999999</v>
      </c>
      <c r="H488" s="124"/>
      <c r="I488" s="162"/>
      <c r="J488" s="174" t="s">
        <v>238</v>
      </c>
      <c r="K488" s="176">
        <v>75.844999999999999</v>
      </c>
      <c r="L488" s="249">
        <f t="shared" si="190"/>
        <v>1024</v>
      </c>
      <c r="M488" s="65">
        <f t="shared" si="191"/>
        <v>1152</v>
      </c>
      <c r="N488" s="65">
        <f t="shared" si="192"/>
        <v>40.670785525154457</v>
      </c>
      <c r="O488" s="65">
        <f t="shared" si="193"/>
        <v>36.151809355692855</v>
      </c>
      <c r="P488" s="65"/>
      <c r="Q488" s="65">
        <v>8</v>
      </c>
      <c r="R488" s="65">
        <v>4</v>
      </c>
      <c r="S488" s="65"/>
      <c r="T488" s="65">
        <v>120</v>
      </c>
      <c r="U488" s="65"/>
      <c r="V488" s="65">
        <v>8</v>
      </c>
      <c r="W488" s="65"/>
      <c r="X488" s="110">
        <v>128</v>
      </c>
      <c r="Y488" s="216"/>
      <c r="Z488" s="141" t="str">
        <f t="shared" si="194"/>
        <v/>
      </c>
      <c r="AA488" s="378">
        <f t="shared" si="195"/>
        <v>144</v>
      </c>
      <c r="AB488" s="54">
        <f t="shared" si="196"/>
        <v>128</v>
      </c>
      <c r="AC488" s="99">
        <f t="shared" si="197"/>
        <v>15</v>
      </c>
      <c r="AD488" s="191">
        <f t="shared" si="198"/>
        <v>0.147456</v>
      </c>
      <c r="AE488" s="1169">
        <v>0.59740800000000005</v>
      </c>
      <c r="AF488" s="198">
        <f t="shared" ref="AF488:AF497" si="199">(AE488*1000000-V488*36*512)/(4*L488)</f>
        <v>109.8515625</v>
      </c>
      <c r="AG488" s="236"/>
    </row>
    <row r="489" spans="1:33" ht="13.5" thickBot="1" x14ac:dyDescent="0.25">
      <c r="A489" s="182" t="s">
        <v>189</v>
      </c>
      <c r="B489" s="17"/>
      <c r="C489" s="227"/>
      <c r="D489" s="213"/>
      <c r="E489" s="118" t="s">
        <v>241</v>
      </c>
      <c r="F489" s="18" t="s">
        <v>237</v>
      </c>
      <c r="G489" s="19">
        <v>69.685000000000002</v>
      </c>
      <c r="H489" s="124"/>
      <c r="I489" s="162"/>
      <c r="J489" s="174" t="s">
        <v>204</v>
      </c>
      <c r="K489" s="176">
        <v>168.3</v>
      </c>
      <c r="L489" s="249">
        <f t="shared" si="190"/>
        <v>3072</v>
      </c>
      <c r="M489" s="65">
        <f t="shared" si="191"/>
        <v>3456</v>
      </c>
      <c r="N489" s="65">
        <f t="shared" si="192"/>
        <v>49.594604290736889</v>
      </c>
      <c r="O489" s="65">
        <f t="shared" si="193"/>
        <v>44.084092702877228</v>
      </c>
      <c r="P489" s="65"/>
      <c r="Q489" s="65">
        <v>24</v>
      </c>
      <c r="R489" s="65">
        <v>8</v>
      </c>
      <c r="S489" s="65"/>
      <c r="T489" s="65">
        <v>200</v>
      </c>
      <c r="U489" s="65"/>
      <c r="V489" s="65">
        <v>24</v>
      </c>
      <c r="W489" s="65"/>
      <c r="X489" s="110">
        <v>384</v>
      </c>
      <c r="Y489" s="216"/>
      <c r="Z489" s="141" t="str">
        <f t="shared" si="194"/>
        <v/>
      </c>
      <c r="AA489" s="378">
        <f t="shared" si="195"/>
        <v>144</v>
      </c>
      <c r="AB489" s="54">
        <f t="shared" si="196"/>
        <v>128</v>
      </c>
      <c r="AC489" s="99">
        <f t="shared" si="197"/>
        <v>8.3333333333333339</v>
      </c>
      <c r="AD489" s="191">
        <f t="shared" si="198"/>
        <v>0.44236799999999998</v>
      </c>
      <c r="AE489" s="1169">
        <v>1.5915840000000001</v>
      </c>
      <c r="AF489" s="198">
        <f t="shared" si="199"/>
        <v>93.5234375</v>
      </c>
      <c r="AG489" s="236"/>
    </row>
    <row r="490" spans="1:33" ht="13.5" thickBot="1" x14ac:dyDescent="0.25">
      <c r="A490" s="182" t="s">
        <v>189</v>
      </c>
      <c r="B490" s="17"/>
      <c r="C490" s="227"/>
      <c r="D490" s="213"/>
      <c r="E490" s="118" t="s">
        <v>242</v>
      </c>
      <c r="F490" s="18" t="s">
        <v>237</v>
      </c>
      <c r="G490" s="19">
        <v>117.7</v>
      </c>
      <c r="H490" s="124"/>
      <c r="I490" s="162"/>
      <c r="J490" s="174" t="s">
        <v>204</v>
      </c>
      <c r="K490" s="176">
        <v>288.2</v>
      </c>
      <c r="L490" s="249">
        <f t="shared" si="190"/>
        <v>6144</v>
      </c>
      <c r="M490" s="65">
        <f t="shared" si="191"/>
        <v>6912</v>
      </c>
      <c r="N490" s="65">
        <f t="shared" si="192"/>
        <v>58.725573491928628</v>
      </c>
      <c r="O490" s="65">
        <f t="shared" si="193"/>
        <v>52.200509770603226</v>
      </c>
      <c r="P490" s="65"/>
      <c r="Q490" s="65">
        <v>32</v>
      </c>
      <c r="R490" s="65">
        <v>8</v>
      </c>
      <c r="S490" s="65"/>
      <c r="T490" s="65">
        <v>264</v>
      </c>
      <c r="U490" s="65"/>
      <c r="V490" s="65">
        <v>32</v>
      </c>
      <c r="W490" s="65"/>
      <c r="X490" s="110">
        <v>768</v>
      </c>
      <c r="Y490" s="216"/>
      <c r="Z490" s="141" t="str">
        <f t="shared" si="194"/>
        <v/>
      </c>
      <c r="AA490" s="378">
        <f t="shared" si="195"/>
        <v>216</v>
      </c>
      <c r="AB490" s="54">
        <f t="shared" si="196"/>
        <v>192</v>
      </c>
      <c r="AC490" s="99">
        <f t="shared" si="197"/>
        <v>8.25</v>
      </c>
      <c r="AD490" s="191">
        <f t="shared" si="198"/>
        <v>0.58982400000000001</v>
      </c>
      <c r="AE490" s="1169">
        <v>2.5578560000000001</v>
      </c>
      <c r="AF490" s="198">
        <f t="shared" si="199"/>
        <v>80.079427083333329</v>
      </c>
      <c r="AG490" s="236"/>
    </row>
    <row r="491" spans="1:33" ht="13.5" thickBot="1" x14ac:dyDescent="0.25">
      <c r="A491" s="182" t="s">
        <v>189</v>
      </c>
      <c r="B491" s="17"/>
      <c r="C491" s="227"/>
      <c r="D491" s="213"/>
      <c r="E491" s="17" t="s">
        <v>243</v>
      </c>
      <c r="F491" s="18" t="s">
        <v>219</v>
      </c>
      <c r="G491" s="19">
        <v>188.1</v>
      </c>
      <c r="H491" s="124"/>
      <c r="I491" s="162"/>
      <c r="J491" s="174" t="s">
        <v>244</v>
      </c>
      <c r="K491" s="176">
        <v>496.1</v>
      </c>
      <c r="L491" s="249">
        <f t="shared" si="190"/>
        <v>10240</v>
      </c>
      <c r="M491" s="65">
        <f t="shared" si="191"/>
        <v>11520</v>
      </c>
      <c r="N491" s="65">
        <f t="shared" si="192"/>
        <v>61.244019138755981</v>
      </c>
      <c r="O491" s="65">
        <f t="shared" si="193"/>
        <v>54.439128123338648</v>
      </c>
      <c r="P491" s="65"/>
      <c r="Q491" s="65">
        <v>40</v>
      </c>
      <c r="R491" s="65">
        <v>8</v>
      </c>
      <c r="S491" s="65"/>
      <c r="T491" s="65">
        <v>432</v>
      </c>
      <c r="U491" s="65"/>
      <c r="V491" s="65">
        <v>40</v>
      </c>
      <c r="W491" s="65"/>
      <c r="X491" s="110">
        <v>1280</v>
      </c>
      <c r="Y491" s="216">
        <v>75</v>
      </c>
      <c r="Z491" s="141">
        <f t="shared" si="194"/>
        <v>136.53333333333333</v>
      </c>
      <c r="AA491" s="378">
        <f t="shared" si="195"/>
        <v>288</v>
      </c>
      <c r="AB491" s="54">
        <f t="shared" si="196"/>
        <v>256</v>
      </c>
      <c r="AC491" s="99">
        <f t="shared" si="197"/>
        <v>10.8</v>
      </c>
      <c r="AD491" s="191">
        <f t="shared" si="198"/>
        <v>0.73728000000000005</v>
      </c>
      <c r="AE491" s="1169">
        <v>3.7494079999999999</v>
      </c>
      <c r="AF491" s="198">
        <f t="shared" si="199"/>
        <v>73.538281249999997</v>
      </c>
      <c r="AG491" s="236"/>
    </row>
    <row r="492" spans="1:33" ht="13.5" thickBot="1" x14ac:dyDescent="0.25">
      <c r="A492" s="182" t="s">
        <v>189</v>
      </c>
      <c r="B492" s="17"/>
      <c r="C492" s="227"/>
      <c r="D492" s="213"/>
      <c r="E492" s="17" t="s">
        <v>245</v>
      </c>
      <c r="F492" s="18" t="s">
        <v>229</v>
      </c>
      <c r="G492" s="19">
        <v>265</v>
      </c>
      <c r="H492" s="124"/>
      <c r="I492" s="162"/>
      <c r="J492" s="174" t="s">
        <v>244</v>
      </c>
      <c r="K492" s="176">
        <v>708.4</v>
      </c>
      <c r="L492" s="249">
        <f t="shared" si="190"/>
        <v>15360</v>
      </c>
      <c r="M492" s="65">
        <f t="shared" si="191"/>
        <v>17280</v>
      </c>
      <c r="N492" s="65">
        <f t="shared" si="192"/>
        <v>65.20754716981132</v>
      </c>
      <c r="O492" s="65">
        <f t="shared" si="193"/>
        <v>57.962264150943398</v>
      </c>
      <c r="P492" s="65"/>
      <c r="Q492" s="65">
        <v>48</v>
      </c>
      <c r="R492" s="65">
        <v>8</v>
      </c>
      <c r="S492" s="65"/>
      <c r="T492" s="65">
        <v>528</v>
      </c>
      <c r="U492" s="65"/>
      <c r="V492" s="65">
        <v>48</v>
      </c>
      <c r="W492" s="65"/>
      <c r="X492" s="110">
        <v>1920</v>
      </c>
      <c r="Y492" s="216"/>
      <c r="Z492" s="141" t="str">
        <f t="shared" si="194"/>
        <v/>
      </c>
      <c r="AA492" s="378">
        <f t="shared" si="195"/>
        <v>360</v>
      </c>
      <c r="AB492" s="54">
        <f t="shared" si="196"/>
        <v>320</v>
      </c>
      <c r="AC492" s="99">
        <f t="shared" si="197"/>
        <v>11</v>
      </c>
      <c r="AD492" s="191">
        <f t="shared" si="198"/>
        <v>0.88473599999999997</v>
      </c>
      <c r="AE492" s="1169">
        <v>5.1662400000000002</v>
      </c>
      <c r="AF492" s="198">
        <f t="shared" si="199"/>
        <v>69.685937499999994</v>
      </c>
      <c r="AG492" s="236"/>
    </row>
    <row r="493" spans="1:33" ht="13.5" thickBot="1" x14ac:dyDescent="0.25">
      <c r="A493" s="182" t="s">
        <v>189</v>
      </c>
      <c r="B493" s="17"/>
      <c r="C493" s="227"/>
      <c r="D493" s="213"/>
      <c r="E493" s="17" t="s">
        <v>246</v>
      </c>
      <c r="F493" s="18" t="s">
        <v>229</v>
      </c>
      <c r="G493" s="19">
        <v>376.9</v>
      </c>
      <c r="H493" s="124"/>
      <c r="I493" s="162"/>
      <c r="J493" s="174" t="s">
        <v>247</v>
      </c>
      <c r="K493" s="176">
        <v>1125.3</v>
      </c>
      <c r="L493" s="249">
        <f t="shared" si="190"/>
        <v>21504</v>
      </c>
      <c r="M493" s="65">
        <f t="shared" si="191"/>
        <v>24192</v>
      </c>
      <c r="N493" s="65">
        <f t="shared" si="192"/>
        <v>64.186786946139563</v>
      </c>
      <c r="O493" s="65">
        <f t="shared" si="193"/>
        <v>57.054921729901835</v>
      </c>
      <c r="P493" s="65"/>
      <c r="Q493" s="65">
        <v>56</v>
      </c>
      <c r="R493" s="65">
        <v>8</v>
      </c>
      <c r="S493" s="65"/>
      <c r="T493" s="65">
        <v>624</v>
      </c>
      <c r="U493" s="65"/>
      <c r="V493" s="65">
        <v>56</v>
      </c>
      <c r="W493" s="65"/>
      <c r="X493" s="110">
        <v>2688</v>
      </c>
      <c r="Y493" s="216"/>
      <c r="Z493" s="141" t="str">
        <f t="shared" si="194"/>
        <v/>
      </c>
      <c r="AA493" s="378">
        <f t="shared" si="195"/>
        <v>432</v>
      </c>
      <c r="AB493" s="54">
        <f t="shared" si="196"/>
        <v>384</v>
      </c>
      <c r="AC493" s="99">
        <f t="shared" si="197"/>
        <v>11.142857142857142</v>
      </c>
      <c r="AD493" s="191">
        <f t="shared" si="198"/>
        <v>1.032192</v>
      </c>
      <c r="AE493" s="1169">
        <v>6.8083520000000002</v>
      </c>
      <c r="AF493" s="198">
        <f t="shared" si="199"/>
        <v>67.152157738095241</v>
      </c>
      <c r="AG493" s="236"/>
    </row>
    <row r="494" spans="1:33" ht="13.5" thickBot="1" x14ac:dyDescent="0.25">
      <c r="A494" s="182" t="s">
        <v>189</v>
      </c>
      <c r="B494" s="17"/>
      <c r="C494" s="227"/>
      <c r="D494" s="213"/>
      <c r="E494" s="17" t="s">
        <v>248</v>
      </c>
      <c r="F494" s="18" t="s">
        <v>229</v>
      </c>
      <c r="G494" s="19">
        <v>578.6</v>
      </c>
      <c r="H494" s="124"/>
      <c r="I494" s="162"/>
      <c r="J494" s="174" t="s">
        <v>249</v>
      </c>
      <c r="K494" s="176">
        <v>1730.3</v>
      </c>
      <c r="L494" s="249">
        <f t="shared" si="190"/>
        <v>28672</v>
      </c>
      <c r="M494" s="65">
        <f t="shared" si="191"/>
        <v>32256</v>
      </c>
      <c r="N494" s="65">
        <f t="shared" si="192"/>
        <v>55.748358105772553</v>
      </c>
      <c r="O494" s="65">
        <f t="shared" si="193"/>
        <v>49.554096094020046</v>
      </c>
      <c r="P494" s="65"/>
      <c r="Q494" s="65">
        <v>96</v>
      </c>
      <c r="R494" s="65">
        <v>12</v>
      </c>
      <c r="S494" s="65"/>
      <c r="T494" s="65">
        <v>720</v>
      </c>
      <c r="U494" s="65"/>
      <c r="V494" s="65">
        <v>96</v>
      </c>
      <c r="W494" s="65"/>
      <c r="X494" s="110">
        <v>3584</v>
      </c>
      <c r="Y494" s="216"/>
      <c r="Z494" s="141" t="str">
        <f t="shared" si="194"/>
        <v/>
      </c>
      <c r="AA494" s="378">
        <f t="shared" si="195"/>
        <v>336</v>
      </c>
      <c r="AB494" s="54">
        <f t="shared" si="196"/>
        <v>298.66666666666669</v>
      </c>
      <c r="AC494" s="99">
        <f t="shared" si="197"/>
        <v>7.5</v>
      </c>
      <c r="AD494" s="191">
        <f t="shared" si="198"/>
        <v>1.7694719999999999</v>
      </c>
      <c r="AE494" s="1169">
        <v>9.5828480000000003</v>
      </c>
      <c r="AF494" s="198">
        <f t="shared" si="199"/>
        <v>68.127232142857139</v>
      </c>
      <c r="AG494" s="1166"/>
    </row>
    <row r="495" spans="1:33" ht="13.5" thickBot="1" x14ac:dyDescent="0.25">
      <c r="A495" s="182" t="s">
        <v>189</v>
      </c>
      <c r="B495" s="17"/>
      <c r="C495" s="227"/>
      <c r="D495" s="213"/>
      <c r="E495" s="17" t="s">
        <v>250</v>
      </c>
      <c r="F495" s="18" t="s">
        <v>251</v>
      </c>
      <c r="G495" s="19">
        <v>1552.1</v>
      </c>
      <c r="H495" s="124"/>
      <c r="I495" s="162"/>
      <c r="J495" s="174" t="s">
        <v>252</v>
      </c>
      <c r="K495" s="176">
        <v>3400.1</v>
      </c>
      <c r="L495" s="249">
        <f t="shared" si="190"/>
        <v>46080</v>
      </c>
      <c r="M495" s="65">
        <f t="shared" si="191"/>
        <v>51840</v>
      </c>
      <c r="N495" s="65">
        <f t="shared" si="192"/>
        <v>33.399909799626315</v>
      </c>
      <c r="O495" s="65">
        <f t="shared" si="193"/>
        <v>29.688808710778947</v>
      </c>
      <c r="P495" s="65"/>
      <c r="Q495" s="65">
        <v>120</v>
      </c>
      <c r="R495" s="65">
        <v>12</v>
      </c>
      <c r="S495" s="65"/>
      <c r="T495" s="65">
        <v>912</v>
      </c>
      <c r="U495" s="65"/>
      <c r="V495" s="65">
        <v>120</v>
      </c>
      <c r="W495" s="65"/>
      <c r="X495" s="110">
        <v>5760</v>
      </c>
      <c r="Y495" s="216"/>
      <c r="Z495" s="141" t="str">
        <f t="shared" si="194"/>
        <v/>
      </c>
      <c r="AA495" s="378">
        <f t="shared" si="195"/>
        <v>432</v>
      </c>
      <c r="AB495" s="54">
        <f t="shared" si="196"/>
        <v>384</v>
      </c>
      <c r="AC495" s="99">
        <f t="shared" si="197"/>
        <v>7.6</v>
      </c>
      <c r="AD495" s="191">
        <f t="shared" si="198"/>
        <v>2.21184</v>
      </c>
      <c r="AE495" s="1169">
        <v>14.220192000000001</v>
      </c>
      <c r="AF495" s="198">
        <f t="shared" si="199"/>
        <v>65.149479166666666</v>
      </c>
      <c r="AG495" s="1166"/>
    </row>
    <row r="496" spans="1:33" x14ac:dyDescent="0.2">
      <c r="A496" s="182" t="s">
        <v>189</v>
      </c>
      <c r="B496" s="25"/>
      <c r="C496" s="239"/>
      <c r="D496" s="240"/>
      <c r="E496" s="25" t="s">
        <v>253</v>
      </c>
      <c r="F496" s="26" t="s">
        <v>254</v>
      </c>
      <c r="G496" s="27">
        <v>2935.9</v>
      </c>
      <c r="H496" s="127"/>
      <c r="I496" s="177"/>
      <c r="J496" s="277" t="s">
        <v>255</v>
      </c>
      <c r="K496" s="1172">
        <v>6432.8</v>
      </c>
      <c r="L496" s="251">
        <f t="shared" si="190"/>
        <v>67584</v>
      </c>
      <c r="M496" s="73">
        <f t="shared" si="191"/>
        <v>76032</v>
      </c>
      <c r="N496" s="73">
        <f t="shared" si="192"/>
        <v>25.897339827650804</v>
      </c>
      <c r="O496" s="73">
        <f t="shared" si="193"/>
        <v>23.019857624578492</v>
      </c>
      <c r="P496" s="73"/>
      <c r="Q496" s="73">
        <v>144</v>
      </c>
      <c r="R496" s="73">
        <v>12</v>
      </c>
      <c r="S496" s="73"/>
      <c r="T496" s="73">
        <v>1104</v>
      </c>
      <c r="U496" s="73"/>
      <c r="V496" s="73">
        <v>144</v>
      </c>
      <c r="W496" s="73"/>
      <c r="X496" s="112">
        <v>8448</v>
      </c>
      <c r="Y496" s="1257">
        <v>1200</v>
      </c>
      <c r="Z496" s="173">
        <f t="shared" si="194"/>
        <v>56.32</v>
      </c>
      <c r="AA496" s="477">
        <f t="shared" si="195"/>
        <v>528</v>
      </c>
      <c r="AB496" s="57">
        <f t="shared" si="196"/>
        <v>469.33333333333331</v>
      </c>
      <c r="AC496" s="101">
        <f t="shared" si="197"/>
        <v>7.666666666666667</v>
      </c>
      <c r="AD496" s="478">
        <f t="shared" si="198"/>
        <v>2.6542080000000001</v>
      </c>
      <c r="AE496" s="1173">
        <v>19.752096000000002</v>
      </c>
      <c r="AF496" s="220">
        <f t="shared" si="199"/>
        <v>63.246803977272727</v>
      </c>
      <c r="AG496" s="1166"/>
    </row>
    <row r="497" spans="1:33" x14ac:dyDescent="0.2">
      <c r="A497" s="187" t="s">
        <v>189</v>
      </c>
      <c r="B497" s="17"/>
      <c r="C497" s="227"/>
      <c r="D497" s="213"/>
      <c r="E497" s="41" t="s">
        <v>256</v>
      </c>
      <c r="F497" s="45" t="s">
        <v>257</v>
      </c>
      <c r="G497" s="43">
        <v>7445.9</v>
      </c>
      <c r="H497" s="128"/>
      <c r="I497" s="167"/>
      <c r="J497" s="138" t="s">
        <v>258</v>
      </c>
      <c r="K497" s="44">
        <v>10424.700000000001</v>
      </c>
      <c r="L497" s="249">
        <f t="shared" si="190"/>
        <v>93184</v>
      </c>
      <c r="M497" s="65">
        <f t="shared" si="191"/>
        <v>104832</v>
      </c>
      <c r="N497" s="65">
        <f t="shared" si="192"/>
        <v>14.079157657234184</v>
      </c>
      <c r="O497" s="65">
        <f t="shared" si="193"/>
        <v>12.514806806430386</v>
      </c>
      <c r="P497" s="65"/>
      <c r="Q497" s="65">
        <v>168</v>
      </c>
      <c r="R497" s="65">
        <v>12</v>
      </c>
      <c r="S497" s="65"/>
      <c r="T497" s="65">
        <v>1108</v>
      </c>
      <c r="U497" s="65"/>
      <c r="V497" s="75">
        <v>168</v>
      </c>
      <c r="W497" s="65"/>
      <c r="X497" s="115">
        <v>11648</v>
      </c>
      <c r="Y497" s="261"/>
      <c r="Z497" s="141" t="str">
        <f t="shared" si="194"/>
        <v/>
      </c>
      <c r="AA497" s="378">
        <f t="shared" si="195"/>
        <v>624</v>
      </c>
      <c r="AB497" s="93">
        <f t="shared" si="196"/>
        <v>554.66666666666663</v>
      </c>
      <c r="AC497" s="103">
        <f t="shared" si="197"/>
        <v>6.5952380952380949</v>
      </c>
      <c r="AD497" s="191">
        <f t="shared" si="198"/>
        <v>3.0965760000000002</v>
      </c>
      <c r="AE497" s="1169">
        <v>26.174720000000001</v>
      </c>
      <c r="AF497" s="198">
        <f t="shared" si="199"/>
        <v>61.915521978021978</v>
      </c>
      <c r="AG497" s="1166"/>
    </row>
    <row r="498" spans="1:33" ht="13.5" thickBot="1" x14ac:dyDescent="0.25">
      <c r="A498" s="186"/>
      <c r="B498" s="21"/>
      <c r="C498" s="228"/>
      <c r="D498" s="214"/>
      <c r="E498" s="33" t="s">
        <v>1624</v>
      </c>
      <c r="F498" s="133"/>
      <c r="G498" s="34"/>
      <c r="H498" s="130"/>
      <c r="I498" s="169"/>
      <c r="J498" s="150"/>
      <c r="K498" s="35"/>
      <c r="L498" s="249">
        <f>8*X498</f>
        <v>122880</v>
      </c>
      <c r="M498" s="65">
        <f>9*X498</f>
        <v>138240</v>
      </c>
      <c r="N498" s="65" t="str">
        <f>IF(AND(G498&lt;&gt;"",M498&lt;&gt;""),M498/G498,"")</f>
        <v/>
      </c>
      <c r="O498" s="65" t="str">
        <f>IF(AND(G498&lt;&gt;"",L498&lt;&gt;""),L498/G498,"")</f>
        <v/>
      </c>
      <c r="P498" s="65"/>
      <c r="Q498" s="65">
        <v>192</v>
      </c>
      <c r="R498" s="65">
        <v>12</v>
      </c>
      <c r="S498" s="65"/>
      <c r="T498" s="65">
        <v>1108</v>
      </c>
      <c r="U498" s="65"/>
      <c r="V498" s="75">
        <v>192</v>
      </c>
      <c r="W498" s="65"/>
      <c r="X498" s="115">
        <v>15360</v>
      </c>
      <c r="Y498" s="261"/>
      <c r="Z498" s="141" t="str">
        <f>IF(AND(L498&lt;&gt;"",Y498&lt;&gt;""),L498/Y498,"")</f>
        <v/>
      </c>
      <c r="AA498" s="378">
        <f>M498/Q498</f>
        <v>720</v>
      </c>
      <c r="AB498" s="93">
        <f>L498/V498</f>
        <v>640</v>
      </c>
      <c r="AC498" s="103">
        <f>T498/V498</f>
        <v>5.770833333333333</v>
      </c>
      <c r="AD498" s="191">
        <f>512*36*V498/1000000</f>
        <v>3.5389439999999999</v>
      </c>
      <c r="AE498" s="1169">
        <v>33.519264</v>
      </c>
      <c r="AF498" s="198">
        <f>(AE498*1000000-V498*36*512)/(4*L498)</f>
        <v>60.9951171875</v>
      </c>
      <c r="AG498" s="1166"/>
    </row>
    <row r="499" spans="1:33" x14ac:dyDescent="0.2">
      <c r="A499" s="181"/>
      <c r="B499" s="48" t="s">
        <v>715</v>
      </c>
      <c r="C499" s="226"/>
      <c r="D499" s="212"/>
      <c r="E499" s="12" t="s">
        <v>259</v>
      </c>
      <c r="F499" s="466" t="s">
        <v>1016</v>
      </c>
      <c r="G499" s="14" t="s">
        <v>185</v>
      </c>
      <c r="H499" s="40" t="s">
        <v>512</v>
      </c>
      <c r="I499" s="161"/>
      <c r="J499" s="136"/>
      <c r="K499" s="16" t="s">
        <v>22</v>
      </c>
      <c r="L499" s="244" t="s">
        <v>23</v>
      </c>
      <c r="M499" s="383" t="s">
        <v>696</v>
      </c>
      <c r="N499" s="380">
        <f>AVERAGE(N500:N510)</f>
        <v>46.111412365758362</v>
      </c>
      <c r="O499" s="382">
        <f>AVERAGE(O500:O510)</f>
        <v>40.98792210289632</v>
      </c>
      <c r="P499" s="61" t="s">
        <v>260</v>
      </c>
      <c r="Q499" s="61" t="s">
        <v>92</v>
      </c>
      <c r="R499" s="61"/>
      <c r="S499" s="61" t="s">
        <v>103</v>
      </c>
      <c r="T499" s="61"/>
      <c r="U499" s="61" t="s">
        <v>187</v>
      </c>
      <c r="V499" s="62" t="s">
        <v>206</v>
      </c>
      <c r="W499" s="61"/>
      <c r="X499" s="109" t="s">
        <v>207</v>
      </c>
      <c r="Y499" s="80"/>
      <c r="Z499" s="164"/>
      <c r="AA499" s="92">
        <f>AVERAGE(AA500:AA510)</f>
        <v>238.21570203029367</v>
      </c>
      <c r="AB499" s="92">
        <f>AVERAGE(AB500:AB510)</f>
        <v>211.74729069359435</v>
      </c>
      <c r="AC499" s="98">
        <f>AVERAGE(AC500:AC504)</f>
        <v>10.231168831168832</v>
      </c>
      <c r="AD499" s="109" t="s">
        <v>650</v>
      </c>
      <c r="AE499" s="1167"/>
      <c r="AF499" s="1171">
        <f>AVERAGE(AF500:AF510)</f>
        <v>83.564217359245006</v>
      </c>
      <c r="AG499" s="268" t="s">
        <v>261</v>
      </c>
    </row>
    <row r="500" spans="1:33" x14ac:dyDescent="0.2">
      <c r="A500" s="182" t="s">
        <v>189</v>
      </c>
      <c r="B500" s="17"/>
      <c r="C500" s="227"/>
      <c r="D500" s="213"/>
      <c r="E500" s="118" t="s">
        <v>262</v>
      </c>
      <c r="F500" s="18" t="s">
        <v>263</v>
      </c>
      <c r="G500" s="19">
        <v>61.545000000000002</v>
      </c>
      <c r="H500" s="124"/>
      <c r="I500" s="162"/>
      <c r="J500" s="138" t="s">
        <v>264</v>
      </c>
      <c r="K500" s="20">
        <v>174.9</v>
      </c>
      <c r="L500" s="245">
        <f t="shared" ref="L500:L510" si="200">8*X500</f>
        <v>2816</v>
      </c>
      <c r="M500" s="64">
        <f t="shared" ref="M500:M510" si="201">9*X500</f>
        <v>3168</v>
      </c>
      <c r="N500" s="65">
        <f t="shared" ref="N500:N510" si="202">IF(AND(G500&lt;&gt;"",M500&lt;&gt;""),M500/G500,"")</f>
        <v>51.474530831099194</v>
      </c>
      <c r="O500" s="65">
        <f t="shared" ref="O500:O510" si="203">IF(AND(G500&lt;&gt;"",L500&lt;&gt;""),L500/G500,"")</f>
        <v>45.755138516532618</v>
      </c>
      <c r="P500" s="65">
        <v>0</v>
      </c>
      <c r="Q500" s="65">
        <v>12</v>
      </c>
      <c r="R500" s="65">
        <v>4</v>
      </c>
      <c r="S500" s="65">
        <v>4</v>
      </c>
      <c r="T500" s="65">
        <v>204</v>
      </c>
      <c r="U500" s="65"/>
      <c r="V500" s="65">
        <v>12</v>
      </c>
      <c r="W500" s="65"/>
      <c r="X500" s="110">
        <v>352</v>
      </c>
      <c r="Y500" s="81"/>
      <c r="Z500" s="141"/>
      <c r="AA500" s="371">
        <f t="shared" ref="AA500:AA510" si="204">M500/Q500</f>
        <v>264</v>
      </c>
      <c r="AB500" s="54">
        <f t="shared" ref="AB500:AB510" si="205">L500/V500</f>
        <v>234.66666666666666</v>
      </c>
      <c r="AC500" s="99">
        <f t="shared" ref="AC500:AC510" si="206">T500/V500</f>
        <v>17</v>
      </c>
      <c r="AD500" s="191">
        <f t="shared" ref="AD500:AD510" si="207">512*36*V500/1000000</f>
        <v>0.22118399999999999</v>
      </c>
      <c r="AE500" s="1169">
        <v>1.301248</v>
      </c>
      <c r="AF500" s="198">
        <f t="shared" ref="AF500:AF510" si="208">(AE500*1000000-V500*36*512)/(4*L500)</f>
        <v>95.88636363636364</v>
      </c>
      <c r="AG500" s="1166"/>
    </row>
    <row r="501" spans="1:33" x14ac:dyDescent="0.2">
      <c r="A501" s="182" t="s">
        <v>189</v>
      </c>
      <c r="B501" s="17"/>
      <c r="C501" s="227"/>
      <c r="D501" s="213"/>
      <c r="E501" s="118" t="s">
        <v>265</v>
      </c>
      <c r="F501" s="18" t="s">
        <v>266</v>
      </c>
      <c r="G501" s="19">
        <v>113.3</v>
      </c>
      <c r="H501" s="124"/>
      <c r="I501" s="162"/>
      <c r="J501" s="138" t="s">
        <v>264</v>
      </c>
      <c r="K501" s="20">
        <v>229.9</v>
      </c>
      <c r="L501" s="245">
        <f t="shared" si="200"/>
        <v>6016</v>
      </c>
      <c r="M501" s="64">
        <f t="shared" si="201"/>
        <v>6768</v>
      </c>
      <c r="N501" s="65">
        <f t="shared" si="202"/>
        <v>59.735216240070613</v>
      </c>
      <c r="O501" s="65">
        <f t="shared" si="203"/>
        <v>53.097969991173876</v>
      </c>
      <c r="P501" s="65">
        <v>1</v>
      </c>
      <c r="Q501" s="65">
        <v>28</v>
      </c>
      <c r="R501" s="65">
        <v>4</v>
      </c>
      <c r="S501" s="65">
        <v>4</v>
      </c>
      <c r="T501" s="65">
        <v>348</v>
      </c>
      <c r="U501" s="65"/>
      <c r="V501" s="65">
        <v>28</v>
      </c>
      <c r="W501" s="65"/>
      <c r="X501" s="110">
        <v>752</v>
      </c>
      <c r="Y501" s="81"/>
      <c r="Z501" s="141"/>
      <c r="AA501" s="371">
        <f t="shared" si="204"/>
        <v>241.71428571428572</v>
      </c>
      <c r="AB501" s="54">
        <f t="shared" si="205"/>
        <v>214.85714285714286</v>
      </c>
      <c r="AC501" s="99">
        <f t="shared" si="206"/>
        <v>12.428571428571429</v>
      </c>
      <c r="AD501" s="191">
        <f t="shared" si="207"/>
        <v>0.516096</v>
      </c>
      <c r="AE501" s="1169">
        <v>2.9985279999999999</v>
      </c>
      <c r="AF501" s="198">
        <f t="shared" si="208"/>
        <v>103.15957446808511</v>
      </c>
      <c r="AG501" s="1166"/>
    </row>
    <row r="502" spans="1:33" x14ac:dyDescent="0.2">
      <c r="A502" s="182" t="s">
        <v>189</v>
      </c>
      <c r="B502" s="17"/>
      <c r="C502" s="227"/>
      <c r="D502" s="213"/>
      <c r="E502" s="118" t="s">
        <v>267</v>
      </c>
      <c r="F502" s="18" t="s">
        <v>268</v>
      </c>
      <c r="G502" s="19">
        <v>176</v>
      </c>
      <c r="H502" s="124"/>
      <c r="I502" s="162"/>
      <c r="J502" s="138" t="s">
        <v>269</v>
      </c>
      <c r="K502" s="20">
        <v>463.1</v>
      </c>
      <c r="L502" s="245">
        <f t="shared" si="200"/>
        <v>9856</v>
      </c>
      <c r="M502" s="64">
        <f t="shared" si="201"/>
        <v>11088</v>
      </c>
      <c r="N502" s="65">
        <f t="shared" si="202"/>
        <v>63</v>
      </c>
      <c r="O502" s="65">
        <f t="shared" si="203"/>
        <v>56</v>
      </c>
      <c r="P502" s="65">
        <v>1</v>
      </c>
      <c r="Q502" s="65">
        <v>44</v>
      </c>
      <c r="R502" s="65">
        <v>4</v>
      </c>
      <c r="S502" s="65">
        <v>8</v>
      </c>
      <c r="T502" s="65">
        <v>396</v>
      </c>
      <c r="U502" s="65"/>
      <c r="V502" s="65">
        <v>44</v>
      </c>
      <c r="W502" s="65"/>
      <c r="X502" s="110">
        <v>1232</v>
      </c>
      <c r="Y502" s="81"/>
      <c r="Z502" s="141"/>
      <c r="AA502" s="371">
        <f t="shared" si="204"/>
        <v>252</v>
      </c>
      <c r="AB502" s="54">
        <f t="shared" si="205"/>
        <v>224</v>
      </c>
      <c r="AC502" s="99">
        <f t="shared" si="206"/>
        <v>9</v>
      </c>
      <c r="AD502" s="191">
        <f t="shared" si="207"/>
        <v>0.81100799999999995</v>
      </c>
      <c r="AE502" s="1169">
        <v>4.4774399999999996</v>
      </c>
      <c r="AF502" s="198">
        <f t="shared" si="208"/>
        <v>93</v>
      </c>
      <c r="AG502" s="1166"/>
    </row>
    <row r="503" spans="1:33" x14ac:dyDescent="0.2">
      <c r="A503" s="182" t="s">
        <v>189</v>
      </c>
      <c r="B503" s="17"/>
      <c r="C503" s="227"/>
      <c r="D503" s="213"/>
      <c r="E503" s="118" t="s">
        <v>270</v>
      </c>
      <c r="F503" s="18" t="s">
        <v>271</v>
      </c>
      <c r="G503" s="19">
        <v>299.2</v>
      </c>
      <c r="H503" s="124"/>
      <c r="I503" s="162"/>
      <c r="J503" s="138" t="s">
        <v>272</v>
      </c>
      <c r="K503" s="20">
        <v>819.5</v>
      </c>
      <c r="L503" s="245">
        <f t="shared" si="200"/>
        <v>18560</v>
      </c>
      <c r="M503" s="64">
        <f t="shared" si="201"/>
        <v>20880</v>
      </c>
      <c r="N503" s="65">
        <f t="shared" si="202"/>
        <v>69.786096256684488</v>
      </c>
      <c r="O503" s="65">
        <f t="shared" si="203"/>
        <v>62.032085561497325</v>
      </c>
      <c r="P503" s="65">
        <v>2</v>
      </c>
      <c r="Q503" s="65">
        <v>88</v>
      </c>
      <c r="R503" s="65">
        <v>8</v>
      </c>
      <c r="S503" s="65">
        <v>8</v>
      </c>
      <c r="T503" s="65">
        <v>564</v>
      </c>
      <c r="U503" s="65"/>
      <c r="V503" s="65">
        <v>88</v>
      </c>
      <c r="W503" s="65"/>
      <c r="X503" s="110">
        <v>2320</v>
      </c>
      <c r="Y503" s="81"/>
      <c r="Z503" s="141"/>
      <c r="AA503" s="371">
        <f t="shared" si="204"/>
        <v>237.27272727272728</v>
      </c>
      <c r="AB503" s="54">
        <f t="shared" si="205"/>
        <v>210.90909090909091</v>
      </c>
      <c r="AC503" s="99">
        <f t="shared" si="206"/>
        <v>6.4090909090909092</v>
      </c>
      <c r="AD503" s="191">
        <f t="shared" si="207"/>
        <v>1.6220159999999999</v>
      </c>
      <c r="AE503" s="1169">
        <v>8.2146240000000006</v>
      </c>
      <c r="AF503" s="198">
        <f t="shared" si="208"/>
        <v>88.801293103448288</v>
      </c>
      <c r="AG503" s="236"/>
    </row>
    <row r="504" spans="1:33" x14ac:dyDescent="0.2">
      <c r="A504" s="182" t="s">
        <v>189</v>
      </c>
      <c r="B504" s="17"/>
      <c r="C504" s="227"/>
      <c r="D504" s="213"/>
      <c r="E504" s="17" t="s">
        <v>273</v>
      </c>
      <c r="F504" s="18" t="s">
        <v>274</v>
      </c>
      <c r="G504" s="19">
        <v>1083.5</v>
      </c>
      <c r="H504" s="124"/>
      <c r="I504" s="162"/>
      <c r="J504" s="138" t="s">
        <v>274</v>
      </c>
      <c r="K504" s="20">
        <v>1211.0999999999999</v>
      </c>
      <c r="L504" s="245">
        <f t="shared" si="200"/>
        <v>19584</v>
      </c>
      <c r="M504" s="64">
        <f t="shared" si="201"/>
        <v>22032</v>
      </c>
      <c r="N504" s="65">
        <f t="shared" si="202"/>
        <v>20.334102445777571</v>
      </c>
      <c r="O504" s="65">
        <f t="shared" si="203"/>
        <v>18.074757729580064</v>
      </c>
      <c r="P504" s="65">
        <v>1</v>
      </c>
      <c r="Q504" s="65">
        <v>88</v>
      </c>
      <c r="R504" s="65">
        <v>8</v>
      </c>
      <c r="S504" s="65">
        <v>8</v>
      </c>
      <c r="T504" s="65">
        <v>556</v>
      </c>
      <c r="U504" s="65"/>
      <c r="V504" s="65">
        <v>88</v>
      </c>
      <c r="W504" s="65"/>
      <c r="X504" s="110">
        <v>2448</v>
      </c>
      <c r="Y504" s="81"/>
      <c r="Z504" s="141"/>
      <c r="AA504" s="371">
        <f t="shared" si="204"/>
        <v>250.36363636363637</v>
      </c>
      <c r="AB504" s="54">
        <f t="shared" si="205"/>
        <v>222.54545454545453</v>
      </c>
      <c r="AC504" s="99">
        <f t="shared" si="206"/>
        <v>6.3181818181818183</v>
      </c>
      <c r="AD504" s="191">
        <f t="shared" si="207"/>
        <v>1.6220159999999999</v>
      </c>
      <c r="AE504" s="1169">
        <v>8.0500000000000007</v>
      </c>
      <c r="AF504" s="198">
        <f t="shared" si="208"/>
        <v>82.056576797385631</v>
      </c>
      <c r="AG504" s="237" t="s">
        <v>275</v>
      </c>
    </row>
    <row r="505" spans="1:33" x14ac:dyDescent="0.2">
      <c r="A505" s="182" t="s">
        <v>189</v>
      </c>
      <c r="B505" s="17"/>
      <c r="C505" s="227"/>
      <c r="D505" s="213"/>
      <c r="E505" s="118" t="s">
        <v>276</v>
      </c>
      <c r="F505" s="18" t="s">
        <v>226</v>
      </c>
      <c r="G505" s="19">
        <v>508.2</v>
      </c>
      <c r="H505" s="124"/>
      <c r="I505" s="162"/>
      <c r="J505" s="138" t="s">
        <v>274</v>
      </c>
      <c r="K505" s="20">
        <v>1334.3</v>
      </c>
      <c r="L505" s="245">
        <f t="shared" si="200"/>
        <v>27392</v>
      </c>
      <c r="M505" s="64">
        <f t="shared" si="201"/>
        <v>30816</v>
      </c>
      <c r="N505" s="65">
        <f t="shared" si="202"/>
        <v>60.637544273907913</v>
      </c>
      <c r="O505" s="65">
        <f t="shared" si="203"/>
        <v>53.900039354584813</v>
      </c>
      <c r="P505" s="65">
        <v>2</v>
      </c>
      <c r="Q505" s="65">
        <v>136</v>
      </c>
      <c r="R505" s="65">
        <v>8</v>
      </c>
      <c r="S505" s="65">
        <v>8</v>
      </c>
      <c r="T505" s="65">
        <v>644</v>
      </c>
      <c r="U505" s="65"/>
      <c r="V505" s="65">
        <v>136</v>
      </c>
      <c r="W505" s="65"/>
      <c r="X505" s="110">
        <v>3424</v>
      </c>
      <c r="Y505" s="81"/>
      <c r="Z505" s="141"/>
      <c r="AA505" s="371">
        <f t="shared" si="204"/>
        <v>226.58823529411765</v>
      </c>
      <c r="AB505" s="54">
        <f t="shared" si="205"/>
        <v>201.41176470588235</v>
      </c>
      <c r="AC505" s="99">
        <f t="shared" si="206"/>
        <v>4.7352941176470589</v>
      </c>
      <c r="AD505" s="191">
        <f t="shared" si="207"/>
        <v>2.5067520000000001</v>
      </c>
      <c r="AE505" s="1169">
        <v>11.3</v>
      </c>
      <c r="AF505" s="198">
        <f t="shared" si="208"/>
        <v>80.253796728971963</v>
      </c>
      <c r="AG505" s="236"/>
    </row>
    <row r="506" spans="1:33" x14ac:dyDescent="0.2">
      <c r="A506" s="182" t="s">
        <v>189</v>
      </c>
      <c r="B506" s="17"/>
      <c r="C506" s="227"/>
      <c r="D506" s="213"/>
      <c r="E506" s="17" t="s">
        <v>277</v>
      </c>
      <c r="F506" s="18" t="s">
        <v>226</v>
      </c>
      <c r="G506" s="19">
        <v>883.3</v>
      </c>
      <c r="H506" s="124"/>
      <c r="I506" s="162"/>
      <c r="J506" s="138" t="s">
        <v>272</v>
      </c>
      <c r="K506" s="20">
        <v>2076.8000000000002</v>
      </c>
      <c r="L506" s="245">
        <f t="shared" si="200"/>
        <v>38784</v>
      </c>
      <c r="M506" s="64">
        <f t="shared" si="201"/>
        <v>43632</v>
      </c>
      <c r="N506" s="65">
        <f t="shared" si="202"/>
        <v>49.396581003056724</v>
      </c>
      <c r="O506" s="65">
        <f t="shared" si="203"/>
        <v>43.908072002717084</v>
      </c>
      <c r="P506" s="65">
        <v>2</v>
      </c>
      <c r="Q506" s="65">
        <v>192</v>
      </c>
      <c r="R506" s="65">
        <v>8</v>
      </c>
      <c r="S506" s="65">
        <v>12</v>
      </c>
      <c r="T506" s="65">
        <v>804</v>
      </c>
      <c r="U506" s="65"/>
      <c r="V506" s="65">
        <v>192</v>
      </c>
      <c r="W506" s="65"/>
      <c r="X506" s="110">
        <v>4848</v>
      </c>
      <c r="Y506" s="81"/>
      <c r="Z506" s="141"/>
      <c r="AA506" s="371">
        <f t="shared" si="204"/>
        <v>227.25</v>
      </c>
      <c r="AB506" s="54">
        <f t="shared" si="205"/>
        <v>202</v>
      </c>
      <c r="AC506" s="99">
        <f t="shared" si="206"/>
        <v>4.1875</v>
      </c>
      <c r="AD506" s="191">
        <f t="shared" si="207"/>
        <v>3.5389439999999999</v>
      </c>
      <c r="AE506" s="1169">
        <v>15.5</v>
      </c>
      <c r="AF506" s="198">
        <f t="shared" si="208"/>
        <v>77.100453795379536</v>
      </c>
      <c r="AG506" s="236"/>
    </row>
    <row r="507" spans="1:33" x14ac:dyDescent="0.2">
      <c r="A507" s="182" t="s">
        <v>189</v>
      </c>
      <c r="B507" s="17"/>
      <c r="C507" s="227"/>
      <c r="D507" s="213"/>
      <c r="E507" s="17" t="s">
        <v>278</v>
      </c>
      <c r="F507" s="18" t="s">
        <v>258</v>
      </c>
      <c r="G507" s="19">
        <v>1477.3</v>
      </c>
      <c r="H507" s="124"/>
      <c r="I507" s="162"/>
      <c r="J507" s="138" t="s">
        <v>255</v>
      </c>
      <c r="K507" s="20">
        <v>2427.6999999999998</v>
      </c>
      <c r="L507" s="245">
        <f t="shared" si="200"/>
        <v>47232</v>
      </c>
      <c r="M507" s="64">
        <f t="shared" si="201"/>
        <v>53136</v>
      </c>
      <c r="N507" s="65">
        <f t="shared" si="202"/>
        <v>35.968320584850744</v>
      </c>
      <c r="O507" s="65">
        <f t="shared" si="203"/>
        <v>31.971840519867328</v>
      </c>
      <c r="P507" s="65">
        <v>2</v>
      </c>
      <c r="Q507" s="65">
        <v>232</v>
      </c>
      <c r="R507" s="65">
        <v>8</v>
      </c>
      <c r="S507" s="65">
        <v>16</v>
      </c>
      <c r="T507" s="65">
        <v>852</v>
      </c>
      <c r="U507" s="65"/>
      <c r="V507" s="65">
        <v>232</v>
      </c>
      <c r="W507" s="65"/>
      <c r="X507" s="110">
        <v>5904</v>
      </c>
      <c r="Y507" s="81"/>
      <c r="Z507" s="141"/>
      <c r="AA507" s="371">
        <f t="shared" si="204"/>
        <v>229.0344827586207</v>
      </c>
      <c r="AB507" s="54">
        <f t="shared" si="205"/>
        <v>203.58620689655172</v>
      </c>
      <c r="AC507" s="99">
        <f t="shared" si="206"/>
        <v>3.6724137931034484</v>
      </c>
      <c r="AD507" s="191">
        <f t="shared" si="207"/>
        <v>4.276224</v>
      </c>
      <c r="AE507" s="1169">
        <v>19.021408000000001</v>
      </c>
      <c r="AF507" s="198">
        <f t="shared" si="208"/>
        <v>78.046578590785913</v>
      </c>
      <c r="AG507" s="236"/>
    </row>
    <row r="508" spans="1:33" x14ac:dyDescent="0.2">
      <c r="A508" s="182" t="s">
        <v>189</v>
      </c>
      <c r="B508" s="17"/>
      <c r="C508" s="227"/>
      <c r="D508" s="213"/>
      <c r="E508" s="17" t="s">
        <v>279</v>
      </c>
      <c r="F508" s="18" t="s">
        <v>280</v>
      </c>
      <c r="G508" s="19">
        <v>2256.1</v>
      </c>
      <c r="H508" s="124"/>
      <c r="I508" s="162"/>
      <c r="J508" s="138" t="s">
        <v>281</v>
      </c>
      <c r="K508" s="20">
        <v>4943.3999999999996</v>
      </c>
      <c r="L508" s="245">
        <f t="shared" si="200"/>
        <v>66176</v>
      </c>
      <c r="M508" s="64">
        <f t="shared" si="201"/>
        <v>74448</v>
      </c>
      <c r="N508" s="65">
        <f t="shared" si="202"/>
        <v>32.998537298878595</v>
      </c>
      <c r="O508" s="65">
        <f t="shared" si="203"/>
        <v>29.332033154558754</v>
      </c>
      <c r="P508" s="65">
        <v>2</v>
      </c>
      <c r="Q508" s="65">
        <v>328</v>
      </c>
      <c r="R508" s="65">
        <v>8</v>
      </c>
      <c r="S508" s="65">
        <v>20</v>
      </c>
      <c r="T508" s="65">
        <v>996</v>
      </c>
      <c r="U508" s="65"/>
      <c r="V508" s="65">
        <v>328</v>
      </c>
      <c r="W508" s="65"/>
      <c r="X508" s="110">
        <v>8272</v>
      </c>
      <c r="Y508" s="81"/>
      <c r="Z508" s="141"/>
      <c r="AA508" s="371">
        <f t="shared" si="204"/>
        <v>226.97560975609755</v>
      </c>
      <c r="AB508" s="54">
        <f t="shared" si="205"/>
        <v>201.7560975609756</v>
      </c>
      <c r="AC508" s="99">
        <f t="shared" si="206"/>
        <v>3.0365853658536586</v>
      </c>
      <c r="AD508" s="191">
        <f t="shared" si="207"/>
        <v>6.0456960000000004</v>
      </c>
      <c r="AE508" s="1169">
        <v>25.6</v>
      </c>
      <c r="AF508" s="198">
        <f t="shared" si="208"/>
        <v>73.872340425531917</v>
      </c>
      <c r="AG508" s="236"/>
    </row>
    <row r="509" spans="1:33" x14ac:dyDescent="0.2">
      <c r="A509" s="182" t="s">
        <v>189</v>
      </c>
      <c r="B509" s="17"/>
      <c r="C509" s="227"/>
      <c r="D509" s="213"/>
      <c r="E509" s="17" t="s">
        <v>282</v>
      </c>
      <c r="F509" s="18" t="s">
        <v>283</v>
      </c>
      <c r="G509" s="19"/>
      <c r="H509" s="124"/>
      <c r="I509" s="162"/>
      <c r="J509" s="138"/>
      <c r="K509" s="20"/>
      <c r="L509" s="245">
        <f t="shared" si="200"/>
        <v>66176</v>
      </c>
      <c r="M509" s="64">
        <f t="shared" si="201"/>
        <v>74448</v>
      </c>
      <c r="N509" s="65" t="str">
        <f t="shared" si="202"/>
        <v/>
      </c>
      <c r="O509" s="65" t="str">
        <f t="shared" si="203"/>
        <v/>
      </c>
      <c r="P509" s="65">
        <v>2</v>
      </c>
      <c r="Q509" s="65">
        <v>308</v>
      </c>
      <c r="R509" s="65">
        <v>8</v>
      </c>
      <c r="S509" s="65">
        <v>20</v>
      </c>
      <c r="T509" s="65">
        <v>996</v>
      </c>
      <c r="U509" s="65"/>
      <c r="V509" s="65">
        <v>308</v>
      </c>
      <c r="W509" s="65"/>
      <c r="X509" s="110">
        <v>8272</v>
      </c>
      <c r="Y509" s="81"/>
      <c r="Z509" s="141"/>
      <c r="AA509" s="371">
        <f t="shared" si="204"/>
        <v>241.71428571428572</v>
      </c>
      <c r="AB509" s="54">
        <f t="shared" si="205"/>
        <v>214.85714285714286</v>
      </c>
      <c r="AC509" s="99">
        <f t="shared" si="206"/>
        <v>3.2337662337662336</v>
      </c>
      <c r="AD509" s="191">
        <f t="shared" si="207"/>
        <v>5.6770560000000003</v>
      </c>
      <c r="AE509" s="1169">
        <v>25.6</v>
      </c>
      <c r="AF509" s="198">
        <f t="shared" si="208"/>
        <v>75.264990328820119</v>
      </c>
      <c r="AG509" s="237" t="s">
        <v>275</v>
      </c>
    </row>
    <row r="510" spans="1:33" ht="13.5" thickBot="1" x14ac:dyDescent="0.25">
      <c r="A510" s="182" t="s">
        <v>189</v>
      </c>
      <c r="B510" s="21"/>
      <c r="C510" s="228"/>
      <c r="D510" s="214"/>
      <c r="E510" s="33" t="s">
        <v>284</v>
      </c>
      <c r="F510" s="133" t="s">
        <v>285</v>
      </c>
      <c r="G510" s="34">
        <v>5579.2</v>
      </c>
      <c r="H510" s="130"/>
      <c r="I510" s="169"/>
      <c r="J510" s="150" t="s">
        <v>283</v>
      </c>
      <c r="K510" s="35">
        <v>8730.7000000000007</v>
      </c>
      <c r="L510" s="246">
        <f t="shared" si="200"/>
        <v>88192</v>
      </c>
      <c r="M510" s="67">
        <f t="shared" si="201"/>
        <v>99216</v>
      </c>
      <c r="N510" s="65">
        <f t="shared" si="202"/>
        <v>17.783194723257814</v>
      </c>
      <c r="O510" s="68">
        <f t="shared" si="203"/>
        <v>15.807284198451391</v>
      </c>
      <c r="P510" s="68">
        <v>2</v>
      </c>
      <c r="Q510" s="68">
        <v>444</v>
      </c>
      <c r="R510" s="68">
        <v>12</v>
      </c>
      <c r="S510" s="68">
        <v>20</v>
      </c>
      <c r="T510" s="68">
        <v>1164</v>
      </c>
      <c r="U510" s="68"/>
      <c r="V510" s="76">
        <v>444</v>
      </c>
      <c r="W510" s="68"/>
      <c r="X510" s="116">
        <v>11024</v>
      </c>
      <c r="Y510" s="88"/>
      <c r="Z510" s="142"/>
      <c r="AA510" s="371">
        <f t="shared" si="204"/>
        <v>223.45945945945945</v>
      </c>
      <c r="AB510" s="94">
        <f t="shared" si="205"/>
        <v>198.63063063063063</v>
      </c>
      <c r="AC510" s="104">
        <f t="shared" si="206"/>
        <v>2.6216216216216215</v>
      </c>
      <c r="AD510" s="191">
        <f t="shared" si="207"/>
        <v>8.1838080000000009</v>
      </c>
      <c r="AE510" s="1170">
        <v>33.5</v>
      </c>
      <c r="AF510" s="200">
        <f t="shared" si="208"/>
        <v>71.76442307692308</v>
      </c>
      <c r="AG510" s="236"/>
    </row>
    <row r="511" spans="1:33" x14ac:dyDescent="0.2">
      <c r="A511" s="182"/>
      <c r="B511" s="48" t="s">
        <v>715</v>
      </c>
      <c r="C511" s="226"/>
      <c r="D511" s="212"/>
      <c r="E511" s="12" t="s">
        <v>286</v>
      </c>
      <c r="F511" s="466" t="s">
        <v>1015</v>
      </c>
      <c r="G511" s="14" t="s">
        <v>21</v>
      </c>
      <c r="H511" s="40" t="s">
        <v>530</v>
      </c>
      <c r="I511" s="161"/>
      <c r="J511" s="136"/>
      <c r="K511" s="16" t="s">
        <v>22</v>
      </c>
      <c r="L511" s="244" t="s">
        <v>23</v>
      </c>
      <c r="M511" s="383" t="s">
        <v>696</v>
      </c>
      <c r="N511" s="380">
        <f>AVERAGE(N512:N528)</f>
        <v>76.931460699739219</v>
      </c>
      <c r="O511" s="382">
        <f>AVERAGE(O512:O528)</f>
        <v>68.383520621990414</v>
      </c>
      <c r="P511" s="61" t="s">
        <v>260</v>
      </c>
      <c r="Q511" s="399" t="s">
        <v>1737</v>
      </c>
      <c r="R511" s="61"/>
      <c r="S511" s="61" t="s">
        <v>287</v>
      </c>
      <c r="T511" s="61"/>
      <c r="U511" s="61" t="s">
        <v>187</v>
      </c>
      <c r="V511" s="62" t="s">
        <v>206</v>
      </c>
      <c r="W511" s="61"/>
      <c r="X511" s="109" t="s">
        <v>207</v>
      </c>
      <c r="Y511" s="80" t="s">
        <v>288</v>
      </c>
      <c r="Z511" s="164"/>
      <c r="AA511" s="372">
        <f>AVERAGE(AA512:AA528)</f>
        <v>728.38455882352946</v>
      </c>
      <c r="AB511" s="92">
        <f>AVERAGE(AB512:AB528)</f>
        <v>294.74567133649373</v>
      </c>
      <c r="AC511" s="1452">
        <f>AVERAGE(AC512:AC528)</f>
        <v>3.9572792735460229</v>
      </c>
      <c r="AD511" s="109" t="s">
        <v>650</v>
      </c>
      <c r="AE511" s="193"/>
      <c r="AF511" s="196">
        <f>AVERAGE(AF512:AF528)</f>
        <v>76.404129075920494</v>
      </c>
      <c r="AG511" t="s">
        <v>289</v>
      </c>
    </row>
    <row r="512" spans="1:33" x14ac:dyDescent="0.2">
      <c r="A512" s="182" t="s">
        <v>189</v>
      </c>
      <c r="B512" s="17" t="s">
        <v>702</v>
      </c>
      <c r="C512" s="227"/>
      <c r="D512" s="213"/>
      <c r="E512" s="118" t="s">
        <v>290</v>
      </c>
      <c r="F512" s="18" t="s">
        <v>291</v>
      </c>
      <c r="G512" s="19">
        <v>105.38</v>
      </c>
      <c r="H512" s="124">
        <v>17</v>
      </c>
      <c r="I512" s="162">
        <v>240</v>
      </c>
      <c r="J512" s="138" t="s">
        <v>292</v>
      </c>
      <c r="K512" s="20">
        <v>249.7</v>
      </c>
      <c r="L512" s="245">
        <v>12288</v>
      </c>
      <c r="M512" s="64">
        <v>13824</v>
      </c>
      <c r="N512" s="65">
        <f t="shared" ref="N512:N528" si="209">IF(AND(G512&lt;&gt;"",M512&lt;&gt;""),M512/G512,"")</f>
        <v>131.18238754981971</v>
      </c>
      <c r="O512" s="65">
        <f t="shared" ref="O512:O528" si="210">IF(AND(G512&lt;&gt;"",L512&lt;&gt;""),L512/G512,"")</f>
        <v>116.60656671095084</v>
      </c>
      <c r="P512" s="65"/>
      <c r="Q512" s="65">
        <v>32</v>
      </c>
      <c r="R512" s="65">
        <v>4</v>
      </c>
      <c r="S512" s="65"/>
      <c r="T512" s="65">
        <v>320</v>
      </c>
      <c r="U512" s="65"/>
      <c r="V512" s="65">
        <v>48</v>
      </c>
      <c r="W512" s="65"/>
      <c r="X512" s="110">
        <v>1536</v>
      </c>
      <c r="Y512" s="81"/>
      <c r="Z512" s="141"/>
      <c r="AA512" s="371">
        <f t="shared" ref="AA512:AA528" si="211">M512/Q512</f>
        <v>432</v>
      </c>
      <c r="AB512" s="54">
        <v>256</v>
      </c>
      <c r="AC512" s="281">
        <v>6.666666666666667</v>
      </c>
      <c r="AD512" s="191">
        <f t="shared" ref="AD512:AD528" si="212">512*36*V512/1000000</f>
        <v>0.88473599999999997</v>
      </c>
      <c r="AE512" s="197">
        <v>4.8</v>
      </c>
      <c r="AF512" s="198">
        <f t="shared" ref="AF512:AF528" si="213">(AE512*1000000-V512*36*512)/(4*L512)</f>
        <v>79.65625</v>
      </c>
      <c r="AG512" s="492" t="s">
        <v>1654</v>
      </c>
    </row>
    <row r="513" spans="1:33" x14ac:dyDescent="0.2">
      <c r="A513" s="182" t="s">
        <v>189</v>
      </c>
      <c r="B513" s="17" t="s">
        <v>702</v>
      </c>
      <c r="C513" s="227"/>
      <c r="D513" s="229" t="s">
        <v>704</v>
      </c>
      <c r="E513" s="118" t="s">
        <v>761</v>
      </c>
      <c r="F513" s="18" t="s">
        <v>291</v>
      </c>
      <c r="G513" s="19">
        <v>234.67</v>
      </c>
      <c r="H513" s="124">
        <v>17</v>
      </c>
      <c r="I513" s="162">
        <v>240</v>
      </c>
      <c r="J513" s="138" t="s">
        <v>292</v>
      </c>
      <c r="K513" s="20">
        <v>556.6</v>
      </c>
      <c r="L513" s="245">
        <v>21504</v>
      </c>
      <c r="M513" s="64">
        <v>24192</v>
      </c>
      <c r="N513" s="65">
        <f t="shared" si="209"/>
        <v>103.08944475220522</v>
      </c>
      <c r="O513" s="65">
        <f t="shared" si="210"/>
        <v>91.635062001960208</v>
      </c>
      <c r="P513" s="65"/>
      <c r="Q513" s="65">
        <v>48</v>
      </c>
      <c r="R513" s="65">
        <v>8</v>
      </c>
      <c r="S513" s="65"/>
      <c r="T513" s="65">
        <v>448</v>
      </c>
      <c r="U513" s="65"/>
      <c r="V513" s="65">
        <v>72</v>
      </c>
      <c r="W513" s="65"/>
      <c r="X513" s="110">
        <v>2688</v>
      </c>
      <c r="Y513" s="81">
        <v>39.99</v>
      </c>
      <c r="Z513" s="141">
        <v>537.73443360840213</v>
      </c>
      <c r="AA513" s="371">
        <f t="shared" si="211"/>
        <v>504</v>
      </c>
      <c r="AB513" s="54">
        <v>298.66666666666669</v>
      </c>
      <c r="AC513" s="281">
        <v>6.2222222222222223</v>
      </c>
      <c r="AD513" s="191">
        <f t="shared" si="212"/>
        <v>1.3271040000000001</v>
      </c>
      <c r="AE513" s="197">
        <v>7.8</v>
      </c>
      <c r="AF513" s="198">
        <f t="shared" si="213"/>
        <v>75.252232142857139</v>
      </c>
      <c r="AG513" s="6" t="s">
        <v>795</v>
      </c>
    </row>
    <row r="514" spans="1:33" x14ac:dyDescent="0.2">
      <c r="A514" s="182" t="s">
        <v>189</v>
      </c>
      <c r="B514" s="17" t="s">
        <v>702</v>
      </c>
      <c r="C514" s="227"/>
      <c r="D514" s="229" t="s">
        <v>704</v>
      </c>
      <c r="E514" s="17" t="s">
        <v>293</v>
      </c>
      <c r="F514" s="18" t="s">
        <v>294</v>
      </c>
      <c r="G514" s="19">
        <v>386.1</v>
      </c>
      <c r="H514" s="124">
        <v>27</v>
      </c>
      <c r="I514" s="162">
        <v>448</v>
      </c>
      <c r="J514" s="138" t="s">
        <v>351</v>
      </c>
      <c r="K514" s="20">
        <v>838.2</v>
      </c>
      <c r="L514" s="245">
        <v>36864</v>
      </c>
      <c r="M514" s="64">
        <v>41472</v>
      </c>
      <c r="N514" s="65">
        <f t="shared" si="209"/>
        <v>107.4125874125874</v>
      </c>
      <c r="O514" s="65">
        <f t="shared" si="210"/>
        <v>95.477855477855471</v>
      </c>
      <c r="P514" s="65"/>
      <c r="Q514" s="65">
        <v>64</v>
      </c>
      <c r="R514" s="65">
        <v>8</v>
      </c>
      <c r="S514" s="65"/>
      <c r="T514" s="65">
        <v>640</v>
      </c>
      <c r="U514" s="65"/>
      <c r="V514" s="65">
        <v>96</v>
      </c>
      <c r="W514" s="65"/>
      <c r="X514" s="110">
        <v>4608</v>
      </c>
      <c r="Y514" s="81"/>
      <c r="Z514" s="141"/>
      <c r="AA514" s="371">
        <f t="shared" si="211"/>
        <v>648</v>
      </c>
      <c r="AB514" s="54">
        <v>384</v>
      </c>
      <c r="AC514" s="281">
        <v>6.666666666666667</v>
      </c>
      <c r="AD514" s="191">
        <f t="shared" si="212"/>
        <v>1.7694719999999999</v>
      </c>
      <c r="AE514" s="197">
        <v>12.3</v>
      </c>
      <c r="AF514" s="198">
        <f t="shared" si="213"/>
        <v>71.414713541666671</v>
      </c>
    </row>
    <row r="515" spans="1:33" x14ac:dyDescent="0.2">
      <c r="A515" s="182" t="s">
        <v>189</v>
      </c>
      <c r="B515" s="17" t="s">
        <v>702</v>
      </c>
      <c r="C515" s="227"/>
      <c r="D515" s="229" t="s">
        <v>704</v>
      </c>
      <c r="E515" s="17" t="s">
        <v>760</v>
      </c>
      <c r="F515" s="18" t="s">
        <v>294</v>
      </c>
      <c r="G515" s="19">
        <v>588.5</v>
      </c>
      <c r="H515" s="124">
        <v>27</v>
      </c>
      <c r="I515" s="162">
        <v>448</v>
      </c>
      <c r="J515" s="138" t="s">
        <v>295</v>
      </c>
      <c r="K515" s="20">
        <v>1449.8</v>
      </c>
      <c r="L515" s="245">
        <v>53248</v>
      </c>
      <c r="M515" s="64">
        <v>59904</v>
      </c>
      <c r="N515" s="65">
        <f t="shared" si="209"/>
        <v>101.7909940526763</v>
      </c>
      <c r="O515" s="65">
        <f t="shared" si="210"/>
        <v>90.480883602378924</v>
      </c>
      <c r="P515" s="65"/>
      <c r="Q515" s="65">
        <v>64</v>
      </c>
      <c r="R515" s="65">
        <v>8</v>
      </c>
      <c r="S515" s="65"/>
      <c r="T515" s="65">
        <v>640</v>
      </c>
      <c r="U515" s="65"/>
      <c r="V515" s="65">
        <v>160</v>
      </c>
      <c r="W515" s="65"/>
      <c r="X515" s="110">
        <v>6656</v>
      </c>
      <c r="Y515" s="81">
        <v>119</v>
      </c>
      <c r="Z515" s="141">
        <v>447.46218487394958</v>
      </c>
      <c r="AA515" s="371">
        <f t="shared" si="211"/>
        <v>936</v>
      </c>
      <c r="AB515" s="54">
        <v>332.8</v>
      </c>
      <c r="AC515" s="281">
        <v>4</v>
      </c>
      <c r="AD515" s="191">
        <f t="shared" si="212"/>
        <v>2.9491200000000002</v>
      </c>
      <c r="AE515" s="197">
        <v>17.7</v>
      </c>
      <c r="AF515" s="198">
        <f t="shared" si="213"/>
        <v>69.255558894230774</v>
      </c>
    </row>
    <row r="516" spans="1:33" x14ac:dyDescent="0.2">
      <c r="A516" s="182" t="s">
        <v>189</v>
      </c>
      <c r="B516" s="17" t="s">
        <v>702</v>
      </c>
      <c r="C516" s="227"/>
      <c r="D516" s="213"/>
      <c r="E516" s="17" t="s">
        <v>296</v>
      </c>
      <c r="F516" s="18" t="s">
        <v>297</v>
      </c>
      <c r="G516" s="19">
        <v>1006.5</v>
      </c>
      <c r="H516" s="124">
        <v>35</v>
      </c>
      <c r="I516" s="162">
        <v>768</v>
      </c>
      <c r="J516" s="138" t="s">
        <v>295</v>
      </c>
      <c r="K516" s="20">
        <v>1992.1</v>
      </c>
      <c r="L516" s="245">
        <v>71680</v>
      </c>
      <c r="M516" s="64">
        <v>80640</v>
      </c>
      <c r="N516" s="65">
        <f t="shared" si="209"/>
        <v>80.11922503725782</v>
      </c>
      <c r="O516" s="65">
        <f t="shared" si="210"/>
        <v>71.217088922006951</v>
      </c>
      <c r="P516" s="65"/>
      <c r="Q516" s="65">
        <v>80</v>
      </c>
      <c r="R516" s="65">
        <v>12</v>
      </c>
      <c r="S516" s="65"/>
      <c r="T516" s="65">
        <v>768</v>
      </c>
      <c r="U516" s="65"/>
      <c r="V516" s="65">
        <v>200</v>
      </c>
      <c r="W516" s="65"/>
      <c r="X516" s="110">
        <v>8960</v>
      </c>
      <c r="Y516" s="81"/>
      <c r="Z516" s="141"/>
      <c r="AA516" s="371">
        <f t="shared" si="211"/>
        <v>1008</v>
      </c>
      <c r="AB516" s="54">
        <v>358.4</v>
      </c>
      <c r="AC516" s="281">
        <v>3.84</v>
      </c>
      <c r="AD516" s="191">
        <f t="shared" si="212"/>
        <v>3.6863999999999999</v>
      </c>
      <c r="AE516" s="197">
        <v>23.3</v>
      </c>
      <c r="AF516" s="198">
        <f t="shared" si="213"/>
        <v>68.406808035714292</v>
      </c>
    </row>
    <row r="517" spans="1:33" x14ac:dyDescent="0.2">
      <c r="A517" s="182" t="s">
        <v>189</v>
      </c>
      <c r="B517" s="17" t="s">
        <v>702</v>
      </c>
      <c r="C517" s="227"/>
      <c r="D517" s="229" t="s">
        <v>704</v>
      </c>
      <c r="E517" s="17" t="s">
        <v>762</v>
      </c>
      <c r="F517" s="18" t="s">
        <v>297</v>
      </c>
      <c r="G517" s="19">
        <v>1839.3</v>
      </c>
      <c r="H517" s="124">
        <v>35</v>
      </c>
      <c r="I517" s="162">
        <v>768</v>
      </c>
      <c r="J517" s="138" t="s">
        <v>348</v>
      </c>
      <c r="K517" s="20">
        <v>4055.04</v>
      </c>
      <c r="L517" s="245">
        <v>98304</v>
      </c>
      <c r="M517" s="64">
        <v>110592</v>
      </c>
      <c r="N517" s="65">
        <f t="shared" si="209"/>
        <v>60.127222312836409</v>
      </c>
      <c r="O517" s="65">
        <f t="shared" si="210"/>
        <v>53.446419833632362</v>
      </c>
      <c r="P517" s="65"/>
      <c r="Q517" s="65">
        <v>96</v>
      </c>
      <c r="R517" s="65">
        <v>12</v>
      </c>
      <c r="S517" s="65"/>
      <c r="T517" s="65">
        <v>960</v>
      </c>
      <c r="U517" s="65"/>
      <c r="V517" s="65">
        <v>240</v>
      </c>
      <c r="W517" s="65"/>
      <c r="X517" s="110">
        <v>12288</v>
      </c>
      <c r="Y517" s="81"/>
      <c r="Z517" s="141"/>
      <c r="AA517" s="371">
        <f t="shared" si="211"/>
        <v>1152</v>
      </c>
      <c r="AB517" s="54">
        <v>409.6</v>
      </c>
      <c r="AC517" s="281">
        <v>4</v>
      </c>
      <c r="AD517" s="191">
        <f t="shared" si="212"/>
        <v>4.4236800000000001</v>
      </c>
      <c r="AE517" s="197">
        <v>30.7</v>
      </c>
      <c r="AF517" s="198">
        <f t="shared" si="213"/>
        <v>66.824137369791671</v>
      </c>
    </row>
    <row r="518" spans="1:33" x14ac:dyDescent="0.2">
      <c r="A518" s="182" t="s">
        <v>189</v>
      </c>
      <c r="B518" s="17" t="s">
        <v>702</v>
      </c>
      <c r="C518" s="227"/>
      <c r="D518" s="229" t="s">
        <v>704</v>
      </c>
      <c r="E518" s="17" t="s">
        <v>763</v>
      </c>
      <c r="F518" s="18" t="s">
        <v>297</v>
      </c>
      <c r="G518" s="19">
        <v>2977.7</v>
      </c>
      <c r="H518" s="124">
        <v>35</v>
      </c>
      <c r="I518" s="162">
        <v>768</v>
      </c>
      <c r="J518" s="139" t="s">
        <v>348</v>
      </c>
      <c r="K518" s="28">
        <v>6565.68</v>
      </c>
      <c r="L518" s="252">
        <v>135168</v>
      </c>
      <c r="M518" s="72">
        <v>152064</v>
      </c>
      <c r="N518" s="65">
        <f t="shared" si="209"/>
        <v>51.067602512005912</v>
      </c>
      <c r="O518" s="65">
        <f t="shared" si="210"/>
        <v>45.393424455116367</v>
      </c>
      <c r="P518" s="73"/>
      <c r="Q518" s="73">
        <v>96</v>
      </c>
      <c r="R518" s="73">
        <v>12</v>
      </c>
      <c r="S518" s="73"/>
      <c r="T518" s="73">
        <v>960</v>
      </c>
      <c r="U518" s="73"/>
      <c r="V518" s="73">
        <v>288</v>
      </c>
      <c r="W518" s="73"/>
      <c r="X518" s="112">
        <v>16896</v>
      </c>
      <c r="Y518" s="84"/>
      <c r="Z518" s="173"/>
      <c r="AA518" s="371">
        <f t="shared" si="211"/>
        <v>1584</v>
      </c>
      <c r="AB518" s="57">
        <v>469.33333333333331</v>
      </c>
      <c r="AC518" s="908">
        <v>3.3333333333333335</v>
      </c>
      <c r="AD518" s="191">
        <f t="shared" si="212"/>
        <v>5.3084160000000002</v>
      </c>
      <c r="AE518" s="197">
        <v>40.299999999999997</v>
      </c>
      <c r="AF518" s="198">
        <f t="shared" si="213"/>
        <v>64.718690814393938</v>
      </c>
    </row>
    <row r="519" spans="1:33" x14ac:dyDescent="0.2">
      <c r="A519" s="182" t="s">
        <v>189</v>
      </c>
      <c r="B519" s="17" t="s">
        <v>702</v>
      </c>
      <c r="C519" s="227"/>
      <c r="D519" s="229" t="s">
        <v>703</v>
      </c>
      <c r="E519" s="17" t="s">
        <v>764</v>
      </c>
      <c r="F519" s="18" t="s">
        <v>349</v>
      </c>
      <c r="G519" s="19">
        <v>5605.6</v>
      </c>
      <c r="H519" s="124">
        <v>40</v>
      </c>
      <c r="I519" s="162">
        <v>960</v>
      </c>
      <c r="J519" s="138" t="s">
        <v>350</v>
      </c>
      <c r="K519" s="20">
        <v>11771.76</v>
      </c>
      <c r="L519" s="245">
        <v>178176</v>
      </c>
      <c r="M519" s="64">
        <v>200448</v>
      </c>
      <c r="N519" s="65">
        <f t="shared" si="209"/>
        <v>35.758527187098615</v>
      </c>
      <c r="O519" s="65">
        <f t="shared" si="210"/>
        <v>31.785357499643212</v>
      </c>
      <c r="P519" s="65"/>
      <c r="Q519" s="65">
        <v>96</v>
      </c>
      <c r="R519" s="65">
        <v>12</v>
      </c>
      <c r="S519" s="65"/>
      <c r="T519" s="65">
        <v>960</v>
      </c>
      <c r="U519" s="65"/>
      <c r="V519" s="65">
        <v>336</v>
      </c>
      <c r="W519" s="65"/>
      <c r="X519" s="110">
        <v>22272</v>
      </c>
      <c r="Y519" s="81"/>
      <c r="Z519" s="141"/>
      <c r="AA519" s="371">
        <f t="shared" si="211"/>
        <v>2088</v>
      </c>
      <c r="AB519" s="54">
        <v>530.28571428571433</v>
      </c>
      <c r="AC519" s="281">
        <v>2.8571428571428572</v>
      </c>
      <c r="AD519" s="191">
        <f t="shared" si="212"/>
        <v>6.1931520000000004</v>
      </c>
      <c r="AE519" s="197">
        <v>51.4</v>
      </c>
      <c r="AF519" s="198">
        <f t="shared" si="213"/>
        <v>63.430046695402297</v>
      </c>
    </row>
    <row r="520" spans="1:33" x14ac:dyDescent="0.2">
      <c r="A520" s="182" t="s">
        <v>189</v>
      </c>
      <c r="B520" s="17" t="s">
        <v>702</v>
      </c>
      <c r="C520" s="227"/>
      <c r="D520" s="213"/>
      <c r="E520" s="118" t="s">
        <v>298</v>
      </c>
      <c r="F520" s="18" t="s">
        <v>294</v>
      </c>
      <c r="G520" s="19">
        <v>276.10000000000002</v>
      </c>
      <c r="H520" s="124">
        <v>27</v>
      </c>
      <c r="I520" s="162">
        <v>320</v>
      </c>
      <c r="J520" s="138" t="s">
        <v>292</v>
      </c>
      <c r="K520" s="20">
        <v>579.48</v>
      </c>
      <c r="L520" s="245">
        <v>20480</v>
      </c>
      <c r="M520" s="64">
        <v>23040</v>
      </c>
      <c r="N520" s="65">
        <f t="shared" si="209"/>
        <v>83.448026077508146</v>
      </c>
      <c r="O520" s="65">
        <f t="shared" si="210"/>
        <v>74.176023180007235</v>
      </c>
      <c r="P520" s="65"/>
      <c r="Q520" s="65">
        <v>128</v>
      </c>
      <c r="R520" s="65">
        <v>4</v>
      </c>
      <c r="S520" s="65"/>
      <c r="T520" s="65">
        <v>320</v>
      </c>
      <c r="U520" s="65"/>
      <c r="V520" s="65">
        <v>128</v>
      </c>
      <c r="W520" s="65"/>
      <c r="X520" s="110">
        <v>2560</v>
      </c>
      <c r="Y520" s="81">
        <v>59.99</v>
      </c>
      <c r="Z520" s="141">
        <v>341.39023170528418</v>
      </c>
      <c r="AA520" s="371">
        <f t="shared" si="211"/>
        <v>180</v>
      </c>
      <c r="AB520" s="54">
        <v>160</v>
      </c>
      <c r="AC520" s="281">
        <v>2.5</v>
      </c>
      <c r="AD520" s="191">
        <f t="shared" si="212"/>
        <v>2.3592960000000001</v>
      </c>
      <c r="AE520" s="197">
        <v>9.1</v>
      </c>
      <c r="AF520" s="198">
        <f t="shared" si="213"/>
        <v>82.283984375000003</v>
      </c>
    </row>
    <row r="521" spans="1:33" x14ac:dyDescent="0.2">
      <c r="A521" s="182" t="s">
        <v>189</v>
      </c>
      <c r="B521" s="17" t="s">
        <v>702</v>
      </c>
      <c r="C521" s="227"/>
      <c r="D521" s="213"/>
      <c r="E521" s="119" t="s">
        <v>299</v>
      </c>
      <c r="F521" s="18" t="s">
        <v>294</v>
      </c>
      <c r="G521" s="19">
        <v>433.4</v>
      </c>
      <c r="H521" s="124">
        <v>27</v>
      </c>
      <c r="I521" s="162">
        <v>448</v>
      </c>
      <c r="J521" s="138" t="s">
        <v>300</v>
      </c>
      <c r="K521" s="20">
        <v>884.4</v>
      </c>
      <c r="L521" s="245">
        <v>30720</v>
      </c>
      <c r="M521" s="64">
        <v>34560</v>
      </c>
      <c r="N521" s="65">
        <f t="shared" si="209"/>
        <v>79.741578218735583</v>
      </c>
      <c r="O521" s="65">
        <f t="shared" si="210"/>
        <v>70.881402861098294</v>
      </c>
      <c r="P521" s="65"/>
      <c r="Q521" s="65">
        <v>192</v>
      </c>
      <c r="R521" s="65">
        <v>8</v>
      </c>
      <c r="S521" s="65"/>
      <c r="T521" s="65">
        <v>448</v>
      </c>
      <c r="U521" s="65"/>
      <c r="V521" s="65">
        <v>192</v>
      </c>
      <c r="W521" s="65"/>
      <c r="X521" s="110">
        <v>3840</v>
      </c>
      <c r="Y521" s="81">
        <v>89.99</v>
      </c>
      <c r="Z521" s="141">
        <v>341.3712634737193</v>
      </c>
      <c r="AA521" s="371">
        <f t="shared" si="211"/>
        <v>180</v>
      </c>
      <c r="AB521" s="54">
        <v>160</v>
      </c>
      <c r="AC521" s="281">
        <v>2.3333333333333335</v>
      </c>
      <c r="AD521" s="191">
        <f t="shared" si="212"/>
        <v>3.5389439999999999</v>
      </c>
      <c r="AE521" s="197">
        <v>13.7</v>
      </c>
      <c r="AF521" s="198">
        <f t="shared" si="213"/>
        <v>82.69088541666666</v>
      </c>
      <c r="AG521" s="6" t="s">
        <v>796</v>
      </c>
    </row>
    <row r="522" spans="1:33" x14ac:dyDescent="0.2">
      <c r="A522" s="182" t="s">
        <v>189</v>
      </c>
      <c r="B522" s="17" t="s">
        <v>702</v>
      </c>
      <c r="C522" s="227"/>
      <c r="D522" s="229" t="s">
        <v>703</v>
      </c>
      <c r="E522" s="41" t="s">
        <v>765</v>
      </c>
      <c r="F522" s="45" t="s">
        <v>297</v>
      </c>
      <c r="G522" s="43">
        <v>1083.5</v>
      </c>
      <c r="H522" s="128">
        <v>35</v>
      </c>
      <c r="I522" s="167">
        <v>640</v>
      </c>
      <c r="J522" s="138" t="s">
        <v>295</v>
      </c>
      <c r="K522" s="44">
        <v>2145</v>
      </c>
      <c r="L522" s="245">
        <v>49152</v>
      </c>
      <c r="M522" s="64">
        <v>55296</v>
      </c>
      <c r="N522" s="65">
        <f t="shared" si="209"/>
        <v>51.034610059990769</v>
      </c>
      <c r="O522" s="65">
        <f t="shared" si="210"/>
        <v>45.36409783110291</v>
      </c>
      <c r="P522" s="65"/>
      <c r="Q522" s="65">
        <v>512</v>
      </c>
      <c r="R522" s="65">
        <v>8</v>
      </c>
      <c r="S522" s="65"/>
      <c r="T522" s="65">
        <v>640</v>
      </c>
      <c r="U522" s="65"/>
      <c r="V522" s="75">
        <v>320</v>
      </c>
      <c r="W522" s="65"/>
      <c r="X522" s="115">
        <v>6144</v>
      </c>
      <c r="Y522" s="85"/>
      <c r="Z522" s="141"/>
      <c r="AA522" s="371">
        <f t="shared" si="211"/>
        <v>108</v>
      </c>
      <c r="AB522" s="93">
        <v>153.6</v>
      </c>
      <c r="AC522" s="1456">
        <v>2</v>
      </c>
      <c r="AD522" s="191">
        <f t="shared" si="212"/>
        <v>5.8982400000000004</v>
      </c>
      <c r="AE522" s="197">
        <v>22.7</v>
      </c>
      <c r="AF522" s="198">
        <f t="shared" si="213"/>
        <v>85.458170572916671</v>
      </c>
    </row>
    <row r="523" spans="1:33" x14ac:dyDescent="0.2">
      <c r="A523" s="182" t="s">
        <v>189</v>
      </c>
      <c r="B523" s="17" t="s">
        <v>702</v>
      </c>
      <c r="C523" s="227"/>
      <c r="D523" s="213"/>
      <c r="E523" s="118" t="s">
        <v>301</v>
      </c>
      <c r="F523" s="18" t="s">
        <v>291</v>
      </c>
      <c r="G523" s="19">
        <v>118.8</v>
      </c>
      <c r="H523" s="124">
        <v>17</v>
      </c>
      <c r="I523" s="162">
        <v>240</v>
      </c>
      <c r="J523" s="138" t="s">
        <v>292</v>
      </c>
      <c r="K523" s="20">
        <v>331.1</v>
      </c>
      <c r="L523" s="245">
        <v>12944</v>
      </c>
      <c r="M523" s="64">
        <v>14562</v>
      </c>
      <c r="N523" s="65">
        <f t="shared" si="209"/>
        <v>122.57575757575758</v>
      </c>
      <c r="O523" s="65">
        <f t="shared" si="210"/>
        <v>108.95622895622895</v>
      </c>
      <c r="P523" s="65">
        <v>1</v>
      </c>
      <c r="Q523" s="65">
        <v>32</v>
      </c>
      <c r="R523" s="65">
        <v>4</v>
      </c>
      <c r="S523" s="65"/>
      <c r="T523" s="65">
        <v>320</v>
      </c>
      <c r="U523" s="65"/>
      <c r="V523" s="65">
        <v>36</v>
      </c>
      <c r="W523" s="65"/>
      <c r="X523" s="110">
        <v>1618</v>
      </c>
      <c r="Y523" s="81">
        <v>29.99</v>
      </c>
      <c r="Z523" s="141">
        <v>431.61053684561523</v>
      </c>
      <c r="AA523" s="371">
        <f t="shared" si="211"/>
        <v>455.0625</v>
      </c>
      <c r="AB523" s="54">
        <v>359.55555555555554</v>
      </c>
      <c r="AC523" s="281">
        <v>8.8888888888888893</v>
      </c>
      <c r="AD523" s="191">
        <f t="shared" si="212"/>
        <v>0.66355200000000003</v>
      </c>
      <c r="AE523" s="197">
        <v>4.8</v>
      </c>
      <c r="AF523" s="198">
        <f t="shared" si="213"/>
        <v>79.891223733003713</v>
      </c>
    </row>
    <row r="524" spans="1:33" x14ac:dyDescent="0.2">
      <c r="A524" s="182" t="s">
        <v>189</v>
      </c>
      <c r="B524" s="17" t="s">
        <v>702</v>
      </c>
      <c r="C524" s="227"/>
      <c r="D524" s="213"/>
      <c r="E524" s="17" t="s">
        <v>302</v>
      </c>
      <c r="F524" s="18" t="s">
        <v>345</v>
      </c>
      <c r="G524" s="19">
        <v>228.8</v>
      </c>
      <c r="H524" s="124">
        <v>27</v>
      </c>
      <c r="I524" s="162">
        <v>320</v>
      </c>
      <c r="J524" s="138" t="s">
        <v>346</v>
      </c>
      <c r="K524" s="20">
        <v>324.5</v>
      </c>
      <c r="L524" s="245">
        <v>17088</v>
      </c>
      <c r="M524" s="64">
        <v>19224</v>
      </c>
      <c r="N524" s="65">
        <f t="shared" si="209"/>
        <v>84.020979020979013</v>
      </c>
      <c r="O524" s="65">
        <f t="shared" si="210"/>
        <v>74.68531468531468</v>
      </c>
      <c r="P524" s="65">
        <v>1</v>
      </c>
      <c r="Q524" s="65">
        <v>32</v>
      </c>
      <c r="R524" s="65">
        <v>4</v>
      </c>
      <c r="S524" s="65">
        <v>8</v>
      </c>
      <c r="T524" s="65">
        <v>320</v>
      </c>
      <c r="U524" s="65"/>
      <c r="V524" s="65">
        <v>68</v>
      </c>
      <c r="W524" s="65"/>
      <c r="X524" s="110">
        <v>2136</v>
      </c>
      <c r="Y524" s="81"/>
      <c r="Z524" s="141"/>
      <c r="AA524" s="371">
        <f t="shared" si="211"/>
        <v>600.75</v>
      </c>
      <c r="AB524" s="54">
        <v>251.29411764705881</v>
      </c>
      <c r="AC524" s="281">
        <v>4.7058823529411766</v>
      </c>
      <c r="AD524" s="191">
        <f t="shared" si="212"/>
        <v>1.253376</v>
      </c>
      <c r="AE524" s="197">
        <v>7.2</v>
      </c>
      <c r="AF524" s="198">
        <f t="shared" si="213"/>
        <v>87</v>
      </c>
    </row>
    <row r="525" spans="1:33" x14ac:dyDescent="0.2">
      <c r="A525" s="182" t="s">
        <v>189</v>
      </c>
      <c r="B525" s="17" t="s">
        <v>702</v>
      </c>
      <c r="C525" s="227"/>
      <c r="D525" s="213"/>
      <c r="E525" s="17" t="s">
        <v>303</v>
      </c>
      <c r="F525" s="18" t="s">
        <v>562</v>
      </c>
      <c r="G525" s="19">
        <v>495</v>
      </c>
      <c r="H525" s="124">
        <v>27</v>
      </c>
      <c r="I525" s="162">
        <v>352</v>
      </c>
      <c r="J525" s="137"/>
      <c r="K525" s="32"/>
      <c r="L525" s="247">
        <v>31104</v>
      </c>
      <c r="M525" s="70">
        <v>34992</v>
      </c>
      <c r="N525" s="65">
        <f t="shared" si="209"/>
        <v>70.690909090909088</v>
      </c>
      <c r="O525" s="65">
        <f t="shared" si="210"/>
        <v>62.836363636363636</v>
      </c>
      <c r="P525" s="71">
        <v>2</v>
      </c>
      <c r="Q525" s="71">
        <v>48</v>
      </c>
      <c r="R525" s="71">
        <v>8</v>
      </c>
      <c r="S525" s="71">
        <v>12</v>
      </c>
      <c r="T525" s="71">
        <v>448</v>
      </c>
      <c r="U525" s="71"/>
      <c r="V525" s="71">
        <v>144</v>
      </c>
      <c r="W525" s="71"/>
      <c r="X525" s="114">
        <v>3888</v>
      </c>
      <c r="Y525" s="83"/>
      <c r="Z525" s="172"/>
      <c r="AA525" s="371">
        <f t="shared" si="211"/>
        <v>729</v>
      </c>
      <c r="AB525" s="56">
        <v>216</v>
      </c>
      <c r="AC525" s="298">
        <v>3.1111111111111112</v>
      </c>
      <c r="AD525" s="191">
        <f t="shared" si="212"/>
        <v>2.6542080000000001</v>
      </c>
      <c r="AE525" s="197">
        <v>13.6</v>
      </c>
      <c r="AF525" s="198">
        <f t="shared" si="213"/>
        <v>87.977366255144034</v>
      </c>
    </row>
    <row r="526" spans="1:33" x14ac:dyDescent="0.2">
      <c r="A526" s="182" t="s">
        <v>189</v>
      </c>
      <c r="B526" s="17" t="s">
        <v>702</v>
      </c>
      <c r="C526" s="227"/>
      <c r="D526" s="229" t="s">
        <v>703</v>
      </c>
      <c r="E526" s="17" t="s">
        <v>766</v>
      </c>
      <c r="F526" s="18" t="s">
        <v>345</v>
      </c>
      <c r="G526" s="19">
        <v>793.1</v>
      </c>
      <c r="H526" s="124">
        <v>27</v>
      </c>
      <c r="I526" s="162">
        <v>352</v>
      </c>
      <c r="J526" s="138" t="s">
        <v>347</v>
      </c>
      <c r="K526" s="20">
        <v>1234.2</v>
      </c>
      <c r="L526" s="245">
        <v>50560</v>
      </c>
      <c r="M526" s="64">
        <v>56880</v>
      </c>
      <c r="N526" s="65">
        <f t="shared" si="209"/>
        <v>71.718572689446475</v>
      </c>
      <c r="O526" s="65">
        <f t="shared" si="210"/>
        <v>63.749842390619087</v>
      </c>
      <c r="P526" s="65">
        <v>2</v>
      </c>
      <c r="Q526" s="65">
        <v>128</v>
      </c>
      <c r="R526" s="65">
        <v>12</v>
      </c>
      <c r="S526" s="65">
        <v>16</v>
      </c>
      <c r="T526" s="65">
        <v>576</v>
      </c>
      <c r="U526" s="65"/>
      <c r="V526" s="65">
        <v>232</v>
      </c>
      <c r="W526" s="65"/>
      <c r="X526" s="110">
        <v>6320</v>
      </c>
      <c r="Y526" s="81"/>
      <c r="Z526" s="141"/>
      <c r="AA526" s="371">
        <f t="shared" si="211"/>
        <v>444.375</v>
      </c>
      <c r="AB526" s="54">
        <v>217.93103448275863</v>
      </c>
      <c r="AC526" s="281">
        <v>2.4827586206896552</v>
      </c>
      <c r="AD526" s="191">
        <f t="shared" si="212"/>
        <v>4.276224</v>
      </c>
      <c r="AE526" s="197">
        <v>21</v>
      </c>
      <c r="AF526" s="198">
        <f t="shared" si="213"/>
        <v>82.692721518987341</v>
      </c>
    </row>
    <row r="527" spans="1:33" x14ac:dyDescent="0.2">
      <c r="A527" s="182" t="s">
        <v>189</v>
      </c>
      <c r="B527" s="17" t="s">
        <v>702</v>
      </c>
      <c r="C527" s="227"/>
      <c r="D527" s="229" t="s">
        <v>704</v>
      </c>
      <c r="E527" s="17" t="s">
        <v>304</v>
      </c>
      <c r="F527" s="18" t="s">
        <v>344</v>
      </c>
      <c r="G527" s="19">
        <v>2112</v>
      </c>
      <c r="H527" s="124">
        <v>35</v>
      </c>
      <c r="I527" s="162">
        <v>576</v>
      </c>
      <c r="J527" s="138" t="s">
        <v>344</v>
      </c>
      <c r="K527" s="20">
        <v>2534</v>
      </c>
      <c r="L527" s="245">
        <v>84352</v>
      </c>
      <c r="M527" s="64">
        <v>94896</v>
      </c>
      <c r="N527" s="65">
        <f t="shared" si="209"/>
        <v>44.93181818181818</v>
      </c>
      <c r="O527" s="65">
        <f t="shared" si="210"/>
        <v>39.939393939393938</v>
      </c>
      <c r="P527" s="65">
        <v>2</v>
      </c>
      <c r="Q527" s="65">
        <v>160</v>
      </c>
      <c r="R527" s="65">
        <v>12</v>
      </c>
      <c r="S527" s="65">
        <v>20</v>
      </c>
      <c r="T527" s="65">
        <v>768</v>
      </c>
      <c r="U527" s="65"/>
      <c r="V527" s="65">
        <v>376</v>
      </c>
      <c r="W527" s="65"/>
      <c r="X527" s="110">
        <v>10544</v>
      </c>
      <c r="Y527" s="81"/>
      <c r="Z527" s="141"/>
      <c r="AA527" s="371">
        <f t="shared" si="211"/>
        <v>593.1</v>
      </c>
      <c r="AB527" s="54">
        <v>224.34042553191489</v>
      </c>
      <c r="AC527" s="281">
        <v>2.0425531914893615</v>
      </c>
      <c r="AD527" s="191">
        <f t="shared" si="212"/>
        <v>6.9304319999999997</v>
      </c>
      <c r="AE527" s="197">
        <v>33</v>
      </c>
      <c r="AF527" s="198">
        <f t="shared" si="213"/>
        <v>77.264226100151745</v>
      </c>
    </row>
    <row r="528" spans="1:33" ht="13.5" thickBot="1" x14ac:dyDescent="0.25">
      <c r="A528" s="182" t="s">
        <v>189</v>
      </c>
      <c r="B528" s="17" t="s">
        <v>702</v>
      </c>
      <c r="C528" s="228"/>
      <c r="D528" s="231" t="s">
        <v>703</v>
      </c>
      <c r="E528" s="33" t="s">
        <v>767</v>
      </c>
      <c r="F528" s="144" t="s">
        <v>563</v>
      </c>
      <c r="G528" s="34">
        <v>4880</v>
      </c>
      <c r="H528" s="130">
        <v>40</v>
      </c>
      <c r="I528" s="169">
        <v>768</v>
      </c>
      <c r="J528" s="150"/>
      <c r="K528" s="35"/>
      <c r="L528" s="246">
        <v>126336</v>
      </c>
      <c r="M528" s="67">
        <v>142128</v>
      </c>
      <c r="N528" s="65">
        <f t="shared" si="209"/>
        <v>29.124590163934425</v>
      </c>
      <c r="O528" s="65">
        <f t="shared" si="210"/>
        <v>25.888524590163936</v>
      </c>
      <c r="P528" s="68">
        <v>2</v>
      </c>
      <c r="Q528" s="68">
        <v>192</v>
      </c>
      <c r="R528" s="68">
        <v>20</v>
      </c>
      <c r="S528" s="68">
        <v>24</v>
      </c>
      <c r="T528" s="68">
        <v>896</v>
      </c>
      <c r="U528" s="68"/>
      <c r="V528" s="76">
        <v>552</v>
      </c>
      <c r="W528" s="68"/>
      <c r="X528" s="116">
        <v>15792</v>
      </c>
      <c r="Y528" s="88"/>
      <c r="Z528" s="142"/>
      <c r="AA528" s="371">
        <f t="shared" si="211"/>
        <v>740.25</v>
      </c>
      <c r="AB528" s="94">
        <v>228.86956521739131</v>
      </c>
      <c r="AC528" s="1458">
        <v>1.6231884057971016</v>
      </c>
      <c r="AD528" s="191">
        <f t="shared" si="212"/>
        <v>10.174464</v>
      </c>
      <c r="AE528" s="199">
        <v>47.9</v>
      </c>
      <c r="AF528" s="198">
        <f t="shared" si="213"/>
        <v>74.65317882472138</v>
      </c>
    </row>
    <row r="529" spans="1:33" x14ac:dyDescent="0.2">
      <c r="A529" s="182"/>
      <c r="B529" s="48" t="s">
        <v>715</v>
      </c>
      <c r="C529" s="226"/>
      <c r="D529" s="212"/>
      <c r="E529" s="12" t="s">
        <v>430</v>
      </c>
      <c r="F529" s="466" t="s">
        <v>1012</v>
      </c>
      <c r="G529" s="14" t="s">
        <v>22</v>
      </c>
      <c r="H529" s="40" t="s">
        <v>531</v>
      </c>
      <c r="I529" s="161"/>
      <c r="J529" s="136"/>
      <c r="K529" s="16" t="s">
        <v>22</v>
      </c>
      <c r="L529" s="244" t="s">
        <v>431</v>
      </c>
      <c r="M529" s="383" t="s">
        <v>696</v>
      </c>
      <c r="N529" s="380">
        <f>AVERAGE(N530:N546)</f>
        <v>64.179275468620986</v>
      </c>
      <c r="O529" s="382">
        <f>AVERAGE(O531:O536)</f>
        <v>5.4923563635889509E-2</v>
      </c>
      <c r="P529" s="61" t="s">
        <v>260</v>
      </c>
      <c r="Q529" s="399" t="s">
        <v>1739</v>
      </c>
      <c r="R529" s="61"/>
      <c r="S529" s="61" t="s">
        <v>642</v>
      </c>
      <c r="T529" s="61"/>
      <c r="U529" s="61" t="s">
        <v>634</v>
      </c>
      <c r="V529" s="74" t="s">
        <v>433</v>
      </c>
      <c r="W529" s="61" t="s">
        <v>635</v>
      </c>
      <c r="X529" s="156" t="s">
        <v>207</v>
      </c>
      <c r="Y529" s="215" t="s">
        <v>434</v>
      </c>
      <c r="Z529" s="164"/>
      <c r="AA529" s="372">
        <f>AVERAGE(AA530:AA546)</f>
        <v>824.1397504456329</v>
      </c>
      <c r="AB529" s="92">
        <f>AVERAGE(AB531:AB536)</f>
        <v>0.58374677002583986</v>
      </c>
      <c r="AC529" s="98">
        <f>AVERAGE(AC530:AC546)</f>
        <v>4.9874025656123333</v>
      </c>
      <c r="AD529" s="109" t="s">
        <v>650</v>
      </c>
      <c r="AE529" s="195"/>
      <c r="AF529" s="196">
        <f>AVERAGE(AF530:AF546)</f>
        <v>78.433961443224376</v>
      </c>
      <c r="AG529" t="s">
        <v>445</v>
      </c>
    </row>
    <row r="530" spans="1:33" x14ac:dyDescent="0.2">
      <c r="A530" s="182" t="s">
        <v>189</v>
      </c>
      <c r="B530" s="17" t="s">
        <v>702</v>
      </c>
      <c r="C530" s="227"/>
      <c r="D530" s="213"/>
      <c r="E530" s="134" t="s">
        <v>874</v>
      </c>
      <c r="F530" s="143" t="s">
        <v>554</v>
      </c>
      <c r="G530" s="43">
        <v>226.25</v>
      </c>
      <c r="H530" s="18">
        <v>19</v>
      </c>
      <c r="I530" s="167">
        <v>172</v>
      </c>
      <c r="J530" s="137"/>
      <c r="K530" s="39"/>
      <c r="L530" s="456">
        <f t="shared" ref="L530:L546" si="214">8*X530/1000</f>
        <v>12.48</v>
      </c>
      <c r="M530" s="457">
        <f t="shared" ref="M530:M546" si="215">12.8*X530/1000</f>
        <v>19.968</v>
      </c>
      <c r="N530" s="65">
        <f t="shared" ref="N530:N546" si="216">IF(AND(G530&lt;&gt;"",M530&lt;&gt;""),1000*M530/G530,"")</f>
        <v>88.25635359116022</v>
      </c>
      <c r="O530" s="65">
        <f t="shared" ref="O530:O546" si="217">IF(AND(G530&lt;&gt;"",L530&lt;&gt;""),L530/G530,"")</f>
        <v>5.5160220994475137E-2</v>
      </c>
      <c r="P530" s="65"/>
      <c r="Q530" s="65">
        <v>24</v>
      </c>
      <c r="R530" s="65">
        <v>1</v>
      </c>
      <c r="S530" s="65">
        <v>4</v>
      </c>
      <c r="T530" s="65">
        <v>160</v>
      </c>
      <c r="U530" s="65">
        <v>1</v>
      </c>
      <c r="V530" s="75">
        <v>26</v>
      </c>
      <c r="W530" s="65">
        <v>2</v>
      </c>
      <c r="X530" s="189">
        <v>1560</v>
      </c>
      <c r="Y530" s="261"/>
      <c r="Z530" s="141"/>
      <c r="AA530" s="371">
        <f t="shared" ref="AA530:AA546" si="218">1000*M530/Q530</f>
        <v>832</v>
      </c>
      <c r="AB530" s="54">
        <f t="shared" ref="AB530:AB546" si="219">L530/V530</f>
        <v>0.48000000000000004</v>
      </c>
      <c r="AC530" s="99">
        <f t="shared" ref="AC530:AC546" si="220">T530/V530</f>
        <v>6.1538461538461542</v>
      </c>
      <c r="AD530" s="191">
        <f t="shared" ref="AD530:AD546" si="221">512*72*V530/1000000</f>
        <v>0.95846399999999998</v>
      </c>
      <c r="AE530" s="197">
        <v>6.3</v>
      </c>
      <c r="AF530" s="198">
        <f t="shared" ref="AF530:AF546" si="222">(AE530*1000000-V530*36*512)/(6000*L530)</f>
        <v>77.734615384615381</v>
      </c>
      <c r="AG530"/>
    </row>
    <row r="531" spans="1:33" x14ac:dyDescent="0.2">
      <c r="A531" s="182" t="s">
        <v>189</v>
      </c>
      <c r="B531" s="17" t="s">
        <v>702</v>
      </c>
      <c r="C531" s="227" t="s">
        <v>697</v>
      </c>
      <c r="D531" s="213" t="s">
        <v>704</v>
      </c>
      <c r="E531" s="134" t="s">
        <v>608</v>
      </c>
      <c r="F531" s="143" t="s">
        <v>555</v>
      </c>
      <c r="G531" s="43">
        <v>250</v>
      </c>
      <c r="H531" s="128">
        <v>19</v>
      </c>
      <c r="I531" s="167">
        <v>220</v>
      </c>
      <c r="J531" s="137" t="s">
        <v>467</v>
      </c>
      <c r="K531" s="39">
        <v>250</v>
      </c>
      <c r="L531" s="456">
        <f t="shared" si="214"/>
        <v>19.2</v>
      </c>
      <c r="M531" s="457">
        <f t="shared" si="215"/>
        <v>30.72</v>
      </c>
      <c r="N531" s="65">
        <f t="shared" si="216"/>
        <v>122.88</v>
      </c>
      <c r="O531" s="65">
        <f t="shared" si="217"/>
        <v>7.6799999999999993E-2</v>
      </c>
      <c r="P531" s="65"/>
      <c r="Q531" s="65">
        <v>32</v>
      </c>
      <c r="R531" s="65">
        <v>2</v>
      </c>
      <c r="S531" s="65">
        <v>8</v>
      </c>
      <c r="T531" s="65">
        <v>400</v>
      </c>
      <c r="U531" s="65">
        <v>1</v>
      </c>
      <c r="V531" s="65">
        <v>32</v>
      </c>
      <c r="W531" s="65">
        <v>4</v>
      </c>
      <c r="X531" s="189">
        <v>2400</v>
      </c>
      <c r="Y531" s="262">
        <v>159</v>
      </c>
      <c r="Z531" s="141">
        <f>IF(AND(L531&lt;&gt;"",Y531&lt;&gt;""),1000*L531/Y531,"")</f>
        <v>120.75471698113208</v>
      </c>
      <c r="AA531" s="371">
        <f t="shared" si="218"/>
        <v>960</v>
      </c>
      <c r="AB531" s="54">
        <f t="shared" si="219"/>
        <v>0.6</v>
      </c>
      <c r="AC531" s="99">
        <f t="shared" si="220"/>
        <v>12.5</v>
      </c>
      <c r="AD531" s="191">
        <f t="shared" si="221"/>
        <v>1.179648</v>
      </c>
      <c r="AE531" s="197">
        <v>8.4</v>
      </c>
      <c r="AF531" s="198">
        <f t="shared" si="222"/>
        <v>67.796666666666667</v>
      </c>
    </row>
    <row r="532" spans="1:33" x14ac:dyDescent="0.2">
      <c r="A532" s="182" t="s">
        <v>189</v>
      </c>
      <c r="B532" s="17" t="s">
        <v>702</v>
      </c>
      <c r="C532" s="227"/>
      <c r="D532" s="213"/>
      <c r="E532" s="134" t="s">
        <v>609</v>
      </c>
      <c r="F532" s="143" t="s">
        <v>556</v>
      </c>
      <c r="G532" s="43">
        <v>452.5</v>
      </c>
      <c r="H532" s="128">
        <v>19</v>
      </c>
      <c r="I532" s="167">
        <v>440</v>
      </c>
      <c r="J532" s="138"/>
      <c r="K532" s="44"/>
      <c r="L532" s="456">
        <f t="shared" si="214"/>
        <v>28.8</v>
      </c>
      <c r="M532" s="457">
        <f t="shared" si="215"/>
        <v>46.08</v>
      </c>
      <c r="N532" s="65">
        <f t="shared" si="216"/>
        <v>101.8342541436464</v>
      </c>
      <c r="O532" s="65">
        <f t="shared" si="217"/>
        <v>6.3646408839779012E-2</v>
      </c>
      <c r="P532" s="65"/>
      <c r="Q532" s="65">
        <v>48</v>
      </c>
      <c r="R532" s="65">
        <v>6</v>
      </c>
      <c r="S532" s="65">
        <v>12</v>
      </c>
      <c r="T532" s="65">
        <v>560</v>
      </c>
      <c r="U532" s="65">
        <v>1</v>
      </c>
      <c r="V532" s="65">
        <v>48</v>
      </c>
      <c r="W532" s="65">
        <v>4</v>
      </c>
      <c r="X532" s="189">
        <v>3600</v>
      </c>
      <c r="Y532" s="262">
        <v>149</v>
      </c>
      <c r="Z532" s="141">
        <f>IF(AND(L532&lt;&gt;"",Y532&lt;&gt;""),1000*L532/Y532,"")</f>
        <v>193.28859060402684</v>
      </c>
      <c r="AA532" s="371">
        <f t="shared" si="218"/>
        <v>960</v>
      </c>
      <c r="AB532" s="54">
        <f t="shared" si="219"/>
        <v>0.6</v>
      </c>
      <c r="AC532" s="99">
        <f t="shared" si="220"/>
        <v>11.666666666666666</v>
      </c>
      <c r="AD532" s="191">
        <f t="shared" si="221"/>
        <v>1.7694719999999999</v>
      </c>
      <c r="AE532" s="197">
        <v>12.6</v>
      </c>
      <c r="AF532" s="198">
        <f t="shared" si="222"/>
        <v>67.796666666666667</v>
      </c>
    </row>
    <row r="533" spans="1:33" x14ac:dyDescent="0.2">
      <c r="A533" s="182" t="s">
        <v>189</v>
      </c>
      <c r="B533" s="17" t="s">
        <v>702</v>
      </c>
      <c r="C533" s="227" t="s">
        <v>697</v>
      </c>
      <c r="D533" s="213" t="s">
        <v>704</v>
      </c>
      <c r="E533" s="41" t="s">
        <v>637</v>
      </c>
      <c r="F533" s="143" t="s">
        <v>557</v>
      </c>
      <c r="G533" s="43">
        <v>927.5</v>
      </c>
      <c r="H533" s="128">
        <v>27</v>
      </c>
      <c r="I533" s="167">
        <v>440</v>
      </c>
      <c r="J533" s="138"/>
      <c r="K533" s="44"/>
      <c r="L533" s="456">
        <f t="shared" si="214"/>
        <v>51.84</v>
      </c>
      <c r="M533" s="457">
        <f t="shared" si="215"/>
        <v>82.944000000000003</v>
      </c>
      <c r="N533" s="65">
        <f t="shared" si="216"/>
        <v>89.427493261455524</v>
      </c>
      <c r="O533" s="65">
        <f t="shared" si="217"/>
        <v>5.5892183288409704E-2</v>
      </c>
      <c r="P533" s="65"/>
      <c r="Q533" s="65">
        <v>48</v>
      </c>
      <c r="R533" s="65">
        <v>6</v>
      </c>
      <c r="S533" s="65">
        <v>12</v>
      </c>
      <c r="T533" s="65">
        <v>560</v>
      </c>
      <c r="U533" s="65">
        <v>1</v>
      </c>
      <c r="V533" s="65">
        <v>96</v>
      </c>
      <c r="W533" s="65">
        <v>4</v>
      </c>
      <c r="X533" s="189">
        <v>6480</v>
      </c>
      <c r="Y533" s="262">
        <v>279</v>
      </c>
      <c r="Z533" s="141">
        <f>IF(AND(L533&lt;&gt;"",Y533&lt;&gt;""),1000*L533/Y533,"")</f>
        <v>185.80645161290323</v>
      </c>
      <c r="AA533" s="371">
        <f t="shared" si="218"/>
        <v>1728</v>
      </c>
      <c r="AB533" s="54">
        <f t="shared" si="219"/>
        <v>0.54</v>
      </c>
      <c r="AC533" s="99">
        <f t="shared" si="220"/>
        <v>5.833333333333333</v>
      </c>
      <c r="AD533" s="191">
        <f t="shared" si="221"/>
        <v>3.5389439999999999</v>
      </c>
      <c r="AE533" s="197">
        <v>21.8</v>
      </c>
      <c r="AF533" s="198">
        <f t="shared" si="222"/>
        <v>64.398559670781893</v>
      </c>
    </row>
    <row r="534" spans="1:33" x14ac:dyDescent="0.2">
      <c r="A534" s="182" t="s">
        <v>189</v>
      </c>
      <c r="B534" s="17" t="s">
        <v>702</v>
      </c>
      <c r="C534" s="227" t="s">
        <v>697</v>
      </c>
      <c r="D534" s="213" t="s">
        <v>704</v>
      </c>
      <c r="E534" s="41" t="s">
        <v>638</v>
      </c>
      <c r="F534" s="143" t="s">
        <v>557</v>
      </c>
      <c r="G534" s="43">
        <v>1375</v>
      </c>
      <c r="H534" s="128">
        <v>27</v>
      </c>
      <c r="I534" s="167">
        <v>440</v>
      </c>
      <c r="J534" s="138"/>
      <c r="K534" s="44"/>
      <c r="L534" s="456">
        <f t="shared" si="214"/>
        <v>69.12</v>
      </c>
      <c r="M534" s="457">
        <f t="shared" si="215"/>
        <v>110.592</v>
      </c>
      <c r="N534" s="65">
        <f t="shared" si="216"/>
        <v>80.430545454545452</v>
      </c>
      <c r="O534" s="65">
        <f t="shared" si="217"/>
        <v>5.0269090909090909E-2</v>
      </c>
      <c r="P534" s="65"/>
      <c r="Q534" s="65">
        <v>64</v>
      </c>
      <c r="R534" s="65">
        <v>6</v>
      </c>
      <c r="S534" s="65">
        <v>16</v>
      </c>
      <c r="T534" s="65">
        <v>800</v>
      </c>
      <c r="U534" s="65">
        <v>1</v>
      </c>
      <c r="V534" s="65">
        <v>129</v>
      </c>
      <c r="W534" s="65">
        <v>4</v>
      </c>
      <c r="X534" s="189">
        <v>8640</v>
      </c>
      <c r="Y534" s="262">
        <v>399</v>
      </c>
      <c r="Z534" s="141">
        <f>IF(AND(L534&lt;&gt;"",Y534&lt;&gt;""),1000*L534/Y534,"")</f>
        <v>173.23308270676691</v>
      </c>
      <c r="AA534" s="371">
        <f t="shared" si="218"/>
        <v>1728</v>
      </c>
      <c r="AB534" s="54">
        <f t="shared" si="219"/>
        <v>0.53581395348837213</v>
      </c>
      <c r="AC534" s="99">
        <f t="shared" si="220"/>
        <v>6.2015503875968996</v>
      </c>
      <c r="AD534" s="191">
        <f t="shared" si="221"/>
        <v>4.7554559999999997</v>
      </c>
      <c r="AE534" s="197">
        <v>29.1</v>
      </c>
      <c r="AF534" s="198">
        <f t="shared" si="222"/>
        <v>64.434490740740742</v>
      </c>
    </row>
    <row r="535" spans="1:33" x14ac:dyDescent="0.2">
      <c r="A535" s="182" t="s">
        <v>189</v>
      </c>
      <c r="B535" s="17" t="s">
        <v>702</v>
      </c>
      <c r="C535" s="227" t="s">
        <v>697</v>
      </c>
      <c r="D535" s="213" t="s">
        <v>704</v>
      </c>
      <c r="E535" s="41" t="s">
        <v>639</v>
      </c>
      <c r="F535" s="143" t="s">
        <v>558</v>
      </c>
      <c r="G535" s="43">
        <v>2171.5</v>
      </c>
      <c r="H535" s="128">
        <v>35</v>
      </c>
      <c r="I535" s="167">
        <v>800</v>
      </c>
      <c r="J535" s="138"/>
      <c r="K535" s="44"/>
      <c r="L535" s="456">
        <f t="shared" si="214"/>
        <v>97.28</v>
      </c>
      <c r="M535" s="457">
        <f t="shared" si="215"/>
        <v>155.648</v>
      </c>
      <c r="N535" s="65">
        <f t="shared" si="216"/>
        <v>71.677642182822936</v>
      </c>
      <c r="O535" s="65">
        <f t="shared" si="217"/>
        <v>4.4798526364264332E-2</v>
      </c>
      <c r="P535" s="65"/>
      <c r="Q535" s="65">
        <v>128</v>
      </c>
      <c r="R535" s="65">
        <v>6</v>
      </c>
      <c r="S535" s="65">
        <v>16</v>
      </c>
      <c r="T535" s="65">
        <v>800</v>
      </c>
      <c r="U535" s="65">
        <v>1</v>
      </c>
      <c r="V535" s="65">
        <v>192</v>
      </c>
      <c r="W535" s="65">
        <v>4</v>
      </c>
      <c r="X535" s="189">
        <v>12160</v>
      </c>
      <c r="Y535" s="262"/>
      <c r="Z535" s="141"/>
      <c r="AA535" s="371">
        <f t="shared" si="218"/>
        <v>1216</v>
      </c>
      <c r="AB535" s="54">
        <f t="shared" si="219"/>
        <v>0.50666666666666671</v>
      </c>
      <c r="AC535" s="99">
        <f t="shared" si="220"/>
        <v>4.166666666666667</v>
      </c>
      <c r="AD535" s="191">
        <f t="shared" si="221"/>
        <v>7.0778879999999997</v>
      </c>
      <c r="AE535" s="197">
        <v>43.1</v>
      </c>
      <c r="AF535" s="198">
        <f t="shared" si="222"/>
        <v>67.77867324561403</v>
      </c>
    </row>
    <row r="536" spans="1:33" x14ac:dyDescent="0.2">
      <c r="A536" s="182" t="s">
        <v>189</v>
      </c>
      <c r="B536" s="17" t="s">
        <v>702</v>
      </c>
      <c r="C536" s="227" t="s">
        <v>697</v>
      </c>
      <c r="D536" s="213" t="s">
        <v>704</v>
      </c>
      <c r="E536" s="41" t="s">
        <v>640</v>
      </c>
      <c r="F536" s="143" t="s">
        <v>558</v>
      </c>
      <c r="G536" s="43">
        <v>3625</v>
      </c>
      <c r="H536" s="128">
        <v>42.5</v>
      </c>
      <c r="I536" s="167">
        <v>800</v>
      </c>
      <c r="J536" s="138"/>
      <c r="K536" s="44"/>
      <c r="L536" s="456">
        <f t="shared" si="214"/>
        <v>138.24</v>
      </c>
      <c r="M536" s="457">
        <f t="shared" si="215"/>
        <v>221.184</v>
      </c>
      <c r="N536" s="65">
        <f t="shared" si="216"/>
        <v>61.016275862068966</v>
      </c>
      <c r="O536" s="65">
        <f t="shared" si="217"/>
        <v>3.8135172413793106E-2</v>
      </c>
      <c r="P536" s="65"/>
      <c r="Q536" s="65">
        <v>128</v>
      </c>
      <c r="R536" s="65">
        <v>6</v>
      </c>
      <c r="S536" s="65">
        <v>16</v>
      </c>
      <c r="T536" s="65">
        <v>800</v>
      </c>
      <c r="U536" s="65">
        <v>1</v>
      </c>
      <c r="V536" s="65">
        <v>192</v>
      </c>
      <c r="W536" s="65">
        <v>4</v>
      </c>
      <c r="X536" s="189">
        <v>17280</v>
      </c>
      <c r="Y536" s="262"/>
      <c r="Z536" s="141" t="str">
        <f t="shared" ref="Z536:Z546" si="223">IF(AND(L536&lt;&gt;"",Y536&lt;&gt;""),L536/Y536,"")</f>
        <v/>
      </c>
      <c r="AA536" s="371">
        <f t="shared" si="218"/>
        <v>1728</v>
      </c>
      <c r="AB536" s="54">
        <f t="shared" si="219"/>
        <v>0.72000000000000008</v>
      </c>
      <c r="AC536" s="99">
        <f t="shared" si="220"/>
        <v>4.166666666666667</v>
      </c>
      <c r="AD536" s="191">
        <f t="shared" si="221"/>
        <v>7.0778879999999997</v>
      </c>
      <c r="AE536" s="197">
        <v>53.1</v>
      </c>
      <c r="AF536" s="198">
        <f t="shared" si="222"/>
        <v>59.752430555555556</v>
      </c>
    </row>
    <row r="537" spans="1:33" x14ac:dyDescent="0.2">
      <c r="A537" s="182" t="s">
        <v>189</v>
      </c>
      <c r="B537" s="17" t="s">
        <v>702</v>
      </c>
      <c r="C537" s="227" t="s">
        <v>697</v>
      </c>
      <c r="D537" s="213" t="s">
        <v>704</v>
      </c>
      <c r="E537" s="41" t="s">
        <v>641</v>
      </c>
      <c r="F537" s="143" t="s">
        <v>558</v>
      </c>
      <c r="G537" s="128">
        <v>13178.75</v>
      </c>
      <c r="H537" s="128">
        <v>42.5</v>
      </c>
      <c r="I537" s="167">
        <v>1200</v>
      </c>
      <c r="J537" s="138"/>
      <c r="K537" s="44"/>
      <c r="L537" s="456">
        <f t="shared" si="214"/>
        <v>207.36</v>
      </c>
      <c r="M537" s="457">
        <f t="shared" si="215"/>
        <v>331.77600000000001</v>
      </c>
      <c r="N537" s="65">
        <f t="shared" si="216"/>
        <v>25.175073508489046</v>
      </c>
      <c r="O537" s="65">
        <f t="shared" si="217"/>
        <v>1.5734420942805655E-2</v>
      </c>
      <c r="P537" s="65"/>
      <c r="Q537" s="65">
        <v>192</v>
      </c>
      <c r="R537" s="65">
        <v>6</v>
      </c>
      <c r="S537" s="65">
        <v>24</v>
      </c>
      <c r="T537" s="65">
        <v>1200</v>
      </c>
      <c r="U537" s="65">
        <v>1</v>
      </c>
      <c r="V537" s="65">
        <v>288</v>
      </c>
      <c r="W537" s="65">
        <v>4</v>
      </c>
      <c r="X537" s="189">
        <v>25920</v>
      </c>
      <c r="Y537" s="262"/>
      <c r="Z537" s="141" t="str">
        <f t="shared" si="223"/>
        <v/>
      </c>
      <c r="AA537" s="371">
        <f t="shared" si="218"/>
        <v>1728</v>
      </c>
      <c r="AB537" s="54">
        <f t="shared" si="219"/>
        <v>0.72000000000000008</v>
      </c>
      <c r="AC537" s="99">
        <f t="shared" si="220"/>
        <v>4.166666666666667</v>
      </c>
      <c r="AD537" s="191">
        <f t="shared" si="221"/>
        <v>10.616832</v>
      </c>
      <c r="AE537" s="197">
        <v>79.7</v>
      </c>
      <c r="AF537" s="198">
        <f t="shared" si="222"/>
        <v>59.792618312757199</v>
      </c>
    </row>
    <row r="538" spans="1:33" x14ac:dyDescent="0.2">
      <c r="A538" s="182" t="s">
        <v>189</v>
      </c>
      <c r="B538" s="17" t="s">
        <v>702</v>
      </c>
      <c r="C538" s="227"/>
      <c r="D538" s="213"/>
      <c r="E538" s="41" t="s">
        <v>482</v>
      </c>
      <c r="F538" s="143" t="s">
        <v>559</v>
      </c>
      <c r="G538" s="43">
        <v>458.75</v>
      </c>
      <c r="H538" s="128">
        <v>27</v>
      </c>
      <c r="I538" s="167">
        <v>360</v>
      </c>
      <c r="J538" s="139"/>
      <c r="K538" s="47"/>
      <c r="L538" s="456">
        <f t="shared" si="214"/>
        <v>21.76</v>
      </c>
      <c r="M538" s="457">
        <f t="shared" si="215"/>
        <v>34.816000000000003</v>
      </c>
      <c r="N538" s="65">
        <f t="shared" si="216"/>
        <v>75.893188010899181</v>
      </c>
      <c r="O538" s="65">
        <f t="shared" si="217"/>
        <v>4.7433242506811996E-2</v>
      </c>
      <c r="P538" s="65"/>
      <c r="Q538" s="65">
        <v>192</v>
      </c>
      <c r="R538" s="65">
        <v>2</v>
      </c>
      <c r="S538" s="65">
        <v>8</v>
      </c>
      <c r="T538" s="65">
        <v>360</v>
      </c>
      <c r="U538" s="65">
        <v>1</v>
      </c>
      <c r="V538" s="65">
        <v>84</v>
      </c>
      <c r="W538" s="65">
        <v>4</v>
      </c>
      <c r="X538" s="189">
        <v>2720</v>
      </c>
      <c r="Y538" s="262"/>
      <c r="Z538" s="141" t="str">
        <f t="shared" si="223"/>
        <v/>
      </c>
      <c r="AA538" s="371">
        <f t="shared" si="218"/>
        <v>181.33333333333334</v>
      </c>
      <c r="AB538" s="56">
        <f t="shared" si="219"/>
        <v>0.25904761904761908</v>
      </c>
      <c r="AC538" s="102">
        <f t="shared" si="220"/>
        <v>4.2857142857142856</v>
      </c>
      <c r="AD538" s="191">
        <f t="shared" si="221"/>
        <v>3.0965760000000002</v>
      </c>
      <c r="AE538" s="197">
        <v>13.4</v>
      </c>
      <c r="AF538" s="198">
        <f t="shared" si="222"/>
        <v>90.775980392156853</v>
      </c>
    </row>
    <row r="539" spans="1:33" x14ac:dyDescent="0.2">
      <c r="A539" s="182" t="s">
        <v>189</v>
      </c>
      <c r="B539" s="17" t="s">
        <v>702</v>
      </c>
      <c r="C539" s="227" t="s">
        <v>697</v>
      </c>
      <c r="D539" s="213" t="s">
        <v>704</v>
      </c>
      <c r="E539" s="41" t="s">
        <v>483</v>
      </c>
      <c r="F539" s="143" t="s">
        <v>559</v>
      </c>
      <c r="G539" s="43">
        <v>871.25</v>
      </c>
      <c r="H539" s="128">
        <v>27</v>
      </c>
      <c r="I539" s="167">
        <v>360</v>
      </c>
      <c r="J539" s="140"/>
      <c r="K539" s="46"/>
      <c r="L539" s="456">
        <f t="shared" si="214"/>
        <v>32.64</v>
      </c>
      <c r="M539" s="457">
        <f t="shared" si="215"/>
        <v>52.223999999999997</v>
      </c>
      <c r="N539" s="65">
        <f t="shared" si="216"/>
        <v>59.94146341463415</v>
      </c>
      <c r="O539" s="65">
        <f t="shared" si="217"/>
        <v>3.746341463414634E-2</v>
      </c>
      <c r="P539" s="65"/>
      <c r="Q539" s="65">
        <v>288</v>
      </c>
      <c r="R539" s="65">
        <v>6</v>
      </c>
      <c r="S539" s="65">
        <v>12</v>
      </c>
      <c r="T539" s="65">
        <v>480</v>
      </c>
      <c r="U539" s="65">
        <v>1</v>
      </c>
      <c r="V539" s="65">
        <v>132</v>
      </c>
      <c r="W539" s="65">
        <v>4</v>
      </c>
      <c r="X539" s="189">
        <v>4080</v>
      </c>
      <c r="Y539" s="262"/>
      <c r="Z539" s="141" t="str">
        <f t="shared" si="223"/>
        <v/>
      </c>
      <c r="AA539" s="371">
        <f t="shared" si="218"/>
        <v>181.33333333333334</v>
      </c>
      <c r="AB539" s="56">
        <f t="shared" si="219"/>
        <v>0.24727272727272728</v>
      </c>
      <c r="AC539" s="102">
        <f t="shared" si="220"/>
        <v>3.6363636363636362</v>
      </c>
      <c r="AD539" s="191">
        <f t="shared" si="221"/>
        <v>4.8660480000000002</v>
      </c>
      <c r="AE539" s="197">
        <v>20</v>
      </c>
      <c r="AF539" s="198">
        <f t="shared" si="222"/>
        <v>89.700653594771239</v>
      </c>
    </row>
    <row r="540" spans="1:33" x14ac:dyDescent="0.2">
      <c r="A540" s="182" t="s">
        <v>189</v>
      </c>
      <c r="B540" s="17" t="s">
        <v>702</v>
      </c>
      <c r="C540" s="227" t="s">
        <v>697</v>
      </c>
      <c r="D540" s="213" t="s">
        <v>704</v>
      </c>
      <c r="E540" s="41" t="s">
        <v>484</v>
      </c>
      <c r="F540" s="143" t="s">
        <v>560</v>
      </c>
      <c r="G540" s="43">
        <v>2735</v>
      </c>
      <c r="H540" s="128">
        <v>35</v>
      </c>
      <c r="I540" s="167">
        <v>640</v>
      </c>
      <c r="J540" s="137"/>
      <c r="K540" s="39"/>
      <c r="L540" s="456">
        <f t="shared" si="214"/>
        <v>58.88</v>
      </c>
      <c r="M540" s="457">
        <f t="shared" si="215"/>
        <v>94.207999999999998</v>
      </c>
      <c r="N540" s="65">
        <f t="shared" si="216"/>
        <v>34.44533820840951</v>
      </c>
      <c r="O540" s="65">
        <f t="shared" si="217"/>
        <v>2.1528336380255943E-2</v>
      </c>
      <c r="P540" s="65"/>
      <c r="Q540" s="65">
        <v>640</v>
      </c>
      <c r="R540" s="65">
        <v>6</v>
      </c>
      <c r="S540" s="65">
        <v>16</v>
      </c>
      <c r="T540" s="65">
        <v>640</v>
      </c>
      <c r="U540" s="65">
        <v>1</v>
      </c>
      <c r="V540" s="65">
        <v>244</v>
      </c>
      <c r="W540" s="65">
        <v>4</v>
      </c>
      <c r="X540" s="189">
        <v>7360</v>
      </c>
      <c r="Y540" s="262"/>
      <c r="Z540" s="141" t="str">
        <f t="shared" si="223"/>
        <v/>
      </c>
      <c r="AA540" s="371">
        <f t="shared" si="218"/>
        <v>147.19999999999999</v>
      </c>
      <c r="AB540" s="56">
        <f t="shared" si="219"/>
        <v>0.24131147540983608</v>
      </c>
      <c r="AC540" s="102">
        <f t="shared" si="220"/>
        <v>2.622950819672131</v>
      </c>
      <c r="AD540" s="191">
        <f t="shared" si="221"/>
        <v>8.9948160000000001</v>
      </c>
      <c r="AE540" s="197">
        <v>35.799999999999997</v>
      </c>
      <c r="AF540" s="198">
        <f t="shared" si="222"/>
        <v>88.60561594202899</v>
      </c>
    </row>
    <row r="541" spans="1:33" x14ac:dyDescent="0.2">
      <c r="A541" s="182" t="s">
        <v>189</v>
      </c>
      <c r="B541" s="17" t="s">
        <v>702</v>
      </c>
      <c r="C541" s="227" t="s">
        <v>697</v>
      </c>
      <c r="D541" s="213" t="s">
        <v>704</v>
      </c>
      <c r="E541" s="41" t="s">
        <v>636</v>
      </c>
      <c r="F541" s="179" t="s">
        <v>602</v>
      </c>
      <c r="G541" s="128">
        <v>14155.15</v>
      </c>
      <c r="H541" s="158">
        <v>42.5</v>
      </c>
      <c r="I541" s="168">
        <v>960</v>
      </c>
      <c r="J541" s="137"/>
      <c r="K541" s="39"/>
      <c r="L541" s="456">
        <f t="shared" si="214"/>
        <v>149.76</v>
      </c>
      <c r="M541" s="457">
        <f t="shared" si="215"/>
        <v>239.61600000000001</v>
      </c>
      <c r="N541" s="65">
        <f t="shared" si="216"/>
        <v>16.927831919831299</v>
      </c>
      <c r="O541" s="65">
        <f t="shared" si="217"/>
        <v>1.0579894949894562E-2</v>
      </c>
      <c r="P541" s="65"/>
      <c r="Q541" s="65">
        <v>1056</v>
      </c>
      <c r="R541" s="65">
        <v>6</v>
      </c>
      <c r="S541" s="65">
        <v>16</v>
      </c>
      <c r="T541" s="65">
        <v>960</v>
      </c>
      <c r="U541" s="65">
        <v>1</v>
      </c>
      <c r="V541" s="65">
        <v>516</v>
      </c>
      <c r="W541" s="65">
        <v>4</v>
      </c>
      <c r="X541" s="189">
        <v>18720</v>
      </c>
      <c r="Y541" s="262"/>
      <c r="Z541" s="141" t="str">
        <f t="shared" si="223"/>
        <v/>
      </c>
      <c r="AA541" s="371">
        <f t="shared" si="218"/>
        <v>226.90909090909091</v>
      </c>
      <c r="AB541" s="56">
        <f t="shared" si="219"/>
        <v>0.29023255813953486</v>
      </c>
      <c r="AC541" s="102">
        <f t="shared" si="220"/>
        <v>1.8604651162790697</v>
      </c>
      <c r="AD541" s="191">
        <f t="shared" si="221"/>
        <v>19.021823999999999</v>
      </c>
      <c r="AE541" s="197">
        <v>79.7</v>
      </c>
      <c r="AF541" s="198">
        <f t="shared" si="222"/>
        <v>78.112856125356132</v>
      </c>
    </row>
    <row r="542" spans="1:33" x14ac:dyDescent="0.2">
      <c r="A542" s="182" t="s">
        <v>189</v>
      </c>
      <c r="B542" s="17" t="s">
        <v>702</v>
      </c>
      <c r="C542" s="227"/>
      <c r="D542" s="213"/>
      <c r="E542" s="134" t="s">
        <v>548</v>
      </c>
      <c r="F542" s="143" t="s">
        <v>599</v>
      </c>
      <c r="G542" s="43">
        <v>473.4375</v>
      </c>
      <c r="H542" s="128">
        <v>27</v>
      </c>
      <c r="I542" s="167">
        <v>360</v>
      </c>
      <c r="J542" s="139"/>
      <c r="K542" s="47"/>
      <c r="L542" s="456">
        <f t="shared" si="214"/>
        <v>20.48</v>
      </c>
      <c r="M542" s="457">
        <f t="shared" si="215"/>
        <v>32.768000000000001</v>
      </c>
      <c r="N542" s="65">
        <f t="shared" si="216"/>
        <v>69.212937293729368</v>
      </c>
      <c r="O542" s="65">
        <f t="shared" si="217"/>
        <v>4.3258085808580857E-2</v>
      </c>
      <c r="P542" s="65">
        <v>1</v>
      </c>
      <c r="Q542" s="65">
        <v>64</v>
      </c>
      <c r="R542" s="65">
        <v>2</v>
      </c>
      <c r="S542" s="65">
        <v>8</v>
      </c>
      <c r="T542" s="65">
        <v>360</v>
      </c>
      <c r="U542" s="65">
        <v>1</v>
      </c>
      <c r="V542" s="65">
        <v>68</v>
      </c>
      <c r="W542" s="65">
        <v>4</v>
      </c>
      <c r="X542" s="189">
        <v>2560</v>
      </c>
      <c r="Y542" s="262"/>
      <c r="Z542" s="141" t="str">
        <f t="shared" si="223"/>
        <v/>
      </c>
      <c r="AA542" s="371">
        <f t="shared" si="218"/>
        <v>512</v>
      </c>
      <c r="AB542" s="54">
        <f t="shared" si="219"/>
        <v>0.30117647058823532</v>
      </c>
      <c r="AC542" s="102">
        <f t="shared" si="220"/>
        <v>5.2941176470588234</v>
      </c>
      <c r="AD542" s="191">
        <f t="shared" si="221"/>
        <v>2.5067520000000001</v>
      </c>
      <c r="AE542" s="197">
        <v>13.6</v>
      </c>
      <c r="AF542" s="198">
        <f t="shared" si="222"/>
        <v>100.47708333333334</v>
      </c>
      <c r="AG542" s="6" t="s">
        <v>643</v>
      </c>
    </row>
    <row r="543" spans="1:33" x14ac:dyDescent="0.2">
      <c r="A543" s="182" t="s">
        <v>189</v>
      </c>
      <c r="B543" s="17" t="s">
        <v>702</v>
      </c>
      <c r="C543" s="227" t="s">
        <v>697</v>
      </c>
      <c r="D543" s="213" t="s">
        <v>704</v>
      </c>
      <c r="E543" s="41" t="s">
        <v>549</v>
      </c>
      <c r="F543" s="143" t="s">
        <v>600</v>
      </c>
      <c r="G543" s="43">
        <v>968.33749999999998</v>
      </c>
      <c r="H543" s="128">
        <v>27</v>
      </c>
      <c r="I543" s="167">
        <v>360</v>
      </c>
      <c r="J543" s="140"/>
      <c r="K543" s="46"/>
      <c r="L543" s="456">
        <f t="shared" si="214"/>
        <v>44.8</v>
      </c>
      <c r="M543" s="457">
        <f t="shared" si="215"/>
        <v>71.680000000000007</v>
      </c>
      <c r="N543" s="65">
        <f t="shared" si="216"/>
        <v>74.023777866704535</v>
      </c>
      <c r="O543" s="65">
        <f t="shared" si="217"/>
        <v>4.6264861166690333E-2</v>
      </c>
      <c r="P543" s="65">
        <v>1</v>
      </c>
      <c r="Q543" s="65">
        <v>128</v>
      </c>
      <c r="R543" s="65">
        <v>6</v>
      </c>
      <c r="S543" s="65">
        <v>16</v>
      </c>
      <c r="T543" s="65">
        <v>640</v>
      </c>
      <c r="U543" s="65">
        <v>3</v>
      </c>
      <c r="V543" s="65">
        <v>148</v>
      </c>
      <c r="W543" s="65">
        <v>4</v>
      </c>
      <c r="X543" s="189">
        <v>5600</v>
      </c>
      <c r="Y543" s="262"/>
      <c r="Z543" s="141" t="str">
        <f t="shared" si="223"/>
        <v/>
      </c>
      <c r="AA543" s="371">
        <f t="shared" si="218"/>
        <v>560</v>
      </c>
      <c r="AB543" s="54">
        <f t="shared" si="219"/>
        <v>0.30270270270270266</v>
      </c>
      <c r="AC543" s="102">
        <f t="shared" si="220"/>
        <v>4.3243243243243246</v>
      </c>
      <c r="AD543" s="191">
        <f t="shared" si="221"/>
        <v>5.4558720000000003</v>
      </c>
      <c r="AE543" s="197">
        <v>27.1</v>
      </c>
      <c r="AF543" s="198">
        <f t="shared" si="222"/>
        <v>90.66988095238095</v>
      </c>
    </row>
    <row r="544" spans="1:33" x14ac:dyDescent="0.2">
      <c r="A544" s="182" t="s">
        <v>189</v>
      </c>
      <c r="B544" s="17" t="s">
        <v>702</v>
      </c>
      <c r="C544" s="227" t="s">
        <v>697</v>
      </c>
      <c r="D544" s="213" t="s">
        <v>704</v>
      </c>
      <c r="E544" s="41" t="s">
        <v>550</v>
      </c>
      <c r="F544" s="143" t="s">
        <v>601</v>
      </c>
      <c r="G544" s="43">
        <v>2143.7249999999999</v>
      </c>
      <c r="H544" s="128">
        <v>35</v>
      </c>
      <c r="I544" s="167">
        <v>640</v>
      </c>
      <c r="J544" s="140"/>
      <c r="K544" s="46"/>
      <c r="L544" s="456">
        <f t="shared" si="214"/>
        <v>64</v>
      </c>
      <c r="M544" s="457">
        <f t="shared" si="215"/>
        <v>102.4</v>
      </c>
      <c r="N544" s="65">
        <f t="shared" si="216"/>
        <v>47.767320901701481</v>
      </c>
      <c r="O544" s="65">
        <f t="shared" si="217"/>
        <v>2.9854575563563426E-2</v>
      </c>
      <c r="P544" s="65">
        <v>2</v>
      </c>
      <c r="Q544" s="65">
        <v>256</v>
      </c>
      <c r="R544" s="65">
        <v>6</v>
      </c>
      <c r="S544" s="65">
        <v>16</v>
      </c>
      <c r="T544" s="65">
        <v>680</v>
      </c>
      <c r="U544" s="65">
        <v>3</v>
      </c>
      <c r="V544" s="65">
        <v>228</v>
      </c>
      <c r="W544" s="65">
        <v>4</v>
      </c>
      <c r="X544" s="189">
        <v>8000</v>
      </c>
      <c r="Y544" s="262"/>
      <c r="Z544" s="141" t="str">
        <f t="shared" si="223"/>
        <v/>
      </c>
      <c r="AA544" s="371">
        <f t="shared" si="218"/>
        <v>400</v>
      </c>
      <c r="AB544" s="54">
        <f t="shared" si="219"/>
        <v>0.2807017543859649</v>
      </c>
      <c r="AC544" s="102">
        <f t="shared" si="220"/>
        <v>2.9824561403508771</v>
      </c>
      <c r="AD544" s="191">
        <f t="shared" si="221"/>
        <v>8.404992</v>
      </c>
      <c r="AE544" s="197">
        <v>39.4</v>
      </c>
      <c r="AF544" s="198">
        <f t="shared" si="222"/>
        <v>91.660166666666669</v>
      </c>
    </row>
    <row r="545" spans="1:33" x14ac:dyDescent="0.2">
      <c r="A545" s="182" t="s">
        <v>189</v>
      </c>
      <c r="B545" s="17" t="s">
        <v>702</v>
      </c>
      <c r="C545" s="227" t="s">
        <v>697</v>
      </c>
      <c r="D545" s="213" t="s">
        <v>703</v>
      </c>
      <c r="E545" s="41" t="s">
        <v>551</v>
      </c>
      <c r="F545" s="179" t="s">
        <v>602</v>
      </c>
      <c r="G545" s="275">
        <v>3269.875</v>
      </c>
      <c r="H545" s="158">
        <v>42.5</v>
      </c>
      <c r="I545" s="168">
        <v>840</v>
      </c>
      <c r="J545" s="140"/>
      <c r="K545" s="46"/>
      <c r="L545" s="456">
        <f t="shared" si="214"/>
        <v>81.92</v>
      </c>
      <c r="M545" s="457">
        <f t="shared" si="215"/>
        <v>131.072</v>
      </c>
      <c r="N545" s="65">
        <f t="shared" si="216"/>
        <v>40.084712718376082</v>
      </c>
      <c r="O545" s="65">
        <f t="shared" si="217"/>
        <v>2.5052945448985054E-2</v>
      </c>
      <c r="P545" s="65">
        <v>2</v>
      </c>
      <c r="Q545" s="65">
        <v>320</v>
      </c>
      <c r="R545" s="65">
        <v>6</v>
      </c>
      <c r="S545" s="65">
        <v>20</v>
      </c>
      <c r="T545" s="65">
        <v>840</v>
      </c>
      <c r="U545" s="65">
        <v>3</v>
      </c>
      <c r="V545" s="65">
        <v>298</v>
      </c>
      <c r="W545" s="65">
        <v>6</v>
      </c>
      <c r="X545" s="189">
        <v>10240</v>
      </c>
      <c r="Y545" s="262"/>
      <c r="Z545" s="141" t="str">
        <f t="shared" si="223"/>
        <v/>
      </c>
      <c r="AA545" s="371">
        <f t="shared" si="218"/>
        <v>409.6</v>
      </c>
      <c r="AB545" s="57">
        <f t="shared" si="219"/>
        <v>0.27489932885906043</v>
      </c>
      <c r="AC545" s="180">
        <f t="shared" si="220"/>
        <v>2.8187919463087248</v>
      </c>
      <c r="AD545" s="191">
        <f t="shared" si="221"/>
        <v>10.985472</v>
      </c>
      <c r="AE545" s="197">
        <v>49.3</v>
      </c>
      <c r="AF545" s="198">
        <f t="shared" si="222"/>
        <v>89.126106770833331</v>
      </c>
    </row>
    <row r="546" spans="1:33" ht="13.5" thickBot="1" x14ac:dyDescent="0.25">
      <c r="A546" s="182" t="s">
        <v>189</v>
      </c>
      <c r="B546" s="17" t="s">
        <v>702</v>
      </c>
      <c r="C546" s="227" t="s">
        <v>697</v>
      </c>
      <c r="D546" s="213" t="s">
        <v>704</v>
      </c>
      <c r="E546" s="157" t="s">
        <v>552</v>
      </c>
      <c r="F546" s="179" t="s">
        <v>602</v>
      </c>
      <c r="G546" s="275">
        <v>6133.75</v>
      </c>
      <c r="H546" s="158">
        <v>42.5</v>
      </c>
      <c r="I546" s="168">
        <v>960</v>
      </c>
      <c r="J546" s="139"/>
      <c r="K546" s="47"/>
      <c r="L546" s="456">
        <f t="shared" si="214"/>
        <v>122.88</v>
      </c>
      <c r="M546" s="457">
        <f t="shared" si="215"/>
        <v>196.608</v>
      </c>
      <c r="N546" s="65">
        <f t="shared" si="216"/>
        <v>32.053474628082334</v>
      </c>
      <c r="O546" s="73">
        <f t="shared" si="217"/>
        <v>2.0033421642551456E-2</v>
      </c>
      <c r="P546" s="73">
        <v>2</v>
      </c>
      <c r="Q546" s="73">
        <v>384</v>
      </c>
      <c r="R546" s="73">
        <v>6</v>
      </c>
      <c r="S546" s="73">
        <v>24</v>
      </c>
      <c r="T546" s="73">
        <v>960</v>
      </c>
      <c r="U546" s="65">
        <v>4</v>
      </c>
      <c r="V546" s="73">
        <v>456</v>
      </c>
      <c r="W546" s="73">
        <v>8</v>
      </c>
      <c r="X546" s="260">
        <v>15360</v>
      </c>
      <c r="Y546" s="262"/>
      <c r="Z546" s="141" t="str">
        <f t="shared" si="223"/>
        <v/>
      </c>
      <c r="AA546" s="371">
        <f t="shared" si="218"/>
        <v>512</v>
      </c>
      <c r="AB546" s="57">
        <f t="shared" si="219"/>
        <v>0.26947368421052631</v>
      </c>
      <c r="AC546" s="101">
        <f t="shared" si="220"/>
        <v>2.1052631578947367</v>
      </c>
      <c r="AD546" s="191">
        <f t="shared" si="221"/>
        <v>16.809984</v>
      </c>
      <c r="AE546" s="197">
        <v>70.900000000000006</v>
      </c>
      <c r="AF546" s="198">
        <f t="shared" si="222"/>
        <v>84.764279513888894</v>
      </c>
    </row>
    <row r="547" spans="1:33" x14ac:dyDescent="0.2">
      <c r="A547" s="182"/>
      <c r="B547" s="48" t="s">
        <v>715</v>
      </c>
      <c r="C547" s="226"/>
      <c r="D547" s="212"/>
      <c r="E547" s="12" t="s">
        <v>663</v>
      </c>
      <c r="F547" s="466" t="s">
        <v>1017</v>
      </c>
      <c r="G547" s="14" t="s">
        <v>22</v>
      </c>
      <c r="H547" s="40" t="s">
        <v>683</v>
      </c>
      <c r="I547" s="123"/>
      <c r="J547" s="15"/>
      <c r="K547" s="16" t="s">
        <v>22</v>
      </c>
      <c r="L547" s="248" t="s">
        <v>665</v>
      </c>
      <c r="M547" s="383" t="s">
        <v>696</v>
      </c>
      <c r="N547" s="380">
        <f>AVERAGE(N548:N564)</f>
        <v>129.85546294393427</v>
      </c>
      <c r="O547" s="382">
        <f>AVERAGE(O549:O556)</f>
        <v>0.10244350042480883</v>
      </c>
      <c r="P547" s="60"/>
      <c r="Q547" s="399" t="s">
        <v>1739</v>
      </c>
      <c r="R547" s="61"/>
      <c r="S547" s="61" t="s">
        <v>853</v>
      </c>
      <c r="T547" s="61"/>
      <c r="U547" s="61" t="s">
        <v>634</v>
      </c>
      <c r="V547" s="74" t="s">
        <v>433</v>
      </c>
      <c r="W547" s="61" t="s">
        <v>635</v>
      </c>
      <c r="X547" s="156" t="s">
        <v>188</v>
      </c>
      <c r="Y547" s="215" t="s">
        <v>695</v>
      </c>
      <c r="Z547" s="164"/>
      <c r="AA547" s="370">
        <f>AVERAGE(AA548:AA564)</f>
        <v>392.60317460317464</v>
      </c>
      <c r="AB547" s="92">
        <f>AVERAGE(AB549:AB556)</f>
        <v>0.41715757595279285</v>
      </c>
      <c r="AC547" s="1452">
        <f>AVERAGE(AC548:AC564)</f>
        <v>1.5630366644177207</v>
      </c>
      <c r="AD547" s="109" t="s">
        <v>650</v>
      </c>
      <c r="AE547" s="207"/>
      <c r="AF547" s="196">
        <f>AVERAGE(AF548:AF564)</f>
        <v>63.18425609140445</v>
      </c>
    </row>
    <row r="548" spans="1:33" x14ac:dyDescent="0.2">
      <c r="A548" s="188" t="s">
        <v>189</v>
      </c>
      <c r="B548" s="17" t="s">
        <v>702</v>
      </c>
      <c r="C548" s="227"/>
      <c r="D548" s="213"/>
      <c r="E548" s="134" t="s">
        <v>812</v>
      </c>
      <c r="F548" s="143" t="s">
        <v>1142</v>
      </c>
      <c r="G548" s="43">
        <v>531.25</v>
      </c>
      <c r="H548" s="128">
        <v>23</v>
      </c>
      <c r="I548" s="128">
        <v>240</v>
      </c>
      <c r="J548" s="18"/>
      <c r="K548" s="44"/>
      <c r="L548" s="456">
        <f t="shared" ref="L548:L564" si="224">4*X548/1000</f>
        <v>46.56</v>
      </c>
      <c r="M548" s="457">
        <f t="shared" ref="M548:M564" si="225">6.4*X548/1000</f>
        <v>74.495999999999995</v>
      </c>
      <c r="N548" s="65">
        <f t="shared" ref="N548:N564" si="226">IF(AND(G548&lt;&gt;"",M548&lt;&gt;""),1000*M548/G548,"")</f>
        <v>140.22776470588235</v>
      </c>
      <c r="O548" s="65"/>
      <c r="P548" s="65"/>
      <c r="Q548" s="65">
        <v>288</v>
      </c>
      <c r="R548" s="65">
        <v>6</v>
      </c>
      <c r="S548" s="402" t="s">
        <v>854</v>
      </c>
      <c r="T548" s="128">
        <v>360</v>
      </c>
      <c r="U548" s="65">
        <v>1</v>
      </c>
      <c r="V548" s="65">
        <v>156</v>
      </c>
      <c r="W548" s="65">
        <v>4</v>
      </c>
      <c r="X548" s="189">
        <v>11640</v>
      </c>
      <c r="Y548" s="262">
        <v>50</v>
      </c>
      <c r="Z548" s="141">
        <f>IF(AND(L548&lt;&gt;"",Y548&lt;&gt;""),1000*L548/Y548,"")</f>
        <v>931.2</v>
      </c>
      <c r="AA548" s="371">
        <f t="shared" ref="AA548:AA564" si="227">1000*M548/Q548</f>
        <v>258.66666666666669</v>
      </c>
      <c r="AB548" s="54">
        <f t="shared" ref="AB548:AB560" si="228">L548/V548</f>
        <v>0.2984615384615385</v>
      </c>
      <c r="AC548" s="281">
        <f t="shared" ref="AC548:AC564" si="229">T548/V548</f>
        <v>2.3076923076923075</v>
      </c>
      <c r="AD548" s="191">
        <f t="shared" ref="AD548:AD564" si="230">512*72*V548/1000000</f>
        <v>5.7507840000000003</v>
      </c>
      <c r="AE548" s="208">
        <v>26.239328</v>
      </c>
      <c r="AF548" s="198">
        <f t="shared" ref="AF548:AF564" si="231">(AE548*1000000-V548*36*1024)/(6000*L548)</f>
        <v>73.341008018327599</v>
      </c>
      <c r="AG548" s="6" t="s">
        <v>680</v>
      </c>
    </row>
    <row r="549" spans="1:33" x14ac:dyDescent="0.2">
      <c r="A549" s="188" t="s">
        <v>189</v>
      </c>
      <c r="B549" s="17" t="s">
        <v>702</v>
      </c>
      <c r="C549" s="227" t="s">
        <v>697</v>
      </c>
      <c r="D549" s="213" t="s">
        <v>704</v>
      </c>
      <c r="E549" s="41" t="s">
        <v>813</v>
      </c>
      <c r="F549" s="143" t="s">
        <v>1142</v>
      </c>
      <c r="G549" s="43">
        <v>767.5</v>
      </c>
      <c r="H549" s="128">
        <v>23</v>
      </c>
      <c r="I549" s="128">
        <v>240</v>
      </c>
      <c r="J549" s="18"/>
      <c r="K549" s="44"/>
      <c r="L549" s="456">
        <f t="shared" si="224"/>
        <v>80</v>
      </c>
      <c r="M549" s="457">
        <f t="shared" si="225"/>
        <v>128</v>
      </c>
      <c r="N549" s="65">
        <f t="shared" si="226"/>
        <v>166.77524429967426</v>
      </c>
      <c r="O549" s="65"/>
      <c r="P549" s="65"/>
      <c r="Q549" s="65">
        <v>480</v>
      </c>
      <c r="R549" s="65">
        <v>10</v>
      </c>
      <c r="S549" s="402" t="s">
        <v>855</v>
      </c>
      <c r="T549" s="128">
        <v>600</v>
      </c>
      <c r="U549" s="65">
        <v>2</v>
      </c>
      <c r="V549" s="65">
        <v>264</v>
      </c>
      <c r="W549" s="65">
        <v>4</v>
      </c>
      <c r="X549" s="189">
        <v>20000</v>
      </c>
      <c r="Y549" s="262"/>
      <c r="Z549" s="141" t="str">
        <f>IF(AND(L549&lt;&gt;"",Y549&lt;&gt;""),L549/Y549,"")</f>
        <v/>
      </c>
      <c r="AA549" s="371">
        <f t="shared" si="227"/>
        <v>266.66666666666669</v>
      </c>
      <c r="AB549" s="54">
        <f t="shared" si="228"/>
        <v>0.30303030303030304</v>
      </c>
      <c r="AC549" s="281">
        <f t="shared" si="229"/>
        <v>2.2727272727272729</v>
      </c>
      <c r="AD549" s="191">
        <f t="shared" si="230"/>
        <v>9.7320960000000003</v>
      </c>
      <c r="AE549" s="208">
        <v>41.7</v>
      </c>
      <c r="AF549" s="198">
        <f t="shared" si="231"/>
        <v>66.599800000000002</v>
      </c>
      <c r="AG549" s="6" t="s">
        <v>679</v>
      </c>
    </row>
    <row r="550" spans="1:33" x14ac:dyDescent="0.2">
      <c r="A550" s="188" t="s">
        <v>189</v>
      </c>
      <c r="B550" s="17" t="s">
        <v>702</v>
      </c>
      <c r="C550" s="227"/>
      <c r="D550" s="213"/>
      <c r="E550" s="41" t="s">
        <v>814</v>
      </c>
      <c r="F550" s="143" t="s">
        <v>872</v>
      </c>
      <c r="G550" s="43">
        <v>1197.5</v>
      </c>
      <c r="H550" s="128">
        <v>29</v>
      </c>
      <c r="I550" s="128">
        <v>400</v>
      </c>
      <c r="J550" s="18"/>
      <c r="K550" s="44"/>
      <c r="L550" s="456">
        <f t="shared" si="224"/>
        <v>124.8</v>
      </c>
      <c r="M550" s="457">
        <f t="shared" si="225"/>
        <v>199.68</v>
      </c>
      <c r="N550" s="65">
        <f t="shared" si="226"/>
        <v>166.74739039665971</v>
      </c>
      <c r="O550" s="65"/>
      <c r="P550" s="65"/>
      <c r="Q550" s="65">
        <v>640</v>
      </c>
      <c r="R550" s="65">
        <v>10</v>
      </c>
      <c r="S550" s="403" t="s">
        <v>855</v>
      </c>
      <c r="T550" s="128">
        <v>720</v>
      </c>
      <c r="U550" s="65">
        <v>2</v>
      </c>
      <c r="V550" s="65">
        <v>344</v>
      </c>
      <c r="W550" s="65">
        <v>4</v>
      </c>
      <c r="X550" s="189">
        <v>31200</v>
      </c>
      <c r="Y550" s="262"/>
      <c r="Z550" s="141" t="str">
        <f>IF(AND(L550&lt;&gt;"",Y550&lt;&gt;""),L550/Y550,"")</f>
        <v/>
      </c>
      <c r="AA550" s="371">
        <f t="shared" si="227"/>
        <v>312</v>
      </c>
      <c r="AB550" s="54">
        <f t="shared" si="228"/>
        <v>0.36279069767441857</v>
      </c>
      <c r="AC550" s="281">
        <f t="shared" si="229"/>
        <v>2.0930232558139537</v>
      </c>
      <c r="AD550" s="191">
        <f t="shared" si="230"/>
        <v>12.681215999999999</v>
      </c>
      <c r="AE550" s="208">
        <v>58.7</v>
      </c>
      <c r="AF550" s="198">
        <f t="shared" si="231"/>
        <v>61.456709401709404</v>
      </c>
      <c r="AG550" s="6" t="s">
        <v>681</v>
      </c>
    </row>
    <row r="551" spans="1:33" x14ac:dyDescent="0.2">
      <c r="A551" s="188" t="s">
        <v>189</v>
      </c>
      <c r="B551" s="17" t="s">
        <v>702</v>
      </c>
      <c r="C551" s="227" t="s">
        <v>697</v>
      </c>
      <c r="D551" s="213" t="s">
        <v>704</v>
      </c>
      <c r="E551" s="41" t="s">
        <v>815</v>
      </c>
      <c r="F551" s="143" t="s">
        <v>872</v>
      </c>
      <c r="G551" s="43">
        <v>1471.25</v>
      </c>
      <c r="H551" s="128">
        <v>29</v>
      </c>
      <c r="I551" s="128">
        <v>400</v>
      </c>
      <c r="J551" s="18"/>
      <c r="K551" s="44"/>
      <c r="L551" s="456">
        <f t="shared" si="224"/>
        <v>150.72</v>
      </c>
      <c r="M551" s="457">
        <f t="shared" si="225"/>
        <v>241.15199999999999</v>
      </c>
      <c r="N551" s="65">
        <f t="shared" si="226"/>
        <v>163.90960067969414</v>
      </c>
      <c r="O551" s="65">
        <f>IF(AND(G551&lt;&gt;"",L551&lt;&gt;""),L551/G551,"")</f>
        <v>0.10244350042480883</v>
      </c>
      <c r="P551" s="65"/>
      <c r="Q551" s="65">
        <v>768</v>
      </c>
      <c r="R551" s="65">
        <v>12</v>
      </c>
      <c r="S551" s="402" t="s">
        <v>856</v>
      </c>
      <c r="T551" s="128">
        <v>720</v>
      </c>
      <c r="U551" s="65">
        <v>2</v>
      </c>
      <c r="V551" s="65">
        <v>416</v>
      </c>
      <c r="W551" s="65">
        <v>4</v>
      </c>
      <c r="X551" s="189">
        <v>37680</v>
      </c>
      <c r="Y551" s="262"/>
      <c r="Z551" s="141" t="str">
        <f>IF(AND(L551&lt;&gt;"",Y551&lt;&gt;""),L551/Y551,"")</f>
        <v/>
      </c>
      <c r="AA551" s="371">
        <f t="shared" si="227"/>
        <v>314</v>
      </c>
      <c r="AB551" s="54">
        <f t="shared" si="228"/>
        <v>0.36230769230769233</v>
      </c>
      <c r="AC551" s="281">
        <f t="shared" si="229"/>
        <v>1.7307692307692308</v>
      </c>
      <c r="AD551" s="191">
        <f t="shared" si="230"/>
        <v>15.335424</v>
      </c>
      <c r="AE551" s="208">
        <v>70.400000000000006</v>
      </c>
      <c r="AF551" s="198">
        <f t="shared" si="231"/>
        <v>60.890587402689313</v>
      </c>
      <c r="AG551" s="6" t="s">
        <v>682</v>
      </c>
    </row>
    <row r="552" spans="1:33" x14ac:dyDescent="0.2">
      <c r="A552" s="188" t="s">
        <v>189</v>
      </c>
      <c r="B552" s="17" t="s">
        <v>702</v>
      </c>
      <c r="C552" s="227"/>
      <c r="D552" s="213"/>
      <c r="E552" s="41" t="s">
        <v>816</v>
      </c>
      <c r="F552" s="143" t="s">
        <v>1150</v>
      </c>
      <c r="G552" s="43">
        <v>2958.75</v>
      </c>
      <c r="H552" s="128">
        <v>35</v>
      </c>
      <c r="I552" s="128">
        <v>600</v>
      </c>
      <c r="J552" s="18"/>
      <c r="K552" s="44"/>
      <c r="L552" s="456">
        <f t="shared" si="224"/>
        <v>227.52</v>
      </c>
      <c r="M552" s="457">
        <f t="shared" si="225"/>
        <v>364.03199999999998</v>
      </c>
      <c r="N552" s="65">
        <f t="shared" si="226"/>
        <v>123.03574144486691</v>
      </c>
      <c r="O552" s="65"/>
      <c r="P552" s="65"/>
      <c r="Q552" s="65">
        <v>576</v>
      </c>
      <c r="R552" s="65">
        <v>12</v>
      </c>
      <c r="S552" s="402" t="s">
        <v>856</v>
      </c>
      <c r="T552" s="128">
        <v>720</v>
      </c>
      <c r="U552" s="65">
        <v>2</v>
      </c>
      <c r="V552" s="65">
        <v>416</v>
      </c>
      <c r="W552" s="65">
        <v>4</v>
      </c>
      <c r="X552" s="189">
        <v>56880</v>
      </c>
      <c r="Y552" s="262"/>
      <c r="Z552" s="141" t="str">
        <f>IF(AND(L552&lt;&gt;"",Y552&lt;&gt;""),L552/Y552,"")</f>
        <v/>
      </c>
      <c r="AA552" s="371">
        <f t="shared" si="227"/>
        <v>632</v>
      </c>
      <c r="AB552" s="54">
        <f t="shared" si="228"/>
        <v>0.54692307692307696</v>
      </c>
      <c r="AC552" s="281">
        <f t="shared" si="229"/>
        <v>1.7307692307692308</v>
      </c>
      <c r="AD552" s="191">
        <f t="shared" si="230"/>
        <v>15.335424</v>
      </c>
      <c r="AE552" s="208">
        <v>91.6</v>
      </c>
      <c r="AF552" s="198">
        <f t="shared" si="231"/>
        <v>55.866572902015939</v>
      </c>
      <c r="AG552" s="6" t="s">
        <v>684</v>
      </c>
    </row>
    <row r="553" spans="1:33" x14ac:dyDescent="0.2">
      <c r="A553" s="188" t="s">
        <v>189</v>
      </c>
      <c r="B553" s="17" t="s">
        <v>702</v>
      </c>
      <c r="C553" s="227" t="s">
        <v>697</v>
      </c>
      <c r="D553" s="213" t="s">
        <v>704</v>
      </c>
      <c r="E553" s="41" t="s">
        <v>817</v>
      </c>
      <c r="F553" s="143" t="s">
        <v>873</v>
      </c>
      <c r="G553" s="43">
        <v>4536.25</v>
      </c>
      <c r="H553" s="128">
        <v>42.5</v>
      </c>
      <c r="I553" s="128">
        <v>840</v>
      </c>
      <c r="J553" s="18"/>
      <c r="K553" s="44"/>
      <c r="L553" s="456">
        <f t="shared" si="224"/>
        <v>343.68</v>
      </c>
      <c r="M553" s="457">
        <f t="shared" si="225"/>
        <v>549.88800000000003</v>
      </c>
      <c r="N553" s="65">
        <f t="shared" si="226"/>
        <v>121.22083218517498</v>
      </c>
      <c r="O553" s="65"/>
      <c r="P553" s="65"/>
      <c r="Q553" s="65">
        <v>864</v>
      </c>
      <c r="R553" s="65">
        <v>18</v>
      </c>
      <c r="S553" s="402" t="s">
        <v>857</v>
      </c>
      <c r="T553" s="128">
        <v>1200</v>
      </c>
      <c r="U553" s="65">
        <v>2</v>
      </c>
      <c r="V553" s="65">
        <v>632</v>
      </c>
      <c r="W553" s="65">
        <v>4</v>
      </c>
      <c r="X553" s="189">
        <v>85920</v>
      </c>
      <c r="Y553" s="262"/>
      <c r="Z553" s="141" t="str">
        <f>IF(AND(L553&lt;&gt;"",Y553&lt;&gt;""),L553/Y553,"")</f>
        <v/>
      </c>
      <c r="AA553" s="371">
        <f t="shared" si="227"/>
        <v>636.44444444444446</v>
      </c>
      <c r="AB553" s="54">
        <f t="shared" si="228"/>
        <v>0.54379746835443044</v>
      </c>
      <c r="AC553" s="281">
        <f t="shared" si="229"/>
        <v>1.8987341772151898</v>
      </c>
      <c r="AD553" s="191">
        <f t="shared" si="230"/>
        <v>23.298048000000001</v>
      </c>
      <c r="AE553" s="208">
        <v>137.4</v>
      </c>
      <c r="AF553" s="198">
        <f t="shared" si="231"/>
        <v>55.333426443202981</v>
      </c>
      <c r="AG553" s="6" t="s">
        <v>1540</v>
      </c>
    </row>
    <row r="554" spans="1:33" x14ac:dyDescent="0.2">
      <c r="A554" s="188" t="s">
        <v>189</v>
      </c>
      <c r="B554" s="17" t="s">
        <v>702</v>
      </c>
      <c r="C554" s="227"/>
      <c r="D554" s="213"/>
      <c r="E554" s="41" t="s">
        <v>818</v>
      </c>
      <c r="F554" s="143" t="s">
        <v>558</v>
      </c>
      <c r="G554" s="128">
        <v>13278.75</v>
      </c>
      <c r="H554" s="128">
        <v>42.5</v>
      </c>
      <c r="I554" s="128">
        <v>1200</v>
      </c>
      <c r="J554" s="18"/>
      <c r="K554" s="44"/>
      <c r="L554" s="456">
        <f t="shared" si="224"/>
        <v>474.6</v>
      </c>
      <c r="M554" s="457">
        <f t="shared" si="225"/>
        <v>759.36</v>
      </c>
      <c r="N554" s="65">
        <f t="shared" si="226"/>
        <v>57.186105619881388</v>
      </c>
      <c r="O554" s="65"/>
      <c r="P554" s="65"/>
      <c r="Q554" s="65">
        <v>864</v>
      </c>
      <c r="R554" s="65">
        <v>18</v>
      </c>
      <c r="S554" s="402" t="s">
        <v>858</v>
      </c>
      <c r="T554" s="128">
        <v>1200</v>
      </c>
      <c r="U554" s="65">
        <v>0</v>
      </c>
      <c r="V554" s="65">
        <v>720</v>
      </c>
      <c r="W554" s="65">
        <v>0</v>
      </c>
      <c r="X554" s="189">
        <v>118650</v>
      </c>
      <c r="Y554" s="1256">
        <v>2000</v>
      </c>
      <c r="Z554" s="141">
        <f>IF(AND(L554&lt;&gt;"",Y554&lt;&gt;""),1000*L554/Y554,"")</f>
        <v>237.3</v>
      </c>
      <c r="AA554" s="371">
        <f t="shared" si="227"/>
        <v>878.88888888888891</v>
      </c>
      <c r="AB554" s="54">
        <f t="shared" si="228"/>
        <v>0.65916666666666668</v>
      </c>
      <c r="AC554" s="281">
        <f t="shared" si="229"/>
        <v>1.6666666666666667</v>
      </c>
      <c r="AD554" s="191">
        <f t="shared" si="230"/>
        <v>26.542079999999999</v>
      </c>
      <c r="AE554" s="208">
        <v>176.3</v>
      </c>
      <c r="AF554" s="198">
        <f t="shared" si="231"/>
        <v>52.590925691810646</v>
      </c>
    </row>
    <row r="555" spans="1:33" x14ac:dyDescent="0.2">
      <c r="A555" s="188" t="s">
        <v>189</v>
      </c>
      <c r="B555" s="17" t="s">
        <v>702</v>
      </c>
      <c r="C555" s="227" t="s">
        <v>697</v>
      </c>
      <c r="D555" s="213" t="s">
        <v>704</v>
      </c>
      <c r="E555" s="41" t="s">
        <v>820</v>
      </c>
      <c r="F555" s="143" t="s">
        <v>1149</v>
      </c>
      <c r="G555" s="43">
        <v>2758.75</v>
      </c>
      <c r="H555" s="128">
        <v>42.5</v>
      </c>
      <c r="I555" s="128">
        <v>720</v>
      </c>
      <c r="J555" s="18"/>
      <c r="K555" s="44"/>
      <c r="L555" s="456">
        <f t="shared" si="224"/>
        <v>196.8</v>
      </c>
      <c r="M555" s="457">
        <f t="shared" si="225"/>
        <v>314.88</v>
      </c>
      <c r="N555" s="65">
        <f t="shared" si="226"/>
        <v>114.13864975079294</v>
      </c>
      <c r="O555" s="65"/>
      <c r="P555" s="65"/>
      <c r="Q555" s="65">
        <v>1344</v>
      </c>
      <c r="R555" s="65">
        <v>12</v>
      </c>
      <c r="S555" s="402" t="s">
        <v>856</v>
      </c>
      <c r="T555" s="128">
        <v>720</v>
      </c>
      <c r="U555" s="65">
        <v>2</v>
      </c>
      <c r="V555" s="65">
        <v>704</v>
      </c>
      <c r="W555" s="65">
        <v>4</v>
      </c>
      <c r="X555" s="189">
        <v>49200</v>
      </c>
      <c r="Y555" s="262"/>
      <c r="Z555" s="141" t="str">
        <f t="shared" ref="Z555:Z560" si="232">IF(AND(L555&lt;&gt;"",Y555&lt;&gt;""),L555/Y555,"")</f>
        <v/>
      </c>
      <c r="AA555" s="371">
        <f t="shared" si="227"/>
        <v>234.28571428571428</v>
      </c>
      <c r="AB555" s="54">
        <f t="shared" si="228"/>
        <v>0.27954545454545454</v>
      </c>
      <c r="AC555" s="281">
        <f t="shared" si="229"/>
        <v>1.0227272727272727</v>
      </c>
      <c r="AD555" s="191">
        <f t="shared" si="230"/>
        <v>25.952255999999998</v>
      </c>
      <c r="AE555" s="208">
        <v>99.6</v>
      </c>
      <c r="AF555" s="198">
        <f t="shared" si="231"/>
        <v>62.371056910569102</v>
      </c>
    </row>
    <row r="556" spans="1:33" x14ac:dyDescent="0.2">
      <c r="A556" s="188" t="s">
        <v>189</v>
      </c>
      <c r="B556" s="17" t="s">
        <v>702</v>
      </c>
      <c r="C556" s="227" t="s">
        <v>697</v>
      </c>
      <c r="D556" s="213" t="s">
        <v>704</v>
      </c>
      <c r="E556" s="41" t="s">
        <v>819</v>
      </c>
      <c r="F556" s="143" t="s">
        <v>1149</v>
      </c>
      <c r="G556" s="43">
        <v>7401.25</v>
      </c>
      <c r="H556" s="128">
        <v>42.5</v>
      </c>
      <c r="I556" s="128">
        <v>840</v>
      </c>
      <c r="J556" s="18"/>
      <c r="K556" s="44"/>
      <c r="L556" s="456">
        <f t="shared" si="224"/>
        <v>297.60000000000002</v>
      </c>
      <c r="M556" s="457">
        <f t="shared" si="225"/>
        <v>476.16</v>
      </c>
      <c r="N556" s="65">
        <f t="shared" si="226"/>
        <v>64.33507853403141</v>
      </c>
      <c r="O556" s="65"/>
      <c r="P556" s="65"/>
      <c r="Q556" s="65">
        <v>2016</v>
      </c>
      <c r="R556" s="65">
        <v>16</v>
      </c>
      <c r="S556" s="402" t="s">
        <v>857</v>
      </c>
      <c r="T556" s="128">
        <v>840</v>
      </c>
      <c r="U556" s="65">
        <v>2</v>
      </c>
      <c r="V556" s="65">
        <v>1064</v>
      </c>
      <c r="W556" s="65">
        <v>4</v>
      </c>
      <c r="X556" s="189">
        <v>74400</v>
      </c>
      <c r="Y556" s="262"/>
      <c r="Z556" s="141" t="str">
        <f t="shared" si="232"/>
        <v/>
      </c>
      <c r="AA556" s="371">
        <f t="shared" si="227"/>
        <v>236.1904761904762</v>
      </c>
      <c r="AB556" s="54">
        <f t="shared" si="228"/>
        <v>0.27969924812030078</v>
      </c>
      <c r="AC556" s="281">
        <f t="shared" si="229"/>
        <v>0.78947368421052633</v>
      </c>
      <c r="AD556" s="191">
        <f t="shared" si="230"/>
        <v>39.223295999999998</v>
      </c>
      <c r="AE556" s="208">
        <v>149.4</v>
      </c>
      <c r="AF556" s="198">
        <f t="shared" si="231"/>
        <v>61.702903225806445</v>
      </c>
    </row>
    <row r="557" spans="1:33" x14ac:dyDescent="0.2">
      <c r="A557" s="188" t="s">
        <v>189</v>
      </c>
      <c r="B557" s="17" t="s">
        <v>702</v>
      </c>
      <c r="C557" s="227"/>
      <c r="D557" s="213"/>
      <c r="E557" s="41" t="s">
        <v>829</v>
      </c>
      <c r="F557" s="524" t="s">
        <v>1145</v>
      </c>
      <c r="G557" s="525">
        <v>3383.75</v>
      </c>
      <c r="H557" s="128">
        <v>35</v>
      </c>
      <c r="I557" s="128">
        <v>320</v>
      </c>
      <c r="J557" s="26"/>
      <c r="K557" s="47"/>
      <c r="L557" s="456">
        <f t="shared" si="224"/>
        <v>157.44</v>
      </c>
      <c r="M557" s="457">
        <f t="shared" si="225"/>
        <v>251.904</v>
      </c>
      <c r="N557" s="65">
        <f t="shared" si="226"/>
        <v>74.445216106390845</v>
      </c>
      <c r="O557" s="65"/>
      <c r="P557" s="65"/>
      <c r="Q557" s="65">
        <v>576</v>
      </c>
      <c r="R557" s="65">
        <v>12</v>
      </c>
      <c r="S557" s="402" t="s">
        <v>859</v>
      </c>
      <c r="T557" s="128">
        <v>320</v>
      </c>
      <c r="U557" s="65">
        <v>4</v>
      </c>
      <c r="V557" s="65">
        <v>504</v>
      </c>
      <c r="W557" s="65">
        <v>4</v>
      </c>
      <c r="X557" s="189">
        <v>39360</v>
      </c>
      <c r="Y557" s="262"/>
      <c r="Z557" s="141" t="str">
        <f t="shared" si="232"/>
        <v/>
      </c>
      <c r="AA557" s="371">
        <f t="shared" si="227"/>
        <v>437.33333333333331</v>
      </c>
      <c r="AB557" s="391">
        <f t="shared" si="228"/>
        <v>0.31238095238095237</v>
      </c>
      <c r="AC557" s="216">
        <f t="shared" si="229"/>
        <v>0.63492063492063489</v>
      </c>
      <c r="AD557" s="394">
        <f t="shared" si="230"/>
        <v>18.579456</v>
      </c>
      <c r="AE557" s="197">
        <v>76.2</v>
      </c>
      <c r="AF557" s="198">
        <f t="shared" si="231"/>
        <v>60.997357723577238</v>
      </c>
    </row>
    <row r="558" spans="1:33" x14ac:dyDescent="0.2">
      <c r="A558" s="188" t="s">
        <v>189</v>
      </c>
      <c r="B558" s="17" t="s">
        <v>702</v>
      </c>
      <c r="C558" s="227"/>
      <c r="D558" s="213"/>
      <c r="E558" s="41" t="s">
        <v>830</v>
      </c>
      <c r="F558" s="143" t="s">
        <v>1146</v>
      </c>
      <c r="G558" s="43">
        <v>2760.38</v>
      </c>
      <c r="H558" s="128">
        <v>35</v>
      </c>
      <c r="I558" s="128">
        <v>440</v>
      </c>
      <c r="J558" s="389"/>
      <c r="K558" s="46"/>
      <c r="L558" s="456">
        <f t="shared" si="224"/>
        <v>158.4</v>
      </c>
      <c r="M558" s="457">
        <f t="shared" si="225"/>
        <v>253.44</v>
      </c>
      <c r="N558" s="65">
        <f t="shared" si="226"/>
        <v>91.813445974829548</v>
      </c>
      <c r="O558" s="65"/>
      <c r="P558" s="65"/>
      <c r="Q558" s="65">
        <v>576</v>
      </c>
      <c r="R558" s="65">
        <v>12</v>
      </c>
      <c r="S558" s="402" t="s">
        <v>860</v>
      </c>
      <c r="T558" s="128">
        <v>480</v>
      </c>
      <c r="U558" s="65">
        <v>2</v>
      </c>
      <c r="V558" s="65">
        <v>516</v>
      </c>
      <c r="W558" s="65">
        <v>4</v>
      </c>
      <c r="X558" s="189">
        <v>39600</v>
      </c>
      <c r="Y558" s="262"/>
      <c r="Z558" s="141" t="str">
        <f t="shared" si="232"/>
        <v/>
      </c>
      <c r="AA558" s="371">
        <f t="shared" si="227"/>
        <v>440</v>
      </c>
      <c r="AB558" s="392">
        <f t="shared" si="228"/>
        <v>0.30697674418604654</v>
      </c>
      <c r="AC558" s="216">
        <f t="shared" si="229"/>
        <v>0.93023255813953487</v>
      </c>
      <c r="AD558" s="394">
        <f t="shared" si="230"/>
        <v>19.021823999999999</v>
      </c>
      <c r="AE558" s="197">
        <v>76.2</v>
      </c>
      <c r="AF558" s="198">
        <f t="shared" si="231"/>
        <v>60.162222222222219</v>
      </c>
    </row>
    <row r="559" spans="1:33" x14ac:dyDescent="0.2">
      <c r="A559" s="188" t="s">
        <v>189</v>
      </c>
      <c r="B559" s="17" t="s">
        <v>702</v>
      </c>
      <c r="C559" s="227"/>
      <c r="D559" s="213"/>
      <c r="E559" s="41" t="s">
        <v>831</v>
      </c>
      <c r="F559" s="143" t="s">
        <v>1147</v>
      </c>
      <c r="G559" s="43">
        <v>5235</v>
      </c>
      <c r="H559" s="128">
        <v>45</v>
      </c>
      <c r="I559" s="128">
        <v>320</v>
      </c>
      <c r="J559" s="389"/>
      <c r="K559" s="46"/>
      <c r="L559" s="456">
        <f t="shared" si="224"/>
        <v>239.04</v>
      </c>
      <c r="M559" s="457">
        <f t="shared" si="225"/>
        <v>382.464</v>
      </c>
      <c r="N559" s="65">
        <f t="shared" si="226"/>
        <v>73.059025787965609</v>
      </c>
      <c r="O559" s="65"/>
      <c r="P559" s="65"/>
      <c r="Q559" s="65">
        <v>864</v>
      </c>
      <c r="R559" s="65">
        <v>18</v>
      </c>
      <c r="S559" s="402" t="s">
        <v>860</v>
      </c>
      <c r="T559" s="128">
        <v>720</v>
      </c>
      <c r="U559" s="65">
        <v>4</v>
      </c>
      <c r="V559" s="65">
        <v>768</v>
      </c>
      <c r="W559" s="65">
        <v>4</v>
      </c>
      <c r="X559" s="189">
        <v>59760</v>
      </c>
      <c r="Y559" s="262"/>
      <c r="Z559" s="141" t="str">
        <f t="shared" si="232"/>
        <v/>
      </c>
      <c r="AA559" s="371">
        <f t="shared" si="227"/>
        <v>442.66666666666669</v>
      </c>
      <c r="AB559" s="392">
        <f t="shared" si="228"/>
        <v>0.31124999999999997</v>
      </c>
      <c r="AC559" s="216">
        <f t="shared" si="229"/>
        <v>0.9375</v>
      </c>
      <c r="AD559" s="394">
        <f t="shared" si="230"/>
        <v>28.311551999999999</v>
      </c>
      <c r="AE559" s="197">
        <v>114.2</v>
      </c>
      <c r="AF559" s="198">
        <f t="shared" si="231"/>
        <v>59.884292726461403</v>
      </c>
      <c r="AG559" t="s">
        <v>861</v>
      </c>
    </row>
    <row r="560" spans="1:33" x14ac:dyDescent="0.2">
      <c r="A560" s="188" t="s">
        <v>189</v>
      </c>
      <c r="B560" s="17" t="s">
        <v>702</v>
      </c>
      <c r="C560" s="227"/>
      <c r="D560" s="213"/>
      <c r="E560" s="41" t="s">
        <v>832</v>
      </c>
      <c r="F560" s="143" t="s">
        <v>1148</v>
      </c>
      <c r="G560" s="43">
        <v>6947.5</v>
      </c>
      <c r="H560" s="128">
        <v>45</v>
      </c>
      <c r="I560" s="128">
        <v>720</v>
      </c>
      <c r="J560" s="389"/>
      <c r="K560" s="46"/>
      <c r="L560" s="456">
        <f t="shared" si="224"/>
        <v>234.24</v>
      </c>
      <c r="M560" s="457">
        <f t="shared" si="225"/>
        <v>374.78399999999999</v>
      </c>
      <c r="N560" s="65">
        <f t="shared" si="226"/>
        <v>53.945160129542998</v>
      </c>
      <c r="O560" s="65"/>
      <c r="P560" s="65"/>
      <c r="Q560" s="65">
        <v>864</v>
      </c>
      <c r="R560" s="65">
        <v>18</v>
      </c>
      <c r="S560" s="402" t="s">
        <v>860</v>
      </c>
      <c r="T560" s="128">
        <v>720</v>
      </c>
      <c r="U560" s="65">
        <v>4</v>
      </c>
      <c r="V560" s="65">
        <v>912</v>
      </c>
      <c r="W560" s="65">
        <v>4</v>
      </c>
      <c r="X560" s="189">
        <v>58560</v>
      </c>
      <c r="Y560" s="262"/>
      <c r="Z560" s="141" t="str">
        <f t="shared" si="232"/>
        <v/>
      </c>
      <c r="AA560" s="371">
        <f t="shared" si="227"/>
        <v>433.77777777777777</v>
      </c>
      <c r="AB560" s="392">
        <f t="shared" si="228"/>
        <v>0.25684210526315793</v>
      </c>
      <c r="AC560" s="216">
        <f t="shared" si="229"/>
        <v>0.78947368421052633</v>
      </c>
      <c r="AD560" s="394">
        <f t="shared" si="230"/>
        <v>33.619968</v>
      </c>
      <c r="AE560" s="197">
        <v>153.19999999999999</v>
      </c>
      <c r="AF560" s="198">
        <f t="shared" si="231"/>
        <v>85.083697632058289</v>
      </c>
      <c r="AG560" s="6" t="s">
        <v>862</v>
      </c>
    </row>
    <row r="561" spans="1:33" x14ac:dyDescent="0.2">
      <c r="A561" s="188" t="s">
        <v>189</v>
      </c>
      <c r="B561" s="17" t="s">
        <v>702</v>
      </c>
      <c r="C561" s="227"/>
      <c r="D561" s="213"/>
      <c r="E561" s="36" t="s">
        <v>968</v>
      </c>
      <c r="F561" s="440" t="s">
        <v>1143</v>
      </c>
      <c r="G561" s="38">
        <v>425</v>
      </c>
      <c r="H561" s="129">
        <v>23</v>
      </c>
      <c r="I561" s="129">
        <v>240</v>
      </c>
      <c r="J561" s="389"/>
      <c r="K561" s="46"/>
      <c r="L561" s="456">
        <f t="shared" si="224"/>
        <v>46.56</v>
      </c>
      <c r="M561" s="457">
        <f t="shared" si="225"/>
        <v>74.495999999999995</v>
      </c>
      <c r="N561" s="65">
        <f t="shared" si="226"/>
        <v>175.28470588235294</v>
      </c>
      <c r="O561" s="71"/>
      <c r="P561" s="70"/>
      <c r="Q561" s="71">
        <v>288</v>
      </c>
      <c r="R561" s="71">
        <v>6</v>
      </c>
      <c r="S561" s="441" t="s">
        <v>972</v>
      </c>
      <c r="T561" s="129">
        <v>360</v>
      </c>
      <c r="U561" s="71">
        <v>1</v>
      </c>
      <c r="V561" s="71">
        <v>156</v>
      </c>
      <c r="W561" s="71">
        <v>1</v>
      </c>
      <c r="X561" s="442">
        <v>11640</v>
      </c>
      <c r="Y561" s="444"/>
      <c r="Z561" s="172"/>
      <c r="AA561" s="371">
        <f t="shared" si="227"/>
        <v>258.66666666666669</v>
      </c>
      <c r="AB561" s="392"/>
      <c r="AC561" s="216">
        <f t="shared" si="229"/>
        <v>2.3076923076923075</v>
      </c>
      <c r="AD561" s="191">
        <f t="shared" si="230"/>
        <v>5.7507840000000003</v>
      </c>
      <c r="AE561" s="443">
        <v>25</v>
      </c>
      <c r="AF561" s="198">
        <f t="shared" si="231"/>
        <v>68.904696449026346</v>
      </c>
    </row>
    <row r="562" spans="1:33" x14ac:dyDescent="0.2">
      <c r="A562" s="188" t="s">
        <v>189</v>
      </c>
      <c r="B562" s="17" t="s">
        <v>702</v>
      </c>
      <c r="C562" s="227"/>
      <c r="D562" s="213"/>
      <c r="E562" s="36" t="s">
        <v>969</v>
      </c>
      <c r="F562" s="440" t="s">
        <v>1143</v>
      </c>
      <c r="G562" s="38">
        <v>615</v>
      </c>
      <c r="H562" s="129">
        <v>23</v>
      </c>
      <c r="I562" s="129">
        <v>240</v>
      </c>
      <c r="J562" s="389"/>
      <c r="K562" s="46"/>
      <c r="L562" s="456">
        <f t="shared" si="224"/>
        <v>80</v>
      </c>
      <c r="M562" s="457">
        <f t="shared" si="225"/>
        <v>128</v>
      </c>
      <c r="N562" s="65">
        <f t="shared" si="226"/>
        <v>208.130081300813</v>
      </c>
      <c r="O562" s="71"/>
      <c r="P562" s="70"/>
      <c r="Q562" s="71">
        <v>480</v>
      </c>
      <c r="R562" s="71">
        <v>10</v>
      </c>
      <c r="S562" s="441" t="s">
        <v>973</v>
      </c>
      <c r="T562" s="129">
        <v>600</v>
      </c>
      <c r="U562" s="71">
        <v>2</v>
      </c>
      <c r="V562" s="71">
        <v>264</v>
      </c>
      <c r="W562" s="71">
        <v>1</v>
      </c>
      <c r="X562" s="442">
        <v>20000</v>
      </c>
      <c r="Y562" s="444"/>
      <c r="Z562" s="172"/>
      <c r="AA562" s="371">
        <f t="shared" si="227"/>
        <v>266.66666666666669</v>
      </c>
      <c r="AB562" s="392"/>
      <c r="AC562" s="216">
        <f t="shared" si="229"/>
        <v>2.2727272727272729</v>
      </c>
      <c r="AD562" s="191">
        <f t="shared" si="230"/>
        <v>9.7320960000000003</v>
      </c>
      <c r="AE562" s="443">
        <v>41.7</v>
      </c>
      <c r="AF562" s="198">
        <f t="shared" si="231"/>
        <v>66.599800000000002</v>
      </c>
    </row>
    <row r="563" spans="1:33" x14ac:dyDescent="0.2">
      <c r="A563" s="188" t="s">
        <v>189</v>
      </c>
      <c r="B563" s="17" t="s">
        <v>702</v>
      </c>
      <c r="C563" s="227"/>
      <c r="D563" s="213"/>
      <c r="E563" s="36" t="s">
        <v>970</v>
      </c>
      <c r="F563" s="440" t="s">
        <v>1144</v>
      </c>
      <c r="G563" s="38">
        <v>958.75</v>
      </c>
      <c r="H563" s="129">
        <v>29</v>
      </c>
      <c r="I563" s="129">
        <v>400</v>
      </c>
      <c r="J563" s="389"/>
      <c r="K563" s="46"/>
      <c r="L563" s="456">
        <f t="shared" si="224"/>
        <v>124.8</v>
      </c>
      <c r="M563" s="457">
        <f t="shared" si="225"/>
        <v>199.68</v>
      </c>
      <c r="N563" s="65">
        <f t="shared" si="226"/>
        <v>208.27118644067798</v>
      </c>
      <c r="O563" s="71"/>
      <c r="P563" s="70"/>
      <c r="Q563" s="71">
        <v>640</v>
      </c>
      <c r="R563" s="71">
        <v>10</v>
      </c>
      <c r="S563" s="441" t="s">
        <v>973</v>
      </c>
      <c r="T563" s="129">
        <v>600</v>
      </c>
      <c r="U563" s="71">
        <v>2</v>
      </c>
      <c r="V563" s="71">
        <v>344</v>
      </c>
      <c r="W563" s="71">
        <v>1</v>
      </c>
      <c r="X563" s="442">
        <v>31200</v>
      </c>
      <c r="Y563" s="444"/>
      <c r="Z563" s="172"/>
      <c r="AA563" s="371">
        <f t="shared" si="227"/>
        <v>312</v>
      </c>
      <c r="AB563" s="392"/>
      <c r="AC563" s="216">
        <f t="shared" si="229"/>
        <v>1.7441860465116279</v>
      </c>
      <c r="AD563" s="191">
        <f t="shared" si="230"/>
        <v>12.681215999999999</v>
      </c>
      <c r="AE563" s="443">
        <v>58.7</v>
      </c>
      <c r="AF563" s="198">
        <f t="shared" si="231"/>
        <v>61.456709401709404</v>
      </c>
    </row>
    <row r="564" spans="1:33" ht="13.5" thickBot="1" x14ac:dyDescent="0.25">
      <c r="A564" s="188" t="s">
        <v>189</v>
      </c>
      <c r="B564" s="21" t="s">
        <v>702</v>
      </c>
      <c r="C564" s="228"/>
      <c r="D564" s="214"/>
      <c r="E564" s="36" t="s">
        <v>971</v>
      </c>
      <c r="F564" s="440" t="s">
        <v>872</v>
      </c>
      <c r="G564" s="38">
        <v>1176.25</v>
      </c>
      <c r="H564" s="129">
        <v>29</v>
      </c>
      <c r="I564" s="129">
        <v>400</v>
      </c>
      <c r="J564" s="389"/>
      <c r="K564" s="46"/>
      <c r="L564" s="456">
        <f t="shared" si="224"/>
        <v>150.72</v>
      </c>
      <c r="M564" s="457">
        <f t="shared" si="225"/>
        <v>241.15199999999999</v>
      </c>
      <c r="N564" s="65">
        <f t="shared" si="226"/>
        <v>205.01764080765145</v>
      </c>
      <c r="O564" s="71"/>
      <c r="P564" s="70"/>
      <c r="Q564" s="71">
        <v>768</v>
      </c>
      <c r="R564" s="71">
        <v>12</v>
      </c>
      <c r="S564" s="441" t="s">
        <v>973</v>
      </c>
      <c r="T564" s="129">
        <v>600</v>
      </c>
      <c r="U564" s="71">
        <v>2</v>
      </c>
      <c r="V564" s="71">
        <v>416</v>
      </c>
      <c r="W564" s="71">
        <v>1</v>
      </c>
      <c r="X564" s="442">
        <v>37680</v>
      </c>
      <c r="Y564" s="445"/>
      <c r="Z564" s="279"/>
      <c r="AA564" s="371">
        <f t="shared" si="227"/>
        <v>314</v>
      </c>
      <c r="AB564" s="392"/>
      <c r="AC564" s="216">
        <f t="shared" si="229"/>
        <v>1.4423076923076923</v>
      </c>
      <c r="AD564" s="192">
        <f t="shared" si="230"/>
        <v>15.335424</v>
      </c>
      <c r="AE564" s="443">
        <v>70.400000000000006</v>
      </c>
      <c r="AF564" s="198">
        <f t="shared" si="231"/>
        <v>60.890587402689313</v>
      </c>
    </row>
    <row r="565" spans="1:33" x14ac:dyDescent="0.2">
      <c r="A565" s="182"/>
      <c r="B565" s="48" t="s">
        <v>715</v>
      </c>
      <c r="C565" s="226"/>
      <c r="D565" s="212"/>
      <c r="E565" s="12" t="s">
        <v>664</v>
      </c>
      <c r="F565" s="466" t="s">
        <v>1019</v>
      </c>
      <c r="G565" s="14" t="s">
        <v>22</v>
      </c>
      <c r="H565" s="40" t="s">
        <v>531</v>
      </c>
      <c r="I565" s="123"/>
      <c r="J565" s="15"/>
      <c r="K565" s="16" t="s">
        <v>22</v>
      </c>
      <c r="L565" s="248" t="s">
        <v>665</v>
      </c>
      <c r="M565" s="383" t="s">
        <v>696</v>
      </c>
      <c r="N565" s="380">
        <f>AVERAGE(N566:N578)</f>
        <v>733.56589873010466</v>
      </c>
      <c r="O565" s="382">
        <f>AVERAGE(O567:O573)</f>
        <v>0.49916158238721181</v>
      </c>
      <c r="P565" s="60"/>
      <c r="Q565" s="399" t="s">
        <v>1737</v>
      </c>
      <c r="R565" s="61"/>
      <c r="S565" s="61" t="s">
        <v>833</v>
      </c>
      <c r="T565" s="61"/>
      <c r="U565" s="61" t="s">
        <v>634</v>
      </c>
      <c r="V565" s="490" t="s">
        <v>677</v>
      </c>
      <c r="W565" s="61"/>
      <c r="X565" s="109" t="s">
        <v>188</v>
      </c>
      <c r="Y565" s="80" t="s">
        <v>695</v>
      </c>
      <c r="Z565" s="206"/>
      <c r="AA565" s="370">
        <f>AVERAGE(AA566:AA578)</f>
        <v>663.76191516613119</v>
      </c>
      <c r="AB565" s="92">
        <f>AVERAGE(AB567:AB573)</f>
        <v>0.2630538154289665</v>
      </c>
      <c r="AC565" s="98">
        <f>AVERAGE(AC566:AC578)</f>
        <v>4.2885623013558076</v>
      </c>
      <c r="AD565" s="109" t="s">
        <v>650</v>
      </c>
      <c r="AE565" s="207"/>
      <c r="AF565" s="196">
        <f>AVERAGE(AF566:AF578)</f>
        <v>66.955288821320124</v>
      </c>
      <c r="AG565" t="s">
        <v>261</v>
      </c>
    </row>
    <row r="566" spans="1:33" x14ac:dyDescent="0.2">
      <c r="A566" s="188" t="s">
        <v>189</v>
      </c>
      <c r="B566" s="17" t="s">
        <v>702</v>
      </c>
      <c r="C566" s="227"/>
      <c r="D566" s="213"/>
      <c r="E566" s="910" t="s">
        <v>666</v>
      </c>
      <c r="F566" s="143" t="s">
        <v>867</v>
      </c>
      <c r="G566" s="43">
        <v>10.81</v>
      </c>
      <c r="H566" s="128">
        <v>8</v>
      </c>
      <c r="I566" s="128">
        <v>100</v>
      </c>
      <c r="J566" s="18"/>
      <c r="K566" s="44"/>
      <c r="L566" s="456">
        <f t="shared" ref="L566:L578" si="233">4*X566/1000</f>
        <v>2.4</v>
      </c>
      <c r="M566" s="457">
        <f t="shared" ref="M566:M578" si="234">6.4*X566/1000</f>
        <v>3.84</v>
      </c>
      <c r="N566" s="65">
        <f t="shared" ref="N566:N578" si="235">IF(AND(G566&lt;&gt;"",M566&lt;&gt;""),1000*M566/G566,"")</f>
        <v>355.22664199814983</v>
      </c>
      <c r="O566" s="65"/>
      <c r="P566" s="65"/>
      <c r="Q566" s="65">
        <v>4</v>
      </c>
      <c r="R566" s="65">
        <v>1</v>
      </c>
      <c r="S566" s="65"/>
      <c r="T566" s="65">
        <v>120</v>
      </c>
      <c r="U566" s="65"/>
      <c r="V566" s="65">
        <v>8</v>
      </c>
      <c r="W566" s="65"/>
      <c r="X566" s="115">
        <v>600</v>
      </c>
      <c r="Y566" s="87">
        <v>3</v>
      </c>
      <c r="Z566" s="141">
        <f>IF(AND(L566&lt;&gt;"",Y566&lt;&gt;""),1000*L566/Y566,"")</f>
        <v>800</v>
      </c>
      <c r="AA566" s="371">
        <f t="shared" ref="AA566:AA578" si="236">1000*M566/Q566</f>
        <v>960</v>
      </c>
      <c r="AB566" s="54">
        <f t="shared" ref="AB566:AB578" si="237">L566/V566</f>
        <v>0.3</v>
      </c>
      <c r="AC566" s="99">
        <f t="shared" ref="AC566:AC578" si="238">T566/V566</f>
        <v>15</v>
      </c>
      <c r="AD566" s="191">
        <f t="shared" ref="AD566:AD578" si="239">256*72*V566/1000000</f>
        <v>0.147456</v>
      </c>
      <c r="AE566" s="208">
        <v>2.7</v>
      </c>
      <c r="AF566" s="198">
        <f t="shared" ref="AF566:AF578" si="240">(AE566*1000000-V566*36*512)/(6000*L566)</f>
        <v>177.26</v>
      </c>
      <c r="AG566" s="6" t="s">
        <v>678</v>
      </c>
    </row>
    <row r="567" spans="1:33" x14ac:dyDescent="0.2">
      <c r="A567" s="188" t="s">
        <v>189</v>
      </c>
      <c r="B567" s="17" t="s">
        <v>702</v>
      </c>
      <c r="C567" s="227"/>
      <c r="D567" s="213"/>
      <c r="E567" s="910" t="s">
        <v>667</v>
      </c>
      <c r="F567" s="143" t="s">
        <v>1106</v>
      </c>
      <c r="G567" s="43">
        <v>14.75</v>
      </c>
      <c r="H567" s="128">
        <v>8</v>
      </c>
      <c r="I567" s="128">
        <v>100</v>
      </c>
      <c r="J567" s="18"/>
      <c r="K567" s="44"/>
      <c r="L567" s="456">
        <f t="shared" si="233"/>
        <v>5.72</v>
      </c>
      <c r="M567" s="457">
        <f t="shared" si="234"/>
        <v>9.1519999999999992</v>
      </c>
      <c r="N567" s="65">
        <f t="shared" si="235"/>
        <v>620.47457627118649</v>
      </c>
      <c r="O567" s="65"/>
      <c r="P567" s="65"/>
      <c r="Q567" s="65">
        <v>16</v>
      </c>
      <c r="R567" s="65">
        <v>2</v>
      </c>
      <c r="S567" s="65"/>
      <c r="T567" s="65">
        <v>200</v>
      </c>
      <c r="U567" s="65"/>
      <c r="V567" s="65">
        <v>32</v>
      </c>
      <c r="W567" s="65"/>
      <c r="X567" s="115">
        <v>1430</v>
      </c>
      <c r="Y567" s="87"/>
      <c r="Z567" s="141" t="str">
        <f t="shared" ref="Z567:Z578" si="241">IF(AND(L567&lt;&gt;"",Y567&lt;&gt;""),L567/Y567,"")</f>
        <v/>
      </c>
      <c r="AA567" s="371">
        <f t="shared" si="236"/>
        <v>572</v>
      </c>
      <c r="AB567" s="54">
        <f t="shared" si="237"/>
        <v>0.17874999999999999</v>
      </c>
      <c r="AC567" s="99">
        <f t="shared" si="238"/>
        <v>6.25</v>
      </c>
      <c r="AD567" s="191">
        <f t="shared" si="239"/>
        <v>0.58982400000000001</v>
      </c>
      <c r="AE567" s="208">
        <v>2.7</v>
      </c>
      <c r="AF567" s="198">
        <f t="shared" si="240"/>
        <v>61.485314685314684</v>
      </c>
      <c r="AG567" s="6" t="s">
        <v>679</v>
      </c>
    </row>
    <row r="568" spans="1:33" x14ac:dyDescent="0.2">
      <c r="A568" s="188" t="s">
        <v>189</v>
      </c>
      <c r="B568" s="17" t="s">
        <v>702</v>
      </c>
      <c r="C568" s="227"/>
      <c r="D568" s="213"/>
      <c r="E568" s="910" t="s">
        <v>668</v>
      </c>
      <c r="F568" s="143" t="s">
        <v>870</v>
      </c>
      <c r="G568" s="43">
        <v>20.94</v>
      </c>
      <c r="H568" s="128">
        <v>8</v>
      </c>
      <c r="I568" s="128">
        <v>180</v>
      </c>
      <c r="J568" s="18"/>
      <c r="K568" s="44"/>
      <c r="L568" s="456">
        <f t="shared" si="233"/>
        <v>9.1120000000000001</v>
      </c>
      <c r="M568" s="457">
        <f t="shared" si="234"/>
        <v>14.5792</v>
      </c>
      <c r="N568" s="65">
        <f t="shared" si="235"/>
        <v>696.23686723973253</v>
      </c>
      <c r="O568" s="65">
        <f>IF(AND(G568&lt;&gt;"",L568&lt;&gt;""),L568/G568,"")</f>
        <v>0.43514804202483282</v>
      </c>
      <c r="P568" s="65"/>
      <c r="Q568" s="65">
        <v>32</v>
      </c>
      <c r="R568" s="65">
        <v>2</v>
      </c>
      <c r="S568" s="65"/>
      <c r="T568" s="65">
        <v>232</v>
      </c>
      <c r="U568" s="65"/>
      <c r="V568" s="65">
        <v>32</v>
      </c>
      <c r="W568" s="65"/>
      <c r="X568" s="115">
        <v>2278</v>
      </c>
      <c r="Y568" s="87"/>
      <c r="Z568" s="141" t="str">
        <f t="shared" si="241"/>
        <v/>
      </c>
      <c r="AA568" s="371">
        <f t="shared" si="236"/>
        <v>455.6</v>
      </c>
      <c r="AB568" s="54">
        <f t="shared" si="237"/>
        <v>0.28475</v>
      </c>
      <c r="AC568" s="99">
        <f t="shared" si="238"/>
        <v>7.25</v>
      </c>
      <c r="AD568" s="191">
        <f t="shared" si="239"/>
        <v>0.58982400000000001</v>
      </c>
      <c r="AE568" s="208">
        <v>3.7</v>
      </c>
      <c r="AF568" s="198">
        <f t="shared" si="240"/>
        <v>56.887913374304944</v>
      </c>
    </row>
    <row r="569" spans="1:33" x14ac:dyDescent="0.2">
      <c r="A569" s="188" t="s">
        <v>189</v>
      </c>
      <c r="B569" s="17" t="s">
        <v>702</v>
      </c>
      <c r="C569" s="227"/>
      <c r="D569" s="213"/>
      <c r="E569" s="910" t="s">
        <v>669</v>
      </c>
      <c r="F569" s="143" t="s">
        <v>1107</v>
      </c>
      <c r="G569" s="43">
        <v>32.19</v>
      </c>
      <c r="H569" s="128">
        <v>15</v>
      </c>
      <c r="I569" s="128">
        <v>180</v>
      </c>
      <c r="J569" s="18"/>
      <c r="K569" s="44"/>
      <c r="L569" s="456">
        <f t="shared" si="233"/>
        <v>15</v>
      </c>
      <c r="M569" s="457">
        <f t="shared" si="234"/>
        <v>24</v>
      </c>
      <c r="N569" s="65">
        <f t="shared" si="235"/>
        <v>745.57315936626287</v>
      </c>
      <c r="O569" s="65"/>
      <c r="P569" s="65"/>
      <c r="Q569" s="65">
        <v>38</v>
      </c>
      <c r="R569" s="65">
        <v>2</v>
      </c>
      <c r="S569" s="65"/>
      <c r="T569" s="65">
        <v>264</v>
      </c>
      <c r="U569" s="65"/>
      <c r="V569" s="65">
        <v>52</v>
      </c>
      <c r="W569" s="65"/>
      <c r="X569" s="115">
        <v>3750</v>
      </c>
      <c r="Y569" s="87"/>
      <c r="Z569" s="141" t="str">
        <f t="shared" si="241"/>
        <v/>
      </c>
      <c r="AA569" s="371">
        <f t="shared" si="236"/>
        <v>631.57894736842104</v>
      </c>
      <c r="AB569" s="54">
        <f t="shared" si="237"/>
        <v>0.28846153846153844</v>
      </c>
      <c r="AC569" s="99">
        <f t="shared" si="238"/>
        <v>5.0769230769230766</v>
      </c>
      <c r="AD569" s="191">
        <f t="shared" si="239"/>
        <v>0.95846399999999998</v>
      </c>
      <c r="AE569" s="208">
        <v>6.4</v>
      </c>
      <c r="AF569" s="198">
        <f t="shared" si="240"/>
        <v>60.461511111111108</v>
      </c>
    </row>
    <row r="570" spans="1:33" x14ac:dyDescent="0.2">
      <c r="A570" s="188" t="s">
        <v>189</v>
      </c>
      <c r="B570" s="17" t="s">
        <v>702</v>
      </c>
      <c r="C570" s="227"/>
      <c r="D570" s="213"/>
      <c r="E570" s="910" t="s">
        <v>670</v>
      </c>
      <c r="F570" s="143" t="s">
        <v>868</v>
      </c>
      <c r="G570" s="43">
        <v>48.88</v>
      </c>
      <c r="H570" s="128">
        <v>15</v>
      </c>
      <c r="I570" s="128">
        <v>354</v>
      </c>
      <c r="J570" s="18"/>
      <c r="K570" s="44"/>
      <c r="L570" s="456">
        <f t="shared" si="233"/>
        <v>27.527999999999999</v>
      </c>
      <c r="M570" s="457">
        <f t="shared" si="234"/>
        <v>44.044800000000002</v>
      </c>
      <c r="N570" s="65">
        <f t="shared" si="235"/>
        <v>901.08019639934537</v>
      </c>
      <c r="O570" s="65">
        <f>IF(AND(G570&lt;&gt;"",L570&lt;&gt;""),L570/G570,"")</f>
        <v>0.56317512274959081</v>
      </c>
      <c r="P570" s="65"/>
      <c r="Q570" s="65">
        <v>58</v>
      </c>
      <c r="R570" s="65">
        <v>4</v>
      </c>
      <c r="S570" s="65"/>
      <c r="T570" s="65">
        <v>370</v>
      </c>
      <c r="U570" s="65"/>
      <c r="V570" s="65">
        <v>116</v>
      </c>
      <c r="W570" s="65"/>
      <c r="X570" s="115">
        <v>6882</v>
      </c>
      <c r="Y570" s="87"/>
      <c r="Z570" s="141" t="str">
        <f t="shared" si="241"/>
        <v/>
      </c>
      <c r="AA570" s="371">
        <f t="shared" si="236"/>
        <v>759.39310344827595</v>
      </c>
      <c r="AB570" s="54">
        <f t="shared" si="237"/>
        <v>0.2373103448275862</v>
      </c>
      <c r="AC570" s="99">
        <f t="shared" si="238"/>
        <v>3.1896551724137931</v>
      </c>
      <c r="AD570" s="191">
        <f t="shared" si="239"/>
        <v>2.138112</v>
      </c>
      <c r="AE570" s="208">
        <v>11.9</v>
      </c>
      <c r="AF570" s="198">
        <f t="shared" si="240"/>
        <v>59.102780199554395</v>
      </c>
    </row>
    <row r="571" spans="1:33" x14ac:dyDescent="0.2">
      <c r="A571" s="188" t="s">
        <v>189</v>
      </c>
      <c r="B571" s="17" t="s">
        <v>702</v>
      </c>
      <c r="C571" s="227" t="s">
        <v>697</v>
      </c>
      <c r="D571" s="213" t="s">
        <v>704</v>
      </c>
      <c r="E571" s="910" t="s">
        <v>869</v>
      </c>
      <c r="F571" s="143" t="s">
        <v>866</v>
      </c>
      <c r="G571" s="43">
        <v>88.88</v>
      </c>
      <c r="H571" s="128">
        <v>19</v>
      </c>
      <c r="I571" s="128">
        <v>290</v>
      </c>
      <c r="J571" s="18"/>
      <c r="K571" s="44"/>
      <c r="L571" s="456">
        <f t="shared" si="233"/>
        <v>46.648000000000003</v>
      </c>
      <c r="M571" s="457">
        <f t="shared" si="234"/>
        <v>74.636800000000008</v>
      </c>
      <c r="N571" s="65">
        <f t="shared" si="235"/>
        <v>839.74797479747986</v>
      </c>
      <c r="O571" s="65"/>
      <c r="P571" s="65"/>
      <c r="Q571" s="65">
        <v>132</v>
      </c>
      <c r="R571" s="65">
        <v>6</v>
      </c>
      <c r="S571" s="65"/>
      <c r="T571" s="65">
        <v>348</v>
      </c>
      <c r="U571" s="65"/>
      <c r="V571" s="65">
        <v>172</v>
      </c>
      <c r="W571" s="65"/>
      <c r="X571" s="115">
        <v>11662</v>
      </c>
      <c r="Y571" s="87"/>
      <c r="Z571" s="141" t="str">
        <f t="shared" si="241"/>
        <v/>
      </c>
      <c r="AA571" s="371">
        <f t="shared" si="236"/>
        <v>565.43030303030309</v>
      </c>
      <c r="AB571" s="54">
        <f t="shared" si="237"/>
        <v>0.27120930232558144</v>
      </c>
      <c r="AC571" s="99">
        <f t="shared" si="238"/>
        <v>2.0232558139534884</v>
      </c>
      <c r="AD571" s="191">
        <f t="shared" si="239"/>
        <v>3.1703039999999998</v>
      </c>
      <c r="AE571" s="208">
        <v>19.600000000000001</v>
      </c>
      <c r="AF571" s="198">
        <f t="shared" si="240"/>
        <v>58.700966100726006</v>
      </c>
    </row>
    <row r="572" spans="1:33" x14ac:dyDescent="0.2">
      <c r="A572" s="188" t="s">
        <v>189</v>
      </c>
      <c r="B572" s="17" t="s">
        <v>702</v>
      </c>
      <c r="C572" s="227"/>
      <c r="D572" s="213"/>
      <c r="E572" s="910" t="s">
        <v>671</v>
      </c>
      <c r="F572" s="143" t="s">
        <v>865</v>
      </c>
      <c r="G572" s="43">
        <v>110.75</v>
      </c>
      <c r="H572" s="128">
        <v>19</v>
      </c>
      <c r="I572" s="128">
        <v>354</v>
      </c>
      <c r="J572" s="18"/>
      <c r="K572" s="44"/>
      <c r="L572" s="456">
        <f t="shared" si="233"/>
        <v>63.527999999999999</v>
      </c>
      <c r="M572" s="457">
        <f t="shared" si="234"/>
        <v>101.6448</v>
      </c>
      <c r="N572" s="65">
        <f t="shared" si="235"/>
        <v>917.78600451467275</v>
      </c>
      <c r="O572" s="65"/>
      <c r="P572" s="65"/>
      <c r="Q572" s="65">
        <v>182</v>
      </c>
      <c r="R572" s="65">
        <v>6</v>
      </c>
      <c r="S572" s="65"/>
      <c r="T572" s="65">
        <v>498</v>
      </c>
      <c r="U572" s="65"/>
      <c r="V572" s="65">
        <v>268</v>
      </c>
      <c r="W572" s="65"/>
      <c r="X572" s="115">
        <v>15882</v>
      </c>
      <c r="Y572" s="87"/>
      <c r="Z572" s="141" t="str">
        <f t="shared" si="241"/>
        <v/>
      </c>
      <c r="AA572" s="371">
        <f t="shared" si="236"/>
        <v>558.48791208791215</v>
      </c>
      <c r="AB572" s="54">
        <f t="shared" si="237"/>
        <v>0.23704477611940297</v>
      </c>
      <c r="AC572" s="99">
        <f t="shared" si="238"/>
        <v>1.8582089552238805</v>
      </c>
      <c r="AD572" s="191">
        <f t="shared" si="239"/>
        <v>4.9397760000000002</v>
      </c>
      <c r="AE572" s="208">
        <v>26.5</v>
      </c>
      <c r="AF572" s="198">
        <f t="shared" si="240"/>
        <v>56.563573017671999</v>
      </c>
    </row>
    <row r="573" spans="1:33" x14ac:dyDescent="0.2">
      <c r="A573" s="188" t="s">
        <v>189</v>
      </c>
      <c r="B573" s="17" t="s">
        <v>702</v>
      </c>
      <c r="C573" s="227" t="s">
        <v>697</v>
      </c>
      <c r="D573" s="213" t="s">
        <v>704</v>
      </c>
      <c r="E573" s="910" t="s">
        <v>672</v>
      </c>
      <c r="F573" s="143" t="s">
        <v>865</v>
      </c>
      <c r="G573" s="43">
        <v>158.75</v>
      </c>
      <c r="H573" s="128">
        <v>19</v>
      </c>
      <c r="I573" s="128">
        <v>345</v>
      </c>
      <c r="J573" s="18"/>
      <c r="K573" s="44"/>
      <c r="L573" s="456">
        <f t="shared" si="233"/>
        <v>92.152000000000001</v>
      </c>
      <c r="M573" s="457">
        <f t="shared" si="234"/>
        <v>147.44320000000002</v>
      </c>
      <c r="N573" s="65">
        <f t="shared" si="235"/>
        <v>928.77606299212607</v>
      </c>
      <c r="O573" s="65"/>
      <c r="P573" s="65"/>
      <c r="Q573" s="65">
        <v>182</v>
      </c>
      <c r="R573" s="65">
        <v>6</v>
      </c>
      <c r="S573" s="65"/>
      <c r="T573" s="65">
        <v>498</v>
      </c>
      <c r="U573" s="65"/>
      <c r="V573" s="65">
        <v>268</v>
      </c>
      <c r="W573" s="65"/>
      <c r="X573" s="115">
        <v>23038</v>
      </c>
      <c r="Y573" s="87"/>
      <c r="Z573" s="141" t="str">
        <f t="shared" si="241"/>
        <v/>
      </c>
      <c r="AA573" s="371">
        <f t="shared" si="236"/>
        <v>810.12747252747261</v>
      </c>
      <c r="AB573" s="54">
        <f t="shared" si="237"/>
        <v>0.34385074626865669</v>
      </c>
      <c r="AC573" s="99">
        <f t="shared" si="238"/>
        <v>1.8582089552238805</v>
      </c>
      <c r="AD573" s="191">
        <f t="shared" si="239"/>
        <v>4.9397760000000002</v>
      </c>
      <c r="AE573" s="208">
        <v>33.799999999999997</v>
      </c>
      <c r="AF573" s="198">
        <f t="shared" si="240"/>
        <v>52.196776340538818</v>
      </c>
    </row>
    <row r="574" spans="1:33" x14ac:dyDescent="0.2">
      <c r="A574" s="188" t="s">
        <v>871</v>
      </c>
      <c r="B574" s="17" t="s">
        <v>702</v>
      </c>
      <c r="C574" s="227"/>
      <c r="D574" s="213"/>
      <c r="E574" s="910" t="s">
        <v>673</v>
      </c>
      <c r="F574" s="143" t="s">
        <v>868</v>
      </c>
      <c r="G574" s="43">
        <v>45.44</v>
      </c>
      <c r="H574" s="128">
        <v>15</v>
      </c>
      <c r="I574" s="128">
        <v>174</v>
      </c>
      <c r="J574" s="18"/>
      <c r="K574" s="44"/>
      <c r="L574" s="456">
        <f t="shared" si="233"/>
        <v>15</v>
      </c>
      <c r="M574" s="457">
        <f t="shared" si="234"/>
        <v>24</v>
      </c>
      <c r="N574" s="65">
        <f t="shared" si="235"/>
        <v>528.16901408450713</v>
      </c>
      <c r="O574" s="65"/>
      <c r="P574" s="65"/>
      <c r="Q574" s="65">
        <v>38</v>
      </c>
      <c r="R574" s="65">
        <v>2</v>
      </c>
      <c r="S574" s="65">
        <v>2</v>
      </c>
      <c r="T574" s="65">
        <v>264</v>
      </c>
      <c r="U574" s="65">
        <v>1</v>
      </c>
      <c r="V574" s="65">
        <v>52</v>
      </c>
      <c r="W574" s="65"/>
      <c r="X574" s="115">
        <v>3750</v>
      </c>
      <c r="Y574" s="87"/>
      <c r="Z574" s="141" t="str">
        <f t="shared" si="241"/>
        <v/>
      </c>
      <c r="AA574" s="371">
        <f t="shared" si="236"/>
        <v>631.57894736842104</v>
      </c>
      <c r="AB574" s="54">
        <f t="shared" si="237"/>
        <v>0.28846153846153844</v>
      </c>
      <c r="AC574" s="99">
        <f t="shared" si="238"/>
        <v>5.0769230769230766</v>
      </c>
      <c r="AD574" s="191">
        <f t="shared" si="239"/>
        <v>0.95846399999999998</v>
      </c>
      <c r="AE574" s="208">
        <v>6.4</v>
      </c>
      <c r="AF574" s="198">
        <f t="shared" si="240"/>
        <v>60.461511111111108</v>
      </c>
    </row>
    <row r="575" spans="1:33" x14ac:dyDescent="0.2">
      <c r="A575" s="188" t="s">
        <v>189</v>
      </c>
      <c r="B575" s="17" t="s">
        <v>702</v>
      </c>
      <c r="C575" s="227"/>
      <c r="D575" s="213"/>
      <c r="E575" s="910" t="s">
        <v>674</v>
      </c>
      <c r="F575" s="143" t="s">
        <v>868</v>
      </c>
      <c r="G575" s="43">
        <v>62.69</v>
      </c>
      <c r="H575" s="128">
        <v>15</v>
      </c>
      <c r="I575" s="128">
        <v>174</v>
      </c>
      <c r="J575" s="18"/>
      <c r="K575" s="44"/>
      <c r="L575" s="456">
        <f t="shared" si="233"/>
        <v>27.288</v>
      </c>
      <c r="M575" s="457">
        <f t="shared" si="234"/>
        <v>43.660800000000002</v>
      </c>
      <c r="N575" s="65">
        <f t="shared" si="235"/>
        <v>696.45557505184252</v>
      </c>
      <c r="O575" s="65"/>
      <c r="P575" s="65"/>
      <c r="Q575" s="65">
        <v>58</v>
      </c>
      <c r="R575" s="65">
        <v>4</v>
      </c>
      <c r="S575" s="65">
        <v>4</v>
      </c>
      <c r="T575" s="65">
        <v>370</v>
      </c>
      <c r="U575" s="65">
        <v>1</v>
      </c>
      <c r="V575" s="65">
        <v>116</v>
      </c>
      <c r="W575" s="65"/>
      <c r="X575" s="115">
        <v>6822</v>
      </c>
      <c r="Y575" s="87"/>
      <c r="Z575" s="141" t="str">
        <f t="shared" si="241"/>
        <v/>
      </c>
      <c r="AA575" s="371">
        <f t="shared" si="236"/>
        <v>752.77241379310351</v>
      </c>
      <c r="AB575" s="54">
        <f t="shared" si="237"/>
        <v>0.23524137931034483</v>
      </c>
      <c r="AC575" s="99">
        <f t="shared" si="238"/>
        <v>3.1896551724137931</v>
      </c>
      <c r="AD575" s="191">
        <f t="shared" si="239"/>
        <v>2.138112</v>
      </c>
      <c r="AE575" s="208">
        <v>11.9</v>
      </c>
      <c r="AF575" s="198">
        <f t="shared" si="240"/>
        <v>59.622593569823124</v>
      </c>
    </row>
    <row r="576" spans="1:33" x14ac:dyDescent="0.2">
      <c r="A576" s="188" t="s">
        <v>871</v>
      </c>
      <c r="B576" s="17" t="s">
        <v>702</v>
      </c>
      <c r="C576" s="227" t="s">
        <v>697</v>
      </c>
      <c r="D576" s="213" t="s">
        <v>704</v>
      </c>
      <c r="E576" s="910" t="s">
        <v>834</v>
      </c>
      <c r="F576" s="143" t="s">
        <v>866</v>
      </c>
      <c r="G576" s="43">
        <v>106.44</v>
      </c>
      <c r="H576" s="128">
        <v>19</v>
      </c>
      <c r="I576" s="128">
        <v>290</v>
      </c>
      <c r="J576" s="18"/>
      <c r="K576" s="44"/>
      <c r="L576" s="456">
        <f t="shared" si="233"/>
        <v>46.648000000000003</v>
      </c>
      <c r="M576" s="457">
        <f t="shared" si="234"/>
        <v>74.636800000000008</v>
      </c>
      <c r="N576" s="65">
        <f t="shared" si="235"/>
        <v>701.21007140172867</v>
      </c>
      <c r="O576" s="65"/>
      <c r="P576" s="65"/>
      <c r="Q576" s="65">
        <v>132</v>
      </c>
      <c r="R576" s="65">
        <v>6</v>
      </c>
      <c r="S576" s="65">
        <v>8</v>
      </c>
      <c r="T576" s="65">
        <v>348</v>
      </c>
      <c r="U576" s="65">
        <v>1</v>
      </c>
      <c r="V576" s="65">
        <v>172</v>
      </c>
      <c r="W576" s="65"/>
      <c r="X576" s="115">
        <v>11662</v>
      </c>
      <c r="Y576" s="87"/>
      <c r="Z576" s="141" t="str">
        <f t="shared" si="241"/>
        <v/>
      </c>
      <c r="AA576" s="371">
        <f t="shared" si="236"/>
        <v>565.43030303030309</v>
      </c>
      <c r="AB576" s="54">
        <f t="shared" si="237"/>
        <v>0.27120930232558144</v>
      </c>
      <c r="AC576" s="99">
        <f t="shared" si="238"/>
        <v>2.0232558139534884</v>
      </c>
      <c r="AD576" s="191">
        <f t="shared" si="239"/>
        <v>3.1703039999999998</v>
      </c>
      <c r="AE576" s="208">
        <v>19.600000000000001</v>
      </c>
      <c r="AF576" s="198">
        <f t="shared" si="240"/>
        <v>58.700966100726006</v>
      </c>
    </row>
    <row r="577" spans="1:33" x14ac:dyDescent="0.2">
      <c r="A577" s="188" t="s">
        <v>871</v>
      </c>
      <c r="B577" s="17" t="s">
        <v>702</v>
      </c>
      <c r="C577" s="227"/>
      <c r="D577" s="213"/>
      <c r="E577" s="910" t="s">
        <v>675</v>
      </c>
      <c r="F577" s="143" t="s">
        <v>1108</v>
      </c>
      <c r="G577" s="43">
        <v>128.75</v>
      </c>
      <c r="H577" s="128">
        <v>19</v>
      </c>
      <c r="I577" s="128">
        <v>296</v>
      </c>
      <c r="J577" s="18"/>
      <c r="K577" s="44"/>
      <c r="L577" s="456">
        <f t="shared" si="233"/>
        <v>63.287999999999997</v>
      </c>
      <c r="M577" s="457">
        <f t="shared" si="234"/>
        <v>101.2608</v>
      </c>
      <c r="N577" s="65">
        <f t="shared" si="235"/>
        <v>786.49165048543694</v>
      </c>
      <c r="O577" s="65"/>
      <c r="P577" s="65"/>
      <c r="Q577" s="65">
        <v>182</v>
      </c>
      <c r="R577" s="65">
        <v>6</v>
      </c>
      <c r="S577" s="65">
        <v>8</v>
      </c>
      <c r="T577" s="65">
        <v>396</v>
      </c>
      <c r="U577" s="65">
        <v>1</v>
      </c>
      <c r="V577" s="65">
        <v>268</v>
      </c>
      <c r="W577" s="65"/>
      <c r="X577" s="115">
        <v>15822</v>
      </c>
      <c r="Y577" s="87"/>
      <c r="Z577" s="141" t="str">
        <f t="shared" si="241"/>
        <v/>
      </c>
      <c r="AA577" s="371">
        <f t="shared" si="236"/>
        <v>556.37802197802205</v>
      </c>
      <c r="AB577" s="54">
        <f t="shared" si="237"/>
        <v>0.23614925373134327</v>
      </c>
      <c r="AC577" s="99">
        <f t="shared" si="238"/>
        <v>1.4776119402985075</v>
      </c>
      <c r="AD577" s="191">
        <f t="shared" si="239"/>
        <v>4.9397760000000002</v>
      </c>
      <c r="AE577" s="208">
        <v>26.5</v>
      </c>
      <c r="AF577" s="198">
        <f t="shared" si="240"/>
        <v>56.778072725740529</v>
      </c>
    </row>
    <row r="578" spans="1:33" ht="13.5" thickBot="1" x14ac:dyDescent="0.25">
      <c r="A578" s="188" t="s">
        <v>871</v>
      </c>
      <c r="B578" s="17" t="s">
        <v>702</v>
      </c>
      <c r="C578" s="227" t="s">
        <v>697</v>
      </c>
      <c r="D578" s="214" t="s">
        <v>704</v>
      </c>
      <c r="E578" s="1112" t="s">
        <v>676</v>
      </c>
      <c r="F578" s="144" t="s">
        <v>1108</v>
      </c>
      <c r="G578" s="34">
        <v>180</v>
      </c>
      <c r="H578" s="130">
        <v>19</v>
      </c>
      <c r="I578" s="130">
        <v>296</v>
      </c>
      <c r="J578" s="22"/>
      <c r="K578" s="35"/>
      <c r="L578" s="456">
        <f t="shared" si="233"/>
        <v>92.152000000000001</v>
      </c>
      <c r="M578" s="457">
        <f t="shared" si="234"/>
        <v>147.44320000000002</v>
      </c>
      <c r="N578" s="65">
        <f t="shared" si="235"/>
        <v>819.12888888888892</v>
      </c>
      <c r="O578" s="68"/>
      <c r="P578" s="68"/>
      <c r="Q578" s="68">
        <v>182</v>
      </c>
      <c r="R578" s="68">
        <v>6</v>
      </c>
      <c r="S578" s="68">
        <v>8</v>
      </c>
      <c r="T578" s="68">
        <v>396</v>
      </c>
      <c r="U578" s="68">
        <v>1</v>
      </c>
      <c r="V578" s="68">
        <v>268</v>
      </c>
      <c r="W578" s="68"/>
      <c r="X578" s="116">
        <v>23038</v>
      </c>
      <c r="Y578" s="205"/>
      <c r="Z578" s="141" t="str">
        <f t="shared" si="241"/>
        <v/>
      </c>
      <c r="AA578" s="371">
        <f t="shared" si="236"/>
        <v>810.12747252747261</v>
      </c>
      <c r="AB578" s="55">
        <f t="shared" si="237"/>
        <v>0.34385074626865669</v>
      </c>
      <c r="AC578" s="100">
        <f t="shared" si="238"/>
        <v>1.4776119402985075</v>
      </c>
      <c r="AD578" s="192">
        <f t="shared" si="239"/>
        <v>4.9397760000000002</v>
      </c>
      <c r="AE578" s="209">
        <v>33.799999999999997</v>
      </c>
      <c r="AF578" s="198">
        <f t="shared" si="240"/>
        <v>52.196776340538818</v>
      </c>
    </row>
    <row r="579" spans="1:33" ht="12.75" customHeight="1" x14ac:dyDescent="0.2">
      <c r="A579" s="182"/>
      <c r="B579" s="48" t="s">
        <v>715</v>
      </c>
      <c r="C579" s="226"/>
      <c r="D579" s="212"/>
      <c r="E579" s="12" t="s">
        <v>1785</v>
      </c>
      <c r="F579" s="466" t="s">
        <v>1018</v>
      </c>
      <c r="G579" s="14" t="s">
        <v>22</v>
      </c>
      <c r="H579" s="40" t="s">
        <v>531</v>
      </c>
      <c r="I579" s="123"/>
      <c r="J579" s="15"/>
      <c r="K579" s="16" t="s">
        <v>22</v>
      </c>
      <c r="L579" s="248" t="s">
        <v>665</v>
      </c>
      <c r="M579" s="383" t="s">
        <v>696</v>
      </c>
      <c r="N579" s="380">
        <f>AVERAGE(N580:N585)</f>
        <v>954.1312457948161</v>
      </c>
      <c r="O579" s="382">
        <f>AVERAGE(O581:O683)</f>
        <v>245.56865341084799</v>
      </c>
      <c r="P579" s="60"/>
      <c r="Q579" s="399" t="s">
        <v>1739</v>
      </c>
      <c r="R579" s="399" t="s">
        <v>1341</v>
      </c>
      <c r="S579" s="61"/>
      <c r="T579" s="61"/>
      <c r="U579" s="61" t="s">
        <v>963</v>
      </c>
      <c r="V579" s="74" t="s">
        <v>433</v>
      </c>
      <c r="W579" s="399" t="s">
        <v>1167</v>
      </c>
      <c r="X579" s="109" t="s">
        <v>207</v>
      </c>
      <c r="Y579" s="80" t="s">
        <v>695</v>
      </c>
      <c r="Z579" s="206"/>
      <c r="AA579" s="370">
        <f>AVERAGE(AA580:AB585)</f>
        <v>525.93523809523811</v>
      </c>
      <c r="AB579" s="92">
        <f>AVERAGE(AB581:AB683)</f>
        <v>473.77553997607964</v>
      </c>
      <c r="AC579" s="98">
        <f>AVERAGE(AC580:AC585)</f>
        <v>7.4074074074074083</v>
      </c>
      <c r="AD579" s="109" t="s">
        <v>650</v>
      </c>
      <c r="AE579" s="195"/>
      <c r="AF579" s="196">
        <f>AVERAGE(AF580:AF585)</f>
        <v>132.57461377473365</v>
      </c>
      <c r="AG579" t="s">
        <v>2105</v>
      </c>
    </row>
    <row r="580" spans="1:33" s="493" customFormat="1" ht="12.75" customHeight="1" x14ac:dyDescent="0.2">
      <c r="A580" s="188" t="s">
        <v>189</v>
      </c>
      <c r="B580" s="41" t="s">
        <v>702</v>
      </c>
      <c r="C580" s="230" t="s">
        <v>697</v>
      </c>
      <c r="D580" s="470"/>
      <c r="E580" s="1003" t="s">
        <v>1786</v>
      </c>
      <c r="F580" s="1192" t="s">
        <v>1933</v>
      </c>
      <c r="G580" s="1148">
        <v>14.7</v>
      </c>
      <c r="H580" s="1038">
        <v>8</v>
      </c>
      <c r="I580" s="1039">
        <v>86</v>
      </c>
      <c r="J580" s="1054"/>
      <c r="K580" s="1149"/>
      <c r="L580" s="896">
        <f t="shared" ref="L580:L585" si="242">8*X580/1000</f>
        <v>3.7519999999999998</v>
      </c>
      <c r="M580" s="1042">
        <f t="shared" ref="M580:M585" si="243">12.8*X580/1000</f>
        <v>6.0032000000000005</v>
      </c>
      <c r="N580" s="1150">
        <f t="shared" ref="N580:N585" si="244">IF(AND(G580&lt;&gt;"",M580&lt;&gt;""),1000*M580/G580,"")</f>
        <v>408.38095238095246</v>
      </c>
      <c r="O580" s="1151"/>
      <c r="P580" s="1102"/>
      <c r="Q580" s="1004">
        <v>10</v>
      </c>
      <c r="R580" s="1004">
        <v>2</v>
      </c>
      <c r="S580" s="1004"/>
      <c r="T580" s="1004">
        <v>100</v>
      </c>
      <c r="U580" s="1004"/>
      <c r="V580" s="1152">
        <v>5</v>
      </c>
      <c r="W580" s="1004">
        <v>1</v>
      </c>
      <c r="X580" s="1153">
        <v>469</v>
      </c>
      <c r="Y580" s="89"/>
      <c r="Z580" s="1154"/>
      <c r="AA580" s="1155">
        <f t="shared" ref="AA580:AA585" si="245">1000*M580/Q580</f>
        <v>600.32000000000005</v>
      </c>
      <c r="AB580" s="95"/>
      <c r="AC580" s="103">
        <f t="shared" ref="AC580:AC585" si="246">T580/V580</f>
        <v>20</v>
      </c>
      <c r="AD580" s="1047">
        <f t="shared" ref="AD580:AD585" si="247">512*72*V580/1000000</f>
        <v>0.18432000000000001</v>
      </c>
      <c r="AE580" s="1156"/>
      <c r="AF580" s="1049"/>
      <c r="AG580" s="6" t="s">
        <v>2324</v>
      </c>
    </row>
    <row r="581" spans="1:33" s="493" customFormat="1" ht="12.75" customHeight="1" x14ac:dyDescent="0.2">
      <c r="A581" s="188" t="s">
        <v>189</v>
      </c>
      <c r="B581" s="41" t="s">
        <v>702</v>
      </c>
      <c r="C581" s="230" t="s">
        <v>697</v>
      </c>
      <c r="D581" s="470"/>
      <c r="E581" s="1003" t="s">
        <v>1787</v>
      </c>
      <c r="F581" s="1192" t="s">
        <v>1933</v>
      </c>
      <c r="G581" s="1148">
        <v>18.760000000000002</v>
      </c>
      <c r="H581" s="1038">
        <v>8</v>
      </c>
      <c r="I581" s="1039">
        <v>86</v>
      </c>
      <c r="J581" s="1054"/>
      <c r="K581" s="1149"/>
      <c r="L581" s="896">
        <f t="shared" si="242"/>
        <v>8</v>
      </c>
      <c r="M581" s="1042">
        <f t="shared" si="243"/>
        <v>12.8</v>
      </c>
      <c r="N581" s="1150">
        <f t="shared" si="244"/>
        <v>682.30277185501063</v>
      </c>
      <c r="O581" s="1151"/>
      <c r="P581" s="1102"/>
      <c r="Q581" s="1004">
        <v>20</v>
      </c>
      <c r="R581" s="1004">
        <v>2</v>
      </c>
      <c r="S581" s="1004"/>
      <c r="T581" s="1004">
        <v>100</v>
      </c>
      <c r="U581" s="1004"/>
      <c r="V581" s="1152">
        <v>10</v>
      </c>
      <c r="W581" s="1004">
        <v>1</v>
      </c>
      <c r="X581" s="1153">
        <v>1000</v>
      </c>
      <c r="Y581" s="89"/>
      <c r="Z581" s="1154"/>
      <c r="AA581" s="1155">
        <f t="shared" si="245"/>
        <v>640</v>
      </c>
      <c r="AB581" s="95"/>
      <c r="AC581" s="103">
        <f t="shared" si="246"/>
        <v>10</v>
      </c>
      <c r="AD581" s="1047">
        <f t="shared" si="247"/>
        <v>0.36864000000000002</v>
      </c>
      <c r="AE581" s="1156">
        <v>7.4</v>
      </c>
      <c r="AF581" s="1049">
        <f>(AE581*1000000-V581*36*1024)/(6000*L581)</f>
        <v>146.48666666666668</v>
      </c>
      <c r="AG581" s="493" t="s">
        <v>1169</v>
      </c>
    </row>
    <row r="582" spans="1:33" x14ac:dyDescent="0.2">
      <c r="A582" s="188" t="s">
        <v>189</v>
      </c>
      <c r="B582" s="17" t="s">
        <v>702</v>
      </c>
      <c r="C582" s="227" t="s">
        <v>697</v>
      </c>
      <c r="D582" s="213"/>
      <c r="E582" s="910" t="s">
        <v>1788</v>
      </c>
      <c r="F582" s="1192" t="s">
        <v>1933</v>
      </c>
      <c r="G582" s="43">
        <v>25.4</v>
      </c>
      <c r="H582" s="128">
        <v>13</v>
      </c>
      <c r="I582" s="430">
        <v>150</v>
      </c>
      <c r="J582" s="138"/>
      <c r="K582" s="44"/>
      <c r="L582" s="456">
        <f t="shared" si="242"/>
        <v>14.6</v>
      </c>
      <c r="M582" s="457">
        <f t="shared" si="243"/>
        <v>23.36</v>
      </c>
      <c r="N582" s="889">
        <f t="shared" si="244"/>
        <v>919.68503937007881</v>
      </c>
      <c r="O582" s="65"/>
      <c r="P582" s="65"/>
      <c r="Q582" s="65">
        <v>80</v>
      </c>
      <c r="R582" s="65">
        <v>3</v>
      </c>
      <c r="S582" s="65"/>
      <c r="T582" s="65">
        <v>150</v>
      </c>
      <c r="U582" s="65">
        <v>1</v>
      </c>
      <c r="V582" s="65">
        <v>45</v>
      </c>
      <c r="W582" s="71">
        <v>1</v>
      </c>
      <c r="X582" s="115">
        <v>1825</v>
      </c>
      <c r="Y582" s="87"/>
      <c r="Z582" s="141"/>
      <c r="AA582" s="371">
        <f t="shared" si="245"/>
        <v>292</v>
      </c>
      <c r="AB582" s="54"/>
      <c r="AC582" s="99">
        <f t="shared" si="246"/>
        <v>3.3333333333333335</v>
      </c>
      <c r="AD582" s="191">
        <f t="shared" si="247"/>
        <v>1.6588799999999999</v>
      </c>
      <c r="AE582" s="446">
        <v>17.536096000000001</v>
      </c>
      <c r="AF582" s="1049">
        <f>(AE582*1000000-V582*36*1024)/(6000*L582)</f>
        <v>181.24675799086759</v>
      </c>
      <c r="AG582" s="493" t="s">
        <v>1168</v>
      </c>
    </row>
    <row r="583" spans="1:33" x14ac:dyDescent="0.2">
      <c r="A583" s="188" t="s">
        <v>189</v>
      </c>
      <c r="B583" s="17" t="s">
        <v>702</v>
      </c>
      <c r="C583" s="227" t="s">
        <v>697</v>
      </c>
      <c r="D583" s="213"/>
      <c r="E583" s="910" t="s">
        <v>1789</v>
      </c>
      <c r="F583" s="143" t="s">
        <v>1934</v>
      </c>
      <c r="G583" s="43">
        <v>41.25</v>
      </c>
      <c r="H583" s="128">
        <v>15</v>
      </c>
      <c r="I583" s="430">
        <v>210</v>
      </c>
      <c r="J583" s="138"/>
      <c r="K583" s="44"/>
      <c r="L583" s="456">
        <f t="shared" si="242"/>
        <v>32.603999999999999</v>
      </c>
      <c r="M583" s="457">
        <f t="shared" si="243"/>
        <v>52.166400000000003</v>
      </c>
      <c r="N583" s="889">
        <f t="shared" si="244"/>
        <v>1264.6400000000001</v>
      </c>
      <c r="O583" s="65"/>
      <c r="P583" s="65"/>
      <c r="Q583" s="65">
        <v>120</v>
      </c>
      <c r="R583" s="65">
        <v>5</v>
      </c>
      <c r="S583" s="65"/>
      <c r="T583" s="65">
        <v>250</v>
      </c>
      <c r="U583" s="65">
        <v>1</v>
      </c>
      <c r="V583" s="65">
        <v>75</v>
      </c>
      <c r="W583" s="71">
        <v>1</v>
      </c>
      <c r="X583" s="115">
        <v>4075.5</v>
      </c>
      <c r="Y583" s="87"/>
      <c r="Z583" s="141"/>
      <c r="AA583" s="371">
        <f t="shared" si="245"/>
        <v>434.72</v>
      </c>
      <c r="AB583" s="54"/>
      <c r="AC583" s="99">
        <f t="shared" si="246"/>
        <v>3.3333333333333335</v>
      </c>
      <c r="AD583" s="191">
        <f t="shared" si="247"/>
        <v>2.7648000000000001</v>
      </c>
      <c r="AE583" s="446"/>
      <c r="AF583" s="198"/>
      <c r="AG583" s="492" t="s">
        <v>1170</v>
      </c>
    </row>
    <row r="584" spans="1:33" x14ac:dyDescent="0.2">
      <c r="A584" s="188" t="s">
        <v>189</v>
      </c>
      <c r="B584" s="17" t="s">
        <v>702</v>
      </c>
      <c r="C584" s="227" t="s">
        <v>697</v>
      </c>
      <c r="D584" s="213"/>
      <c r="E584" s="910" t="s">
        <v>1790</v>
      </c>
      <c r="F584" s="143" t="s">
        <v>1881</v>
      </c>
      <c r="G584" s="43">
        <v>62.19</v>
      </c>
      <c r="H584" s="128">
        <v>23</v>
      </c>
      <c r="I584" s="430">
        <v>338</v>
      </c>
      <c r="J584" s="138"/>
      <c r="K584" s="44"/>
      <c r="L584" s="456">
        <f t="shared" si="242"/>
        <v>48</v>
      </c>
      <c r="M584" s="457">
        <f t="shared" si="243"/>
        <v>76.8</v>
      </c>
      <c r="N584" s="889">
        <f t="shared" si="244"/>
        <v>1234.9252291365171</v>
      </c>
      <c r="O584" s="65"/>
      <c r="P584" s="65"/>
      <c r="Q584" s="65">
        <v>140</v>
      </c>
      <c r="R584" s="65">
        <v>8</v>
      </c>
      <c r="S584" s="65"/>
      <c r="T584" s="65">
        <v>400</v>
      </c>
      <c r="U584" s="65">
        <v>1</v>
      </c>
      <c r="V584" s="65">
        <v>90</v>
      </c>
      <c r="W584" s="71">
        <v>1</v>
      </c>
      <c r="X584" s="115">
        <v>6000</v>
      </c>
      <c r="Y584" s="87"/>
      <c r="Z584" s="141"/>
      <c r="AA584" s="371">
        <f t="shared" si="245"/>
        <v>548.57142857142856</v>
      </c>
      <c r="AB584" s="54"/>
      <c r="AC584" s="99">
        <f t="shared" si="246"/>
        <v>4.4444444444444446</v>
      </c>
      <c r="AD584" s="191">
        <f t="shared" si="247"/>
        <v>3.3177599999999998</v>
      </c>
      <c r="AE584" s="446"/>
      <c r="AF584" s="198"/>
    </row>
    <row r="585" spans="1:33" ht="13.5" thickBot="1" x14ac:dyDescent="0.25">
      <c r="A585" s="188" t="s">
        <v>189</v>
      </c>
      <c r="B585" s="17" t="s">
        <v>702</v>
      </c>
      <c r="C585" s="227" t="s">
        <v>697</v>
      </c>
      <c r="D585" s="213"/>
      <c r="E585" s="910" t="s">
        <v>1791</v>
      </c>
      <c r="F585" s="143" t="s">
        <v>1881</v>
      </c>
      <c r="G585" s="43">
        <v>84.29</v>
      </c>
      <c r="H585" s="128">
        <v>23</v>
      </c>
      <c r="I585" s="430">
        <v>338</v>
      </c>
      <c r="J585" s="138"/>
      <c r="K585" s="44"/>
      <c r="L585" s="456">
        <f t="shared" si="242"/>
        <v>64</v>
      </c>
      <c r="M585" s="457">
        <f t="shared" si="243"/>
        <v>102.4</v>
      </c>
      <c r="N585" s="889">
        <f t="shared" si="244"/>
        <v>1214.8534820263376</v>
      </c>
      <c r="O585" s="65"/>
      <c r="P585" s="65"/>
      <c r="Q585" s="65">
        <v>160</v>
      </c>
      <c r="R585" s="65">
        <v>8</v>
      </c>
      <c r="S585" s="65"/>
      <c r="T585" s="65">
        <v>400</v>
      </c>
      <c r="U585" s="65">
        <v>1</v>
      </c>
      <c r="V585" s="65">
        <v>120</v>
      </c>
      <c r="W585" s="71">
        <v>1</v>
      </c>
      <c r="X585" s="115">
        <v>8000</v>
      </c>
      <c r="Y585" s="87"/>
      <c r="Z585" s="141"/>
      <c r="AA585" s="371">
        <f t="shared" si="245"/>
        <v>640</v>
      </c>
      <c r="AB585" s="54"/>
      <c r="AC585" s="99">
        <f t="shared" si="246"/>
        <v>3.3333333333333335</v>
      </c>
      <c r="AD585" s="191">
        <f t="shared" si="247"/>
        <v>4.4236800000000001</v>
      </c>
      <c r="AE585" s="446">
        <v>31.3</v>
      </c>
      <c r="AF585" s="198">
        <f>(AE585*1000000-V585*36*1024)/(6000*L585)</f>
        <v>69.990416666666661</v>
      </c>
    </row>
    <row r="586" spans="1:33" ht="12.75" customHeight="1" x14ac:dyDescent="0.2">
      <c r="A586" s="182"/>
      <c r="B586" s="48" t="s">
        <v>715</v>
      </c>
      <c r="C586" s="226"/>
      <c r="D586" s="212"/>
      <c r="E586" s="12" t="s">
        <v>960</v>
      </c>
      <c r="F586" s="466" t="s">
        <v>1018</v>
      </c>
      <c r="G586" s="14" t="s">
        <v>22</v>
      </c>
      <c r="H586" s="40" t="s">
        <v>531</v>
      </c>
      <c r="I586" s="123"/>
      <c r="J586" s="15"/>
      <c r="K586" s="16" t="s">
        <v>22</v>
      </c>
      <c r="L586" s="248" t="s">
        <v>665</v>
      </c>
      <c r="M586" s="383" t="s">
        <v>696</v>
      </c>
      <c r="N586" s="380">
        <f>AVERAGE(N587:N599)</f>
        <v>892.77944009324176</v>
      </c>
      <c r="O586" s="382">
        <f>AVERAGE(O592:O744)</f>
        <v>246.05800269710835</v>
      </c>
      <c r="P586" s="60"/>
      <c r="Q586" s="399" t="s">
        <v>1739</v>
      </c>
      <c r="R586" s="399" t="s">
        <v>1341</v>
      </c>
      <c r="S586" s="61" t="s">
        <v>965</v>
      </c>
      <c r="T586" s="61"/>
      <c r="U586" s="61" t="s">
        <v>963</v>
      </c>
      <c r="V586" s="74" t="s">
        <v>433</v>
      </c>
      <c r="W586" s="399" t="s">
        <v>1167</v>
      </c>
      <c r="X586" s="109" t="s">
        <v>207</v>
      </c>
      <c r="Y586" s="80" t="s">
        <v>695</v>
      </c>
      <c r="Z586" s="206"/>
      <c r="AA586" s="370">
        <f>AVERAGE(AA587:AB599)</f>
        <v>362.88811888811881</v>
      </c>
      <c r="AB586" s="92">
        <f>AVERAGE(AB592:AB744)</f>
        <v>451.11503194925172</v>
      </c>
      <c r="AC586" s="98">
        <f>AVERAGE(AC587:AC599)</f>
        <v>4.7773802541092074</v>
      </c>
      <c r="AD586" s="109" t="s">
        <v>650</v>
      </c>
      <c r="AE586" s="195"/>
      <c r="AF586" s="196">
        <f>AVERAGE(AF587:AF599)</f>
        <v>87.903635156930704</v>
      </c>
      <c r="AG586" t="s">
        <v>983</v>
      </c>
    </row>
    <row r="587" spans="1:33" ht="12.75" customHeight="1" x14ac:dyDescent="0.2">
      <c r="A587" s="188"/>
      <c r="B587" s="573" t="s">
        <v>702</v>
      </c>
      <c r="C587" s="574" t="s">
        <v>697</v>
      </c>
      <c r="D587" s="575"/>
      <c r="E587" s="552" t="s">
        <v>1153</v>
      </c>
      <c r="F587" s="576"/>
      <c r="G587" s="577"/>
      <c r="H587" s="578">
        <v>10</v>
      </c>
      <c r="I587" s="579">
        <v>140</v>
      </c>
      <c r="J587" s="580"/>
      <c r="K587" s="581"/>
      <c r="L587" s="582">
        <f t="shared" ref="L587:L599" si="248">8*X587/1000</f>
        <v>5</v>
      </c>
      <c r="M587" s="583">
        <f t="shared" ref="M587:M599" si="249">12.8*X587/1000</f>
        <v>8</v>
      </c>
      <c r="N587" s="889" t="str">
        <f t="shared" ref="N587:N596" si="250">IF(AND(G587&lt;&gt;"",M587&lt;&gt;""),1000*M587/G587,"")</f>
        <v/>
      </c>
      <c r="O587" s="584"/>
      <c r="P587" s="585"/>
      <c r="Q587" s="586">
        <v>20</v>
      </c>
      <c r="R587" s="586">
        <v>2</v>
      </c>
      <c r="S587" s="586"/>
      <c r="T587" s="586">
        <v>200</v>
      </c>
      <c r="U587" s="586"/>
      <c r="V587" s="587">
        <v>20</v>
      </c>
      <c r="W587" s="586">
        <v>1</v>
      </c>
      <c r="X587" s="588">
        <v>625</v>
      </c>
      <c r="Y587" s="589"/>
      <c r="Z587" s="590"/>
      <c r="AA587" s="591">
        <f t="shared" ref="AA587:AA599" si="251">1000*M587/Q587</f>
        <v>400</v>
      </c>
      <c r="AB587" s="592"/>
      <c r="AC587" s="571">
        <f t="shared" ref="AC587:AC599" si="252">T587/V587</f>
        <v>10</v>
      </c>
      <c r="AD587" s="572">
        <f t="shared" ref="AD587:AD599" si="253">512*72*V587/1000000</f>
        <v>0.73728000000000005</v>
      </c>
      <c r="AE587" s="593"/>
      <c r="AF587" s="594"/>
      <c r="AG587" s="493"/>
    </row>
    <row r="588" spans="1:33" ht="12.75" customHeight="1" x14ac:dyDescent="0.2">
      <c r="A588" s="188"/>
      <c r="B588" s="573" t="s">
        <v>702</v>
      </c>
      <c r="C588" s="574" t="s">
        <v>697</v>
      </c>
      <c r="D588" s="575"/>
      <c r="E588" s="552" t="s">
        <v>1154</v>
      </c>
      <c r="F588" s="576"/>
      <c r="G588" s="577"/>
      <c r="H588" s="578">
        <v>10</v>
      </c>
      <c r="I588" s="579">
        <v>140</v>
      </c>
      <c r="J588" s="580"/>
      <c r="K588" s="581"/>
      <c r="L588" s="582">
        <f t="shared" si="248"/>
        <v>9.6</v>
      </c>
      <c r="M588" s="583">
        <f t="shared" si="249"/>
        <v>15.36</v>
      </c>
      <c r="N588" s="889" t="str">
        <f t="shared" si="250"/>
        <v/>
      </c>
      <c r="O588" s="584"/>
      <c r="P588" s="585"/>
      <c r="Q588" s="586">
        <v>40</v>
      </c>
      <c r="R588" s="586">
        <v>2</v>
      </c>
      <c r="S588" s="586">
        <v>0</v>
      </c>
      <c r="T588" s="586">
        <v>200</v>
      </c>
      <c r="U588" s="586"/>
      <c r="V588" s="587">
        <v>40</v>
      </c>
      <c r="W588" s="586">
        <v>1</v>
      </c>
      <c r="X588" s="588">
        <v>1200</v>
      </c>
      <c r="Y588" s="589"/>
      <c r="Z588" s="590"/>
      <c r="AA588" s="591">
        <f t="shared" si="251"/>
        <v>384</v>
      </c>
      <c r="AB588" s="592"/>
      <c r="AC588" s="571">
        <f t="shared" si="252"/>
        <v>5</v>
      </c>
      <c r="AD588" s="572">
        <f t="shared" si="253"/>
        <v>1.4745600000000001</v>
      </c>
      <c r="AE588" s="593"/>
      <c r="AF588" s="594"/>
      <c r="AG588" s="493"/>
    </row>
    <row r="589" spans="1:33" s="751" customFormat="1" x14ac:dyDescent="0.2">
      <c r="A589" s="749"/>
      <c r="B589" s="573" t="s">
        <v>702</v>
      </c>
      <c r="C589" s="574" t="s">
        <v>697</v>
      </c>
      <c r="D589" s="554"/>
      <c r="E589" s="573" t="s">
        <v>1339</v>
      </c>
      <c r="F589" s="595"/>
      <c r="G589" s="596"/>
      <c r="H589" s="578">
        <v>10</v>
      </c>
      <c r="I589" s="579">
        <v>100</v>
      </c>
      <c r="J589" s="597"/>
      <c r="K589" s="598"/>
      <c r="L589" s="582">
        <f>8*X589/1000</f>
        <v>10</v>
      </c>
      <c r="M589" s="583">
        <f>12.8*X589/1000</f>
        <v>16</v>
      </c>
      <c r="N589" s="889" t="str">
        <f>IF(AND(G589&lt;&gt;"",M589&lt;&gt;""),1000*M589/G589,"")</f>
        <v/>
      </c>
      <c r="O589" s="564"/>
      <c r="P589" s="564"/>
      <c r="Q589" s="564">
        <v>60</v>
      </c>
      <c r="R589" s="564">
        <v>3</v>
      </c>
      <c r="S589" s="564">
        <v>4</v>
      </c>
      <c r="T589" s="564">
        <v>216</v>
      </c>
      <c r="U589" s="564">
        <v>1</v>
      </c>
      <c r="V589" s="564">
        <v>30</v>
      </c>
      <c r="W589" s="586">
        <v>1</v>
      </c>
      <c r="X589" s="599">
        <v>1250</v>
      </c>
      <c r="Y589" s="600"/>
      <c r="Z589" s="568"/>
      <c r="AA589" s="601">
        <f>1000*M589/Q589</f>
        <v>266.66666666666669</v>
      </c>
      <c r="AB589" s="602"/>
      <c r="AC589" s="571">
        <f>T589/V589</f>
        <v>7.2</v>
      </c>
      <c r="AD589" s="572">
        <f>512*72*V589/1000000</f>
        <v>1.10592</v>
      </c>
      <c r="AE589" s="603"/>
      <c r="AF589" s="594"/>
      <c r="AG589" s="756"/>
    </row>
    <row r="590" spans="1:33" x14ac:dyDescent="0.2">
      <c r="A590" s="188"/>
      <c r="B590" s="573" t="s">
        <v>702</v>
      </c>
      <c r="C590" s="574" t="s">
        <v>697</v>
      </c>
      <c r="D590" s="554"/>
      <c r="E590" s="573" t="s">
        <v>1155</v>
      </c>
      <c r="F590" s="595"/>
      <c r="G590" s="596"/>
      <c r="H590" s="578">
        <v>12</v>
      </c>
      <c r="I590" s="579">
        <v>100</v>
      </c>
      <c r="J590" s="597"/>
      <c r="K590" s="598"/>
      <c r="L590" s="582">
        <f t="shared" si="248"/>
        <v>21</v>
      </c>
      <c r="M590" s="583">
        <f t="shared" si="249"/>
        <v>33.6</v>
      </c>
      <c r="N590" s="889" t="str">
        <f t="shared" si="250"/>
        <v/>
      </c>
      <c r="O590" s="564"/>
      <c r="P590" s="564"/>
      <c r="Q590" s="564">
        <v>80</v>
      </c>
      <c r="R590" s="564">
        <v>5</v>
      </c>
      <c r="S590" s="564">
        <v>4</v>
      </c>
      <c r="T590" s="564">
        <v>250</v>
      </c>
      <c r="U590" s="564">
        <v>1</v>
      </c>
      <c r="V590" s="564">
        <v>80</v>
      </c>
      <c r="W590" s="586">
        <v>1</v>
      </c>
      <c r="X590" s="599">
        <v>2625</v>
      </c>
      <c r="Y590" s="600"/>
      <c r="Z590" s="568"/>
      <c r="AA590" s="601">
        <f t="shared" si="251"/>
        <v>420</v>
      </c>
      <c r="AB590" s="602"/>
      <c r="AC590" s="571">
        <f t="shared" si="252"/>
        <v>3.125</v>
      </c>
      <c r="AD590" s="572">
        <f t="shared" si="253"/>
        <v>2.9491200000000002</v>
      </c>
      <c r="AE590" s="603"/>
      <c r="AF590" s="594"/>
      <c r="AG590" s="492"/>
    </row>
    <row r="591" spans="1:33" s="493" customFormat="1" ht="12.75" customHeight="1" x14ac:dyDescent="0.2">
      <c r="A591" s="188" t="s">
        <v>929</v>
      </c>
      <c r="B591" s="41" t="s">
        <v>702</v>
      </c>
      <c r="C591" s="230" t="s">
        <v>697</v>
      </c>
      <c r="D591" s="470"/>
      <c r="E591" s="1003" t="s">
        <v>1784</v>
      </c>
      <c r="F591" s="1192" t="s">
        <v>1556</v>
      </c>
      <c r="G591" s="1148">
        <v>21.59</v>
      </c>
      <c r="H591" s="1038">
        <v>10</v>
      </c>
      <c r="I591" s="1039">
        <v>106</v>
      </c>
      <c r="J591" s="1054"/>
      <c r="K591" s="1149"/>
      <c r="L591" s="896">
        <f>8*X591/1000</f>
        <v>8</v>
      </c>
      <c r="M591" s="1042">
        <f>12.8*X591/1000</f>
        <v>12.8</v>
      </c>
      <c r="N591" s="1150">
        <f>IF(AND(G591&lt;&gt;"",M591&lt;&gt;""),1000*M591/G591,"")</f>
        <v>592.86706808707731</v>
      </c>
      <c r="O591" s="1151"/>
      <c r="P591" s="1102"/>
      <c r="Q591" s="1004">
        <v>40</v>
      </c>
      <c r="R591" s="1004">
        <v>3</v>
      </c>
      <c r="S591" s="1004">
        <v>2</v>
      </c>
      <c r="T591" s="1004">
        <v>150</v>
      </c>
      <c r="U591" s="1004">
        <v>1</v>
      </c>
      <c r="V591" s="1152">
        <v>20</v>
      </c>
      <c r="W591" s="1004">
        <v>1</v>
      </c>
      <c r="X591" s="1153">
        <v>1000</v>
      </c>
      <c r="Y591" s="89"/>
      <c r="Z591" s="1154"/>
      <c r="AA591" s="1155">
        <f>1000*M591/Q591</f>
        <v>320</v>
      </c>
      <c r="AB591" s="95"/>
      <c r="AC591" s="103">
        <f>T591/V591</f>
        <v>7.5</v>
      </c>
      <c r="AD591" s="1047">
        <f>512*72*V591/1000000</f>
        <v>0.73728000000000005</v>
      </c>
      <c r="AE591" s="1156"/>
      <c r="AF591" s="1049"/>
      <c r="AG591" s="493" t="s">
        <v>1169</v>
      </c>
    </row>
    <row r="592" spans="1:33" s="493" customFormat="1" ht="12.75" customHeight="1" x14ac:dyDescent="0.2">
      <c r="A592" s="188" t="s">
        <v>929</v>
      </c>
      <c r="B592" s="41" t="s">
        <v>702</v>
      </c>
      <c r="C592" s="230" t="s">
        <v>697</v>
      </c>
      <c r="D592" s="470"/>
      <c r="E592" s="1003" t="s">
        <v>1598</v>
      </c>
      <c r="F592" s="1192" t="s">
        <v>1555</v>
      </c>
      <c r="G592" s="1148">
        <v>25.69</v>
      </c>
      <c r="H592" s="1038">
        <v>10</v>
      </c>
      <c r="I592" s="1039">
        <v>106</v>
      </c>
      <c r="J592" s="1054"/>
      <c r="K592" s="1149"/>
      <c r="L592" s="896">
        <f>8*X592/1000</f>
        <v>10.4</v>
      </c>
      <c r="M592" s="1042">
        <f>12.8*X592/1000</f>
        <v>16.64</v>
      </c>
      <c r="N592" s="1150">
        <f>IF(AND(G592&lt;&gt;"",M592&lt;&gt;""),1000*M592/G592,"")</f>
        <v>647.72284935772666</v>
      </c>
      <c r="O592" s="1151"/>
      <c r="P592" s="1102"/>
      <c r="Q592" s="1004">
        <v>45</v>
      </c>
      <c r="R592" s="1004">
        <v>5</v>
      </c>
      <c r="S592" s="1004">
        <v>4</v>
      </c>
      <c r="T592" s="1004">
        <v>250</v>
      </c>
      <c r="U592" s="1004">
        <v>1</v>
      </c>
      <c r="V592" s="1152">
        <v>25</v>
      </c>
      <c r="W592" s="1004">
        <v>1</v>
      </c>
      <c r="X592" s="1153">
        <v>1300</v>
      </c>
      <c r="Y592" s="89"/>
      <c r="Z592" s="1154"/>
      <c r="AA592" s="1155">
        <f>1000*M592/Q592</f>
        <v>369.77777777777777</v>
      </c>
      <c r="AB592" s="95"/>
      <c r="AC592" s="103">
        <f>T592/V592</f>
        <v>10</v>
      </c>
      <c r="AD592" s="1047">
        <f>512*72*V592/1000000</f>
        <v>0.92159999999999997</v>
      </c>
      <c r="AE592" s="1156">
        <v>7.4</v>
      </c>
      <c r="AF592" s="1049">
        <f>(AE592*1000000-V592*36*1024)/(6000*L592)</f>
        <v>103.82051282051282</v>
      </c>
      <c r="AG592" s="493" t="s">
        <v>1168</v>
      </c>
    </row>
    <row r="593" spans="1:33" s="493" customFormat="1" ht="12.75" customHeight="1" x14ac:dyDescent="0.2">
      <c r="A593" s="188" t="s">
        <v>929</v>
      </c>
      <c r="B593" s="41" t="s">
        <v>702</v>
      </c>
      <c r="C593" s="230" t="s">
        <v>697</v>
      </c>
      <c r="D593" s="470"/>
      <c r="E593" s="1003" t="s">
        <v>1792</v>
      </c>
      <c r="F593" s="1192" t="s">
        <v>2043</v>
      </c>
      <c r="G593" s="1148">
        <v>25.49</v>
      </c>
      <c r="H593" s="1038">
        <v>10</v>
      </c>
      <c r="I593" s="1039">
        <v>106</v>
      </c>
      <c r="J593" s="1054"/>
      <c r="K593" s="1149"/>
      <c r="L593" s="896">
        <f>8*X593/1000</f>
        <v>14.6</v>
      </c>
      <c r="M593" s="1042">
        <f>12.8*X593/1000</f>
        <v>23.36</v>
      </c>
      <c r="N593" s="1150">
        <f>IF(AND(G593&lt;&gt;"",M593&lt;&gt;""),1000*M593/G593,"")</f>
        <v>916.43781875245202</v>
      </c>
      <c r="O593" s="1151"/>
      <c r="P593" s="1102"/>
      <c r="Q593" s="1004">
        <v>80</v>
      </c>
      <c r="R593" s="1004">
        <v>3</v>
      </c>
      <c r="S593" s="1004">
        <v>4</v>
      </c>
      <c r="T593" s="1004">
        <v>150</v>
      </c>
      <c r="U593" s="1004">
        <v>1</v>
      </c>
      <c r="V593" s="1152">
        <v>45</v>
      </c>
      <c r="W593" s="1004">
        <v>1</v>
      </c>
      <c r="X593" s="1153">
        <v>1825</v>
      </c>
      <c r="Y593" s="89"/>
      <c r="Z593" s="1154"/>
      <c r="AA593" s="1155">
        <f>1000*M593/Q593</f>
        <v>292</v>
      </c>
      <c r="AB593" s="95"/>
      <c r="AC593" s="103">
        <f>T593/V593</f>
        <v>3.3333333333333335</v>
      </c>
      <c r="AD593" s="1047">
        <f>512*72*V593/1000000</f>
        <v>1.6588799999999999</v>
      </c>
      <c r="AE593" s="1156">
        <v>7.4</v>
      </c>
      <c r="AF593" s="1049">
        <f>(AE593*1000000-V593*36*1024)/(6000*L593)</f>
        <v>65.537899543378998</v>
      </c>
      <c r="AG593" s="492" t="s">
        <v>1170</v>
      </c>
    </row>
    <row r="594" spans="1:33" x14ac:dyDescent="0.2">
      <c r="A594" s="188" t="s">
        <v>929</v>
      </c>
      <c r="B594" s="17" t="s">
        <v>702</v>
      </c>
      <c r="C594" s="227" t="s">
        <v>697</v>
      </c>
      <c r="D594" s="213"/>
      <c r="E594" s="910" t="s">
        <v>1599</v>
      </c>
      <c r="F594" s="1192" t="s">
        <v>1555</v>
      </c>
      <c r="G594" s="43">
        <v>30.706499999999998</v>
      </c>
      <c r="H594" s="128">
        <v>10</v>
      </c>
      <c r="I594" s="430">
        <v>106</v>
      </c>
      <c r="J594" s="138"/>
      <c r="K594" s="44"/>
      <c r="L594" s="456">
        <f t="shared" si="248"/>
        <v>20.8</v>
      </c>
      <c r="M594" s="457">
        <f t="shared" si="249"/>
        <v>33.28</v>
      </c>
      <c r="N594" s="889">
        <f t="shared" si="250"/>
        <v>1083.8096168563659</v>
      </c>
      <c r="O594" s="65"/>
      <c r="P594" s="65"/>
      <c r="Q594" s="65">
        <v>90</v>
      </c>
      <c r="R594" s="65">
        <v>5</v>
      </c>
      <c r="S594" s="65">
        <v>4</v>
      </c>
      <c r="T594" s="65">
        <v>250</v>
      </c>
      <c r="U594" s="65">
        <v>1</v>
      </c>
      <c r="V594" s="65">
        <v>50</v>
      </c>
      <c r="W594" s="71">
        <v>1</v>
      </c>
      <c r="X594" s="115">
        <v>2600</v>
      </c>
      <c r="Y594" s="87"/>
      <c r="Z594" s="141"/>
      <c r="AA594" s="371">
        <f t="shared" si="251"/>
        <v>369.77777777777777</v>
      </c>
      <c r="AB594" s="54"/>
      <c r="AC594" s="99">
        <f t="shared" si="252"/>
        <v>5</v>
      </c>
      <c r="AD594" s="191">
        <f t="shared" si="253"/>
        <v>1.8431999999999999</v>
      </c>
      <c r="AE594" s="446">
        <v>17.536096000000001</v>
      </c>
      <c r="AF594" s="1049">
        <f>(AE594*1000000-V594*36*1024)/(6000*L594)</f>
        <v>125.74435897435897</v>
      </c>
      <c r="AG594" s="6" t="s">
        <v>2324</v>
      </c>
    </row>
    <row r="595" spans="1:33" x14ac:dyDescent="0.2">
      <c r="A595" s="494" t="s">
        <v>189</v>
      </c>
      <c r="B595" s="17" t="s">
        <v>702</v>
      </c>
      <c r="C595" s="227" t="s">
        <v>697</v>
      </c>
      <c r="D595" s="213" t="s">
        <v>704</v>
      </c>
      <c r="E595" s="910" t="s">
        <v>1156</v>
      </c>
      <c r="F595" s="143" t="s">
        <v>1555</v>
      </c>
      <c r="G595" s="43">
        <v>51.59</v>
      </c>
      <c r="H595" s="128">
        <v>10</v>
      </c>
      <c r="I595" s="430">
        <v>106</v>
      </c>
      <c r="J595" s="138"/>
      <c r="K595" s="44"/>
      <c r="L595" s="456">
        <f t="shared" si="248"/>
        <v>32.6</v>
      </c>
      <c r="M595" s="457">
        <f t="shared" si="249"/>
        <v>52.16</v>
      </c>
      <c r="N595" s="889">
        <f t="shared" si="250"/>
        <v>1011.0486528396975</v>
      </c>
      <c r="O595" s="65"/>
      <c r="P595" s="65"/>
      <c r="Q595" s="65">
        <v>120</v>
      </c>
      <c r="R595" s="65">
        <v>5</v>
      </c>
      <c r="S595" s="65">
        <v>4</v>
      </c>
      <c r="T595" s="65">
        <v>250</v>
      </c>
      <c r="U595" s="65">
        <v>1</v>
      </c>
      <c r="V595" s="65">
        <v>75</v>
      </c>
      <c r="W595" s="71">
        <v>1</v>
      </c>
      <c r="X595" s="115">
        <v>4075</v>
      </c>
      <c r="Y595" s="87"/>
      <c r="Z595" s="141"/>
      <c r="AA595" s="371">
        <f t="shared" si="251"/>
        <v>434.66666666666669</v>
      </c>
      <c r="AB595" s="54"/>
      <c r="AC595" s="99">
        <f t="shared" si="252"/>
        <v>3.3333333333333335</v>
      </c>
      <c r="AD595" s="191">
        <f t="shared" si="253"/>
        <v>2.7648000000000001</v>
      </c>
      <c r="AE595" s="446"/>
      <c r="AF595" s="198"/>
    </row>
    <row r="596" spans="1:33" x14ac:dyDescent="0.2">
      <c r="A596" s="494" t="s">
        <v>189</v>
      </c>
      <c r="B596" s="17" t="s">
        <v>702</v>
      </c>
      <c r="C596" s="227" t="s">
        <v>697</v>
      </c>
      <c r="D596" s="213"/>
      <c r="E596" s="910" t="s">
        <v>1600</v>
      </c>
      <c r="F596" s="143" t="s">
        <v>1684</v>
      </c>
      <c r="G596" s="43">
        <v>88.89</v>
      </c>
      <c r="H596" s="128">
        <v>15</v>
      </c>
      <c r="I596" s="430">
        <v>170</v>
      </c>
      <c r="J596" s="138"/>
      <c r="K596" s="44"/>
      <c r="L596" s="456">
        <f t="shared" si="248"/>
        <v>47.2</v>
      </c>
      <c r="M596" s="457">
        <f t="shared" si="249"/>
        <v>75.52</v>
      </c>
      <c r="N596" s="889">
        <f t="shared" si="250"/>
        <v>849.58938013274837</v>
      </c>
      <c r="O596" s="65"/>
      <c r="P596" s="65"/>
      <c r="Q596" s="65">
        <v>180</v>
      </c>
      <c r="R596" s="65">
        <v>6</v>
      </c>
      <c r="S596" s="65">
        <v>8</v>
      </c>
      <c r="T596" s="65">
        <v>300</v>
      </c>
      <c r="U596" s="65">
        <v>1</v>
      </c>
      <c r="V596" s="65">
        <v>105</v>
      </c>
      <c r="W596" s="71">
        <v>1</v>
      </c>
      <c r="X596" s="115">
        <v>5900</v>
      </c>
      <c r="Y596" s="87"/>
      <c r="Z596" s="141"/>
      <c r="AA596" s="371">
        <f t="shared" si="251"/>
        <v>419.55555555555554</v>
      </c>
      <c r="AB596" s="54"/>
      <c r="AC596" s="99">
        <f t="shared" si="252"/>
        <v>2.8571428571428572</v>
      </c>
      <c r="AD596" s="191">
        <f t="shared" si="253"/>
        <v>3.8707199999999999</v>
      </c>
      <c r="AE596" s="446"/>
      <c r="AF596" s="198"/>
      <c r="AG596" s="492"/>
    </row>
    <row r="597" spans="1:33" x14ac:dyDescent="0.2">
      <c r="A597" s="188" t="s">
        <v>929</v>
      </c>
      <c r="B597" s="17" t="s">
        <v>702</v>
      </c>
      <c r="C597" s="227" t="s">
        <v>697</v>
      </c>
      <c r="D597" s="213" t="s">
        <v>704</v>
      </c>
      <c r="E597" s="513" t="s">
        <v>1157</v>
      </c>
      <c r="F597" s="143" t="s">
        <v>1743</v>
      </c>
      <c r="G597" s="43">
        <v>109.2</v>
      </c>
      <c r="H597" s="128">
        <v>15</v>
      </c>
      <c r="I597" s="430">
        <v>210</v>
      </c>
      <c r="J597" s="138"/>
      <c r="K597" s="44"/>
      <c r="L597" s="456">
        <f t="shared" si="248"/>
        <v>63.4</v>
      </c>
      <c r="M597" s="457">
        <f t="shared" si="249"/>
        <v>101.44</v>
      </c>
      <c r="N597" s="889">
        <f>IF(AND(G597&lt;&gt;"",M597&lt;&gt;""),1000*M597/G597,"")</f>
        <v>928.93772893772893</v>
      </c>
      <c r="O597" s="65"/>
      <c r="P597" s="65"/>
      <c r="Q597" s="65">
        <v>240</v>
      </c>
      <c r="R597" s="65">
        <v>6</v>
      </c>
      <c r="S597" s="65">
        <v>8</v>
      </c>
      <c r="T597" s="65">
        <v>300</v>
      </c>
      <c r="U597" s="65">
        <v>1</v>
      </c>
      <c r="V597" s="65">
        <v>135</v>
      </c>
      <c r="W597" s="71">
        <v>1</v>
      </c>
      <c r="X597" s="115">
        <v>7925</v>
      </c>
      <c r="Y597" s="87"/>
      <c r="Z597" s="141"/>
      <c r="AA597" s="371">
        <f t="shared" si="251"/>
        <v>422.66666666666669</v>
      </c>
      <c r="AB597" s="54"/>
      <c r="AC597" s="99">
        <f t="shared" si="252"/>
        <v>2.2222222222222223</v>
      </c>
      <c r="AD597" s="191">
        <f t="shared" si="253"/>
        <v>4.9766399999999997</v>
      </c>
      <c r="AE597" s="446">
        <v>31.3</v>
      </c>
      <c r="AF597" s="198">
        <f>(AE597*1000000-V597*36*1024)/(6000*L597)</f>
        <v>69.199158780231329</v>
      </c>
    </row>
    <row r="598" spans="1:33" x14ac:dyDescent="0.2">
      <c r="A598" s="188" t="s">
        <v>929</v>
      </c>
      <c r="B598" s="17" t="s">
        <v>702</v>
      </c>
      <c r="C598" s="227" t="s">
        <v>697</v>
      </c>
      <c r="D598" s="213" t="s">
        <v>704</v>
      </c>
      <c r="E598" s="513" t="s">
        <v>1158</v>
      </c>
      <c r="F598" s="143" t="s">
        <v>1379</v>
      </c>
      <c r="G598" s="43">
        <v>193.7</v>
      </c>
      <c r="H598" s="128">
        <v>19</v>
      </c>
      <c r="I598" s="430">
        <v>285</v>
      </c>
      <c r="J598" s="138"/>
      <c r="K598" s="44"/>
      <c r="L598" s="456">
        <f t="shared" si="248"/>
        <v>134.6</v>
      </c>
      <c r="M598" s="457">
        <f t="shared" si="249"/>
        <v>215.36</v>
      </c>
      <c r="N598" s="889">
        <f>IF(AND(G598&lt;&gt;"",M598&lt;&gt;""),1000*M598/G598,"")</f>
        <v>1111.8224057821374</v>
      </c>
      <c r="O598" s="65"/>
      <c r="P598" s="65"/>
      <c r="Q598" s="65">
        <v>740</v>
      </c>
      <c r="R598" s="65">
        <v>10</v>
      </c>
      <c r="S598" s="65">
        <v>16</v>
      </c>
      <c r="T598" s="65">
        <v>500</v>
      </c>
      <c r="U598" s="65">
        <v>1</v>
      </c>
      <c r="V598" s="65">
        <v>365</v>
      </c>
      <c r="W598" s="71">
        <v>1</v>
      </c>
      <c r="X598" s="115">
        <v>16825</v>
      </c>
      <c r="Y598" s="87"/>
      <c r="Z598" s="141"/>
      <c r="AA598" s="371">
        <f t="shared" si="251"/>
        <v>291.02702702702703</v>
      </c>
      <c r="AB598" s="54"/>
      <c r="AC598" s="99">
        <f t="shared" si="252"/>
        <v>1.3698630136986301</v>
      </c>
      <c r="AD598" s="191">
        <f t="shared" si="253"/>
        <v>13.455360000000001</v>
      </c>
      <c r="AE598" s="446">
        <v>74.2</v>
      </c>
      <c r="AF598" s="198">
        <f>(AE598*1000000-V598*36*1024)/(6000*L598)</f>
        <v>75.216245666171375</v>
      </c>
    </row>
    <row r="599" spans="1:33" s="751" customFormat="1" ht="13.5" thickBot="1" x14ac:dyDescent="0.25">
      <c r="A599" s="749"/>
      <c r="B599" s="555" t="s">
        <v>702</v>
      </c>
      <c r="C599" s="574" t="s">
        <v>697</v>
      </c>
      <c r="D599" s="757"/>
      <c r="E599" s="555" t="s">
        <v>1159</v>
      </c>
      <c r="F599" s="758"/>
      <c r="G599" s="759"/>
      <c r="H599" s="760">
        <v>23</v>
      </c>
      <c r="I599" s="761">
        <v>285</v>
      </c>
      <c r="J599" s="560"/>
      <c r="K599" s="762"/>
      <c r="L599" s="456">
        <f t="shared" si="248"/>
        <v>221</v>
      </c>
      <c r="M599" s="457">
        <f t="shared" si="249"/>
        <v>353.6</v>
      </c>
      <c r="N599" s="890"/>
      <c r="O599" s="565"/>
      <c r="P599" s="565"/>
      <c r="Q599" s="565">
        <v>1080</v>
      </c>
      <c r="R599" s="565">
        <v>12</v>
      </c>
      <c r="S599" s="565">
        <v>16</v>
      </c>
      <c r="T599" s="565">
        <v>600</v>
      </c>
      <c r="U599" s="565">
        <v>1</v>
      </c>
      <c r="V599" s="565">
        <v>515</v>
      </c>
      <c r="W599" s="586">
        <v>1</v>
      </c>
      <c r="X599" s="763">
        <v>27625</v>
      </c>
      <c r="Y599" s="764"/>
      <c r="Z599" s="765"/>
      <c r="AA599" s="601">
        <f t="shared" si="251"/>
        <v>327.40740740740739</v>
      </c>
      <c r="AB599" s="766"/>
      <c r="AC599" s="767">
        <f t="shared" si="252"/>
        <v>1.1650485436893203</v>
      </c>
      <c r="AD599" s="572">
        <f t="shared" si="253"/>
        <v>18.984960000000001</v>
      </c>
      <c r="AE599" s="768">
        <v>108.5</v>
      </c>
      <c r="AF599" s="594"/>
      <c r="AG599" s="756"/>
    </row>
    <row r="600" spans="1:33" x14ac:dyDescent="0.2">
      <c r="A600" s="182"/>
      <c r="B600" s="48" t="s">
        <v>715</v>
      </c>
      <c r="C600" s="226"/>
      <c r="D600" s="212"/>
      <c r="E600" s="12" t="s">
        <v>961</v>
      </c>
      <c r="F600" s="466" t="s">
        <v>1018</v>
      </c>
      <c r="G600" s="14" t="s">
        <v>22</v>
      </c>
      <c r="H600" s="40" t="s">
        <v>531</v>
      </c>
      <c r="I600" s="123"/>
      <c r="J600" s="15"/>
      <c r="K600" s="16" t="s">
        <v>22</v>
      </c>
      <c r="L600" s="248" t="s">
        <v>665</v>
      </c>
      <c r="M600" s="383" t="s">
        <v>696</v>
      </c>
      <c r="N600" s="380">
        <f>AVERAGE(N601:N607)</f>
        <v>358.06835688084072</v>
      </c>
      <c r="O600" s="382">
        <f>AVERAGE(O601:O753)</f>
        <v>237.44298290903649</v>
      </c>
      <c r="P600" s="60"/>
      <c r="Q600" s="399" t="s">
        <v>1739</v>
      </c>
      <c r="R600" s="61" t="s">
        <v>976</v>
      </c>
      <c r="S600" s="61" t="s">
        <v>966</v>
      </c>
      <c r="T600" s="61"/>
      <c r="U600" s="61" t="s">
        <v>964</v>
      </c>
      <c r="V600" s="74" t="s">
        <v>433</v>
      </c>
      <c r="W600" s="399" t="s">
        <v>1167</v>
      </c>
      <c r="X600" s="109" t="s">
        <v>207</v>
      </c>
      <c r="Y600" s="80" t="s">
        <v>695</v>
      </c>
      <c r="Z600" s="206"/>
      <c r="AA600" s="370">
        <f>AVERAGE(AA601:AA607)</f>
        <v>277.3839486865665</v>
      </c>
      <c r="AB600" s="92">
        <f>AVERAGE(AB601:AB753)</f>
        <v>409.25766961123651</v>
      </c>
      <c r="AC600" s="1452">
        <f>AVERAGE(AC601:AC607)</f>
        <v>0.92330114856941237</v>
      </c>
      <c r="AD600" s="109" t="s">
        <v>650</v>
      </c>
      <c r="AE600" s="195"/>
      <c r="AF600" s="196">
        <f>AVERAGE(AF601:AF607)</f>
        <v>64.038048983557701</v>
      </c>
      <c r="AG600" t="s">
        <v>984</v>
      </c>
    </row>
    <row r="601" spans="1:33" x14ac:dyDescent="0.2">
      <c r="A601" s="188" t="s">
        <v>929</v>
      </c>
      <c r="B601" s="17" t="s">
        <v>702</v>
      </c>
      <c r="C601" s="227" t="s">
        <v>697</v>
      </c>
      <c r="D601" s="213"/>
      <c r="E601" s="513" t="s">
        <v>974</v>
      </c>
      <c r="F601" s="143" t="s">
        <v>1336</v>
      </c>
      <c r="G601" s="43">
        <v>133.91</v>
      </c>
      <c r="H601" s="128">
        <v>23</v>
      </c>
      <c r="I601" s="430">
        <v>285</v>
      </c>
      <c r="J601" s="138"/>
      <c r="K601" s="44"/>
      <c r="L601" s="456">
        <f t="shared" ref="L601:L607" si="254">8*X601/1000</f>
        <v>41</v>
      </c>
      <c r="M601" s="457">
        <f t="shared" ref="M601:M607" si="255">12.8*X601/1000</f>
        <v>65.599999999999994</v>
      </c>
      <c r="N601" s="65">
        <f t="shared" ref="N601:N607" si="256">IF(AND(G601&lt;&gt;"",M601&lt;&gt;""),1000*M601/G601,"")</f>
        <v>489.88126353521022</v>
      </c>
      <c r="O601" s="65"/>
      <c r="P601" s="65"/>
      <c r="Q601" s="65">
        <v>240</v>
      </c>
      <c r="R601" s="65">
        <v>6</v>
      </c>
      <c r="S601" s="65">
        <v>8</v>
      </c>
      <c r="T601" s="65">
        <v>300</v>
      </c>
      <c r="U601" s="65">
        <v>1</v>
      </c>
      <c r="V601" s="65">
        <v>135</v>
      </c>
      <c r="W601" s="71">
        <v>1</v>
      </c>
      <c r="X601" s="115">
        <v>5125</v>
      </c>
      <c r="Y601" s="87"/>
      <c r="Z601" s="141"/>
      <c r="AA601" s="371">
        <f t="shared" ref="AA601:AA607" si="257">1000*M601/Q601</f>
        <v>273.33333333333331</v>
      </c>
      <c r="AB601" s="54"/>
      <c r="AC601" s="281">
        <f t="shared" ref="AC601:AC607" si="258">T601/V601</f>
        <v>2.2222222222222223</v>
      </c>
      <c r="AD601" s="191">
        <f t="shared" ref="AD601:AD607" si="259">512*72*V601/1000000</f>
        <v>4.9766399999999997</v>
      </c>
      <c r="AE601" s="446">
        <v>23</v>
      </c>
      <c r="AF601" s="198">
        <f t="shared" ref="AF601:AF607" si="260">(AE601*1000000-V601*36*1024)/(6000*L601)</f>
        <v>73.265691056910569</v>
      </c>
      <c r="AG601" s="493" t="s">
        <v>1168</v>
      </c>
    </row>
    <row r="602" spans="1:33" x14ac:dyDescent="0.2">
      <c r="A602" s="188" t="s">
        <v>929</v>
      </c>
      <c r="B602" s="17" t="s">
        <v>702</v>
      </c>
      <c r="C602" s="227" t="s">
        <v>697</v>
      </c>
      <c r="D602" s="213"/>
      <c r="E602" s="513" t="s">
        <v>1039</v>
      </c>
      <c r="F602" s="143" t="s">
        <v>1336</v>
      </c>
      <c r="G602" s="43">
        <v>208.75</v>
      </c>
      <c r="H602" s="128">
        <v>23</v>
      </c>
      <c r="I602" s="430">
        <v>285</v>
      </c>
      <c r="J602" s="138"/>
      <c r="K602" s="44"/>
      <c r="L602" s="456">
        <f t="shared" si="254"/>
        <v>101.4</v>
      </c>
      <c r="M602" s="457">
        <f t="shared" si="255"/>
        <v>162.24</v>
      </c>
      <c r="N602" s="65">
        <f t="shared" si="256"/>
        <v>777.19760479041918</v>
      </c>
      <c r="O602" s="65"/>
      <c r="P602" s="65"/>
      <c r="Q602" s="65">
        <v>600</v>
      </c>
      <c r="R602" s="65">
        <v>8</v>
      </c>
      <c r="S602" s="65">
        <v>8</v>
      </c>
      <c r="T602" s="65">
        <v>400</v>
      </c>
      <c r="U602" s="65">
        <v>1</v>
      </c>
      <c r="V602" s="65">
        <v>325</v>
      </c>
      <c r="W602" s="71">
        <v>1</v>
      </c>
      <c r="X602" s="115">
        <v>12675</v>
      </c>
      <c r="Y602" s="87"/>
      <c r="Z602" s="141"/>
      <c r="AA602" s="371">
        <f t="shared" si="257"/>
        <v>270.39999999999998</v>
      </c>
      <c r="AB602" s="54"/>
      <c r="AC602" s="281">
        <f t="shared" si="258"/>
        <v>1.2307692307692308</v>
      </c>
      <c r="AD602" s="191">
        <f t="shared" si="259"/>
        <v>11.9808</v>
      </c>
      <c r="AE602" s="446">
        <v>51.1</v>
      </c>
      <c r="AF602" s="198">
        <f t="shared" si="260"/>
        <v>64.298487836949377</v>
      </c>
      <c r="AG602" s="493" t="s">
        <v>1169</v>
      </c>
    </row>
    <row r="603" spans="1:33" x14ac:dyDescent="0.2">
      <c r="A603" s="188" t="s">
        <v>929</v>
      </c>
      <c r="B603" s="17" t="s">
        <v>702</v>
      </c>
      <c r="C603" s="227" t="s">
        <v>697</v>
      </c>
      <c r="D603" s="213" t="s">
        <v>704</v>
      </c>
      <c r="E603" s="41" t="s">
        <v>1040</v>
      </c>
      <c r="F603" s="179" t="s">
        <v>1250</v>
      </c>
      <c r="G603" s="43">
        <v>898.75</v>
      </c>
      <c r="H603" s="128">
        <v>27</v>
      </c>
      <c r="I603" s="430">
        <v>400</v>
      </c>
      <c r="J603" s="138"/>
      <c r="K603" s="44"/>
      <c r="L603" s="456">
        <f t="shared" si="254"/>
        <v>203.8</v>
      </c>
      <c r="M603" s="457">
        <f t="shared" si="255"/>
        <v>326.08</v>
      </c>
      <c r="N603" s="65">
        <f t="shared" si="256"/>
        <v>362.81502086230876</v>
      </c>
      <c r="O603" s="65"/>
      <c r="P603" s="65"/>
      <c r="Q603" s="65">
        <v>840</v>
      </c>
      <c r="R603" s="65">
        <v>10</v>
      </c>
      <c r="S603" s="65">
        <v>10</v>
      </c>
      <c r="T603" s="65">
        <v>500</v>
      </c>
      <c r="U603" s="65">
        <v>1</v>
      </c>
      <c r="V603" s="65">
        <v>445</v>
      </c>
      <c r="W603" s="71">
        <v>1</v>
      </c>
      <c r="X603" s="115">
        <v>25475</v>
      </c>
      <c r="Y603" s="87"/>
      <c r="Z603" s="141"/>
      <c r="AA603" s="371">
        <f t="shared" si="257"/>
        <v>388.1904761904762</v>
      </c>
      <c r="AB603" s="54"/>
      <c r="AC603" s="281">
        <f t="shared" si="258"/>
        <v>1.1235955056179776</v>
      </c>
      <c r="AD603" s="191">
        <f t="shared" si="259"/>
        <v>16.40448</v>
      </c>
      <c r="AE603" s="446">
        <v>87.3</v>
      </c>
      <c r="AF603" s="198">
        <f t="shared" si="260"/>
        <v>57.978017664376843</v>
      </c>
      <c r="AG603" s="492" t="s">
        <v>1170</v>
      </c>
    </row>
    <row r="604" spans="1:33" x14ac:dyDescent="0.2">
      <c r="A604" s="188" t="s">
        <v>929</v>
      </c>
      <c r="B604" s="17" t="s">
        <v>702</v>
      </c>
      <c r="C604" s="227" t="s">
        <v>697</v>
      </c>
      <c r="D604" s="240"/>
      <c r="E604" s="157" t="s">
        <v>1160</v>
      </c>
      <c r="F604" s="179" t="s">
        <v>1337</v>
      </c>
      <c r="G604" s="275">
        <v>1532.5</v>
      </c>
      <c r="H604" s="158">
        <v>31</v>
      </c>
      <c r="I604" s="473">
        <v>300</v>
      </c>
      <c r="J604" s="139"/>
      <c r="K604" s="47"/>
      <c r="L604" s="456">
        <f t="shared" si="254"/>
        <v>222.6</v>
      </c>
      <c r="M604" s="457">
        <f t="shared" si="255"/>
        <v>356.16</v>
      </c>
      <c r="N604" s="65">
        <f t="shared" si="256"/>
        <v>232.40456769983686</v>
      </c>
      <c r="O604" s="73"/>
      <c r="P604" s="73"/>
      <c r="Q604" s="73">
        <v>1440</v>
      </c>
      <c r="R604" s="73">
        <v>6</v>
      </c>
      <c r="S604" s="73">
        <v>6</v>
      </c>
      <c r="T604" s="73">
        <v>300</v>
      </c>
      <c r="U604" s="73">
        <v>1</v>
      </c>
      <c r="V604" s="73">
        <v>715</v>
      </c>
      <c r="W604" s="71">
        <v>1</v>
      </c>
      <c r="X604" s="475">
        <v>27825</v>
      </c>
      <c r="Y604" s="476"/>
      <c r="Z604" s="173"/>
      <c r="AA604" s="371">
        <f t="shared" si="257"/>
        <v>247.33333333333334</v>
      </c>
      <c r="AB604" s="57"/>
      <c r="AC604" s="908">
        <f t="shared" si="258"/>
        <v>0.41958041958041958</v>
      </c>
      <c r="AD604" s="191">
        <f t="shared" si="259"/>
        <v>26.357759999999999</v>
      </c>
      <c r="AE604" s="446">
        <v>107.3</v>
      </c>
      <c r="AF604" s="198">
        <f t="shared" si="260"/>
        <v>60.603653788559448</v>
      </c>
      <c r="AG604" s="6" t="s">
        <v>2324</v>
      </c>
    </row>
    <row r="605" spans="1:33" x14ac:dyDescent="0.2">
      <c r="A605" s="188" t="s">
        <v>929</v>
      </c>
      <c r="B605" s="17" t="s">
        <v>702</v>
      </c>
      <c r="C605" s="227" t="s">
        <v>697</v>
      </c>
      <c r="D605" s="240" t="s">
        <v>704</v>
      </c>
      <c r="E605" s="157" t="s">
        <v>975</v>
      </c>
      <c r="F605" s="179" t="s">
        <v>1250</v>
      </c>
      <c r="G605" s="275">
        <v>1301.25</v>
      </c>
      <c r="H605" s="158">
        <v>27</v>
      </c>
      <c r="I605" s="473">
        <v>400</v>
      </c>
      <c r="J605" s="139"/>
      <c r="K605" s="47"/>
      <c r="L605" s="456">
        <f t="shared" si="254"/>
        <v>254.2</v>
      </c>
      <c r="M605" s="457">
        <f t="shared" si="255"/>
        <v>406.72</v>
      </c>
      <c r="N605" s="65">
        <f t="shared" si="256"/>
        <v>312.56099903938519</v>
      </c>
      <c r="O605" s="73"/>
      <c r="P605" s="73"/>
      <c r="Q605" s="73">
        <v>1540</v>
      </c>
      <c r="R605" s="73">
        <v>10</v>
      </c>
      <c r="S605" s="73">
        <v>10</v>
      </c>
      <c r="T605" s="73">
        <v>500</v>
      </c>
      <c r="U605" s="73">
        <v>1</v>
      </c>
      <c r="V605" s="73">
        <v>795</v>
      </c>
      <c r="W605" s="71">
        <v>1</v>
      </c>
      <c r="X605" s="475">
        <v>31775</v>
      </c>
      <c r="Y605" s="476"/>
      <c r="Z605" s="173"/>
      <c r="AA605" s="371">
        <f t="shared" si="257"/>
        <v>264.10389610389609</v>
      </c>
      <c r="AB605" s="57"/>
      <c r="AC605" s="908">
        <f t="shared" si="258"/>
        <v>0.62893081761006286</v>
      </c>
      <c r="AD605" s="191">
        <f t="shared" si="259"/>
        <v>29.30688</v>
      </c>
      <c r="AE605" s="446">
        <v>121.1</v>
      </c>
      <c r="AF605" s="198">
        <f t="shared" si="260"/>
        <v>60.184316810910047</v>
      </c>
    </row>
    <row r="606" spans="1:33" x14ac:dyDescent="0.2">
      <c r="A606" s="188" t="s">
        <v>929</v>
      </c>
      <c r="B606" s="17" t="s">
        <v>702</v>
      </c>
      <c r="C606" s="227" t="s">
        <v>697</v>
      </c>
      <c r="D606" s="240"/>
      <c r="E606" s="157" t="s">
        <v>1161</v>
      </c>
      <c r="F606" s="179" t="s">
        <v>1521</v>
      </c>
      <c r="G606" s="275">
        <v>2491.25</v>
      </c>
      <c r="H606" s="158">
        <v>31</v>
      </c>
      <c r="I606" s="473">
        <v>350</v>
      </c>
      <c r="J606" s="139"/>
      <c r="K606" s="47"/>
      <c r="L606" s="456">
        <f t="shared" si="254"/>
        <v>260.60000000000002</v>
      </c>
      <c r="M606" s="457">
        <f t="shared" si="255"/>
        <v>416.96</v>
      </c>
      <c r="N606" s="65">
        <f t="shared" si="256"/>
        <v>167.36979427997994</v>
      </c>
      <c r="O606" s="73"/>
      <c r="P606" s="73"/>
      <c r="Q606" s="73">
        <v>1680</v>
      </c>
      <c r="R606" s="73">
        <v>7</v>
      </c>
      <c r="S606" s="73">
        <v>7</v>
      </c>
      <c r="T606" s="73">
        <v>350</v>
      </c>
      <c r="U606" s="73">
        <v>1</v>
      </c>
      <c r="V606" s="73">
        <v>835</v>
      </c>
      <c r="W606" s="71">
        <v>1</v>
      </c>
      <c r="X606" s="475">
        <v>32575</v>
      </c>
      <c r="Y606" s="476"/>
      <c r="Z606" s="173"/>
      <c r="AA606" s="371">
        <f t="shared" si="257"/>
        <v>248.1904761904762</v>
      </c>
      <c r="AB606" s="57"/>
      <c r="AC606" s="908">
        <f t="shared" si="258"/>
        <v>0.41916167664670656</v>
      </c>
      <c r="AD606" s="191">
        <f t="shared" si="259"/>
        <v>30.78144</v>
      </c>
      <c r="AE606" s="446">
        <v>143</v>
      </c>
      <c r="AF606" s="198">
        <f t="shared" si="260"/>
        <v>71.769352775645928</v>
      </c>
    </row>
    <row r="607" spans="1:33" ht="13.5" thickBot="1" x14ac:dyDescent="0.25">
      <c r="A607" s="188" t="s">
        <v>929</v>
      </c>
      <c r="B607" s="21" t="s">
        <v>702</v>
      </c>
      <c r="C607" s="227" t="s">
        <v>697</v>
      </c>
      <c r="D607" s="214"/>
      <c r="E607" s="33" t="s">
        <v>1162</v>
      </c>
      <c r="F607" s="144" t="s">
        <v>1521</v>
      </c>
      <c r="G607" s="34">
        <v>2908.75</v>
      </c>
      <c r="H607" s="130">
        <v>31</v>
      </c>
      <c r="I607" s="418">
        <v>380</v>
      </c>
      <c r="J607" s="150"/>
      <c r="K607" s="35"/>
      <c r="L607" s="456">
        <f t="shared" si="254"/>
        <v>298.60000000000002</v>
      </c>
      <c r="M607" s="457">
        <f t="shared" si="255"/>
        <v>477.76</v>
      </c>
      <c r="N607" s="65">
        <f t="shared" si="256"/>
        <v>164.24924795874517</v>
      </c>
      <c r="O607" s="68"/>
      <c r="P607" s="68"/>
      <c r="Q607" s="68">
        <v>1910</v>
      </c>
      <c r="R607" s="68">
        <v>8</v>
      </c>
      <c r="S607" s="68">
        <v>8</v>
      </c>
      <c r="T607" s="68">
        <v>400</v>
      </c>
      <c r="U607" s="68">
        <v>1</v>
      </c>
      <c r="V607" s="68">
        <v>955</v>
      </c>
      <c r="W607" s="71">
        <v>1</v>
      </c>
      <c r="X607" s="116">
        <v>37325</v>
      </c>
      <c r="Y607" s="205"/>
      <c r="Z607" s="142"/>
      <c r="AA607" s="371">
        <f t="shared" si="257"/>
        <v>250.13612565445027</v>
      </c>
      <c r="AB607" s="55"/>
      <c r="AC607" s="294">
        <f t="shared" si="258"/>
        <v>0.41884816753926701</v>
      </c>
      <c r="AD607" s="191">
        <f t="shared" si="259"/>
        <v>35.205120000000001</v>
      </c>
      <c r="AE607" s="447">
        <v>143</v>
      </c>
      <c r="AF607" s="198">
        <f t="shared" si="260"/>
        <v>60.16682295155168</v>
      </c>
    </row>
    <row r="608" spans="1:33" x14ac:dyDescent="0.2">
      <c r="A608" s="182"/>
      <c r="B608" s="48" t="s">
        <v>715</v>
      </c>
      <c r="C608" s="226"/>
      <c r="D608" s="212"/>
      <c r="E608" s="12" t="s">
        <v>962</v>
      </c>
      <c r="F608" s="466" t="s">
        <v>1018</v>
      </c>
      <c r="G608" s="14" t="s">
        <v>22</v>
      </c>
      <c r="H608" s="40" t="s">
        <v>531</v>
      </c>
      <c r="I608" s="123"/>
      <c r="J608" s="15"/>
      <c r="K608" s="16" t="s">
        <v>22</v>
      </c>
      <c r="L608" s="248" t="s">
        <v>665</v>
      </c>
      <c r="M608" s="383" t="s">
        <v>696</v>
      </c>
      <c r="N608" s="380">
        <f>AVERAGE(N609:N621)</f>
        <v>116.52076665977415</v>
      </c>
      <c r="O608" s="382">
        <f>AVERAGE(O609:O759)</f>
        <v>188.98432395498219</v>
      </c>
      <c r="P608" s="60"/>
      <c r="Q608" s="399" t="s">
        <v>1739</v>
      </c>
      <c r="R608" s="61" t="s">
        <v>976</v>
      </c>
      <c r="S608" s="61" t="s">
        <v>967</v>
      </c>
      <c r="T608" s="61"/>
      <c r="U608" s="61" t="s">
        <v>982</v>
      </c>
      <c r="V608" s="74" t="s">
        <v>433</v>
      </c>
      <c r="W608" s="399" t="s">
        <v>1167</v>
      </c>
      <c r="X608" s="109" t="s">
        <v>207</v>
      </c>
      <c r="Y608" s="80" t="s">
        <v>695</v>
      </c>
      <c r="Z608" s="206"/>
      <c r="AA608" s="370">
        <f>AVERAGE(AA609:AA618)</f>
        <v>387.02476190476193</v>
      </c>
      <c r="AB608" s="92">
        <f>AVERAGE(AB609:AB759)</f>
        <v>408.18739608089925</v>
      </c>
      <c r="AC608" s="1452">
        <f>AVERAGE(AC609:AC621)</f>
        <v>0.7129261149947711</v>
      </c>
      <c r="AD608" s="109" t="s">
        <v>650</v>
      </c>
      <c r="AE608" s="195"/>
      <c r="AF608" s="196">
        <f>AVERAGE(AF609:AF621)</f>
        <v>62.895963490592067</v>
      </c>
      <c r="AG608" s="6" t="s">
        <v>1038</v>
      </c>
    </row>
    <row r="609" spans="1:33" x14ac:dyDescent="0.2">
      <c r="A609" s="188" t="s">
        <v>929</v>
      </c>
      <c r="B609" s="17" t="s">
        <v>702</v>
      </c>
      <c r="C609" s="227" t="s">
        <v>697</v>
      </c>
      <c r="D609" s="213" t="s">
        <v>704</v>
      </c>
      <c r="E609" s="41" t="s">
        <v>977</v>
      </c>
      <c r="F609" s="143" t="s">
        <v>1338</v>
      </c>
      <c r="G609" s="43">
        <v>3394.8</v>
      </c>
      <c r="H609" s="128">
        <v>35</v>
      </c>
      <c r="I609" s="430">
        <v>600</v>
      </c>
      <c r="J609" s="138"/>
      <c r="K609" s="44"/>
      <c r="L609" s="456">
        <f t="shared" ref="L609:L621" si="261">8*X609/1000</f>
        <v>364.2</v>
      </c>
      <c r="M609" s="457">
        <f t="shared" ref="M609:M621" si="262">12.8*X609/1000</f>
        <v>582.72</v>
      </c>
      <c r="N609" s="65">
        <f t="shared" ref="N609:N621" si="263">IF(AND(G609&lt;&gt;"",M609&lt;&gt;""),1000*M609/G609,"")</f>
        <v>171.65075998586073</v>
      </c>
      <c r="O609" s="65"/>
      <c r="P609" s="65"/>
      <c r="Q609" s="65">
        <v>1260</v>
      </c>
      <c r="R609" s="65">
        <v>18</v>
      </c>
      <c r="S609" s="65">
        <v>36</v>
      </c>
      <c r="T609" s="449">
        <v>850</v>
      </c>
      <c r="U609" s="65">
        <v>3</v>
      </c>
      <c r="V609" s="65">
        <v>795</v>
      </c>
      <c r="W609" s="71">
        <v>1</v>
      </c>
      <c r="X609" s="115">
        <v>45525</v>
      </c>
      <c r="Y609" s="87"/>
      <c r="Z609" s="141"/>
      <c r="AA609" s="371">
        <f t="shared" ref="AA609:AA621" si="264">1000*M609/Q609</f>
        <v>462.47619047619048</v>
      </c>
      <c r="AB609" s="54"/>
      <c r="AC609" s="281">
        <f t="shared" ref="AC609:AC621" si="265">T609/V609</f>
        <v>1.0691823899371069</v>
      </c>
      <c r="AD609" s="191">
        <f t="shared" ref="AD609:AD621" si="266">512*72*V609/1000000</f>
        <v>29.30688</v>
      </c>
      <c r="AE609" s="446">
        <v>153.9</v>
      </c>
      <c r="AF609" s="198">
        <f t="shared" ref="AF609:AF621" si="267">(AE609*1000000-V609*36*1024)/(6000*L609)</f>
        <v>57.016803953871502</v>
      </c>
      <c r="AG609" s="493" t="s">
        <v>1168</v>
      </c>
    </row>
    <row r="610" spans="1:33" s="751" customFormat="1" x14ac:dyDescent="0.2">
      <c r="A610" s="749"/>
      <c r="B610" s="573" t="s">
        <v>702</v>
      </c>
      <c r="C610" s="574" t="s">
        <v>697</v>
      </c>
      <c r="D610" s="554"/>
      <c r="E610" s="573" t="s">
        <v>978</v>
      </c>
      <c r="F610" s="595"/>
      <c r="G610" s="596"/>
      <c r="H610" s="578">
        <v>42.5</v>
      </c>
      <c r="I610" s="579">
        <v>850</v>
      </c>
      <c r="J610" s="597"/>
      <c r="K610" s="598"/>
      <c r="L610" s="582">
        <f t="shared" si="261"/>
        <v>916.2</v>
      </c>
      <c r="M610" s="583">
        <f t="shared" si="262"/>
        <v>1465.92</v>
      </c>
      <c r="N610" s="564" t="str">
        <f t="shared" si="263"/>
        <v/>
      </c>
      <c r="O610" s="564"/>
      <c r="P610" s="564"/>
      <c r="Q610" s="564">
        <v>1620</v>
      </c>
      <c r="R610" s="564">
        <v>18</v>
      </c>
      <c r="S610" s="564">
        <v>36</v>
      </c>
      <c r="T610" s="750">
        <v>850</v>
      </c>
      <c r="U610" s="564">
        <v>3</v>
      </c>
      <c r="V610" s="564">
        <v>969</v>
      </c>
      <c r="W610" s="586">
        <v>1</v>
      </c>
      <c r="X610" s="599">
        <v>114525</v>
      </c>
      <c r="Y610" s="600"/>
      <c r="Z610" s="568"/>
      <c r="AA610" s="601">
        <f t="shared" si="264"/>
        <v>904.88888888888891</v>
      </c>
      <c r="AB610" s="602"/>
      <c r="AC610" s="1453">
        <f t="shared" si="265"/>
        <v>0.8771929824561403</v>
      </c>
      <c r="AD610" s="572">
        <f t="shared" si="266"/>
        <v>35.721215999999998</v>
      </c>
      <c r="AE610" s="603">
        <v>319.89999999999998</v>
      </c>
      <c r="AF610" s="594">
        <f t="shared" si="267"/>
        <v>51.695187368114674</v>
      </c>
    </row>
    <row r="611" spans="1:33" x14ac:dyDescent="0.2">
      <c r="A611" s="188" t="s">
        <v>929</v>
      </c>
      <c r="B611" s="17" t="s">
        <v>702</v>
      </c>
      <c r="C611" s="227" t="s">
        <v>697</v>
      </c>
      <c r="D611" s="213"/>
      <c r="E611" s="41" t="s">
        <v>979</v>
      </c>
      <c r="F611" s="143" t="s">
        <v>1141</v>
      </c>
      <c r="G611" s="128">
        <v>17564.400000000001</v>
      </c>
      <c r="H611" s="128">
        <v>45</v>
      </c>
      <c r="I611" s="430">
        <v>850</v>
      </c>
      <c r="J611" s="138"/>
      <c r="K611" s="44"/>
      <c r="L611" s="456">
        <f t="shared" si="261"/>
        <v>1141.5999999999999</v>
      </c>
      <c r="M611" s="457">
        <f t="shared" si="262"/>
        <v>1826.56</v>
      </c>
      <c r="N611" s="65">
        <f t="shared" si="263"/>
        <v>103.99216597207987</v>
      </c>
      <c r="O611" s="65"/>
      <c r="P611" s="65"/>
      <c r="Q611" s="65">
        <v>2160</v>
      </c>
      <c r="R611" s="65">
        <v>24</v>
      </c>
      <c r="S611" s="65">
        <v>36</v>
      </c>
      <c r="T611" s="449">
        <v>1200</v>
      </c>
      <c r="U611" s="65">
        <v>4</v>
      </c>
      <c r="V611" s="65">
        <v>1292</v>
      </c>
      <c r="W611" s="71">
        <v>1</v>
      </c>
      <c r="X611" s="115">
        <v>142700</v>
      </c>
      <c r="Y611" s="87"/>
      <c r="Z611" s="141"/>
      <c r="AA611" s="371">
        <f t="shared" si="264"/>
        <v>845.62962962962968</v>
      </c>
      <c r="AB611" s="54"/>
      <c r="AC611" s="281">
        <f t="shared" si="265"/>
        <v>0.92879256965944268</v>
      </c>
      <c r="AD611" s="191">
        <f t="shared" si="266"/>
        <v>47.628287999999998</v>
      </c>
      <c r="AE611" s="446">
        <v>426.6</v>
      </c>
      <c r="AF611" s="198">
        <f t="shared" si="267"/>
        <v>55.327568325157678</v>
      </c>
      <c r="AG611" s="492" t="s">
        <v>1170</v>
      </c>
    </row>
    <row r="612" spans="1:33" x14ac:dyDescent="0.2">
      <c r="A612" s="188" t="s">
        <v>929</v>
      </c>
      <c r="B612" s="41" t="s">
        <v>702</v>
      </c>
      <c r="C612" s="227" t="s">
        <v>697</v>
      </c>
      <c r="D612" s="213" t="s">
        <v>704</v>
      </c>
      <c r="E612" s="41" t="s">
        <v>1163</v>
      </c>
      <c r="F612" s="143" t="s">
        <v>1338</v>
      </c>
      <c r="G612" s="43">
        <v>2583.75</v>
      </c>
      <c r="H612" s="128">
        <v>35</v>
      </c>
      <c r="I612" s="430">
        <v>600</v>
      </c>
      <c r="J612" s="138"/>
      <c r="K612" s="44"/>
      <c r="L612" s="456">
        <f t="shared" si="261"/>
        <v>204</v>
      </c>
      <c r="M612" s="457">
        <f t="shared" si="262"/>
        <v>326.39999999999998</v>
      </c>
      <c r="N612" s="65">
        <f t="shared" si="263"/>
        <v>126.32801161103048</v>
      </c>
      <c r="O612" s="65"/>
      <c r="P612" s="65"/>
      <c r="Q612" s="65">
        <v>1120</v>
      </c>
      <c r="R612" s="65">
        <v>14</v>
      </c>
      <c r="S612" s="65">
        <v>28</v>
      </c>
      <c r="T612" s="449">
        <v>700</v>
      </c>
      <c r="U612" s="65">
        <v>2</v>
      </c>
      <c r="V612" s="65">
        <v>750</v>
      </c>
      <c r="W612" s="71">
        <v>1</v>
      </c>
      <c r="X612" s="115">
        <v>25500</v>
      </c>
      <c r="Y612" s="87"/>
      <c r="Z612" s="141"/>
      <c r="AA612" s="371">
        <f t="shared" si="264"/>
        <v>291.42857142857144</v>
      </c>
      <c r="AB612" s="54"/>
      <c r="AC612" s="281">
        <f t="shared" si="265"/>
        <v>0.93333333333333335</v>
      </c>
      <c r="AD612" s="191">
        <f t="shared" si="266"/>
        <v>27.648</v>
      </c>
      <c r="AE612" s="446">
        <v>106.1</v>
      </c>
      <c r="AF612" s="198">
        <f t="shared" si="267"/>
        <v>64.09477124183006</v>
      </c>
      <c r="AG612" s="6" t="s">
        <v>2324</v>
      </c>
    </row>
    <row r="613" spans="1:33" x14ac:dyDescent="0.2">
      <c r="A613" s="188" t="s">
        <v>929</v>
      </c>
      <c r="B613" s="17" t="s">
        <v>702</v>
      </c>
      <c r="C613" s="227" t="s">
        <v>697</v>
      </c>
      <c r="D613" s="213"/>
      <c r="E613" s="41" t="s">
        <v>980</v>
      </c>
      <c r="F613" s="143" t="s">
        <v>1338</v>
      </c>
      <c r="G613" s="43">
        <v>3051.6</v>
      </c>
      <c r="H613" s="128">
        <v>35</v>
      </c>
      <c r="I613" s="430">
        <v>600</v>
      </c>
      <c r="J613" s="138"/>
      <c r="K613" s="44"/>
      <c r="L613" s="456">
        <f t="shared" si="261"/>
        <v>257.60000000000002</v>
      </c>
      <c r="M613" s="457">
        <f t="shared" si="262"/>
        <v>412.16</v>
      </c>
      <c r="N613" s="65">
        <f t="shared" si="263"/>
        <v>135.06357320749771</v>
      </c>
      <c r="O613" s="65"/>
      <c r="P613" s="65"/>
      <c r="Q613" s="65">
        <v>2160</v>
      </c>
      <c r="R613" s="65">
        <v>12</v>
      </c>
      <c r="S613" s="65">
        <v>48</v>
      </c>
      <c r="T613" s="449">
        <v>600</v>
      </c>
      <c r="U613" s="65">
        <v>2</v>
      </c>
      <c r="V613" s="65">
        <v>880</v>
      </c>
      <c r="W613" s="71">
        <v>1</v>
      </c>
      <c r="X613" s="115">
        <v>32200</v>
      </c>
      <c r="Y613" s="87"/>
      <c r="Z613" s="141"/>
      <c r="AA613" s="371">
        <f t="shared" si="264"/>
        <v>190.81481481481481</v>
      </c>
      <c r="AB613" s="54"/>
      <c r="AC613" s="281">
        <f t="shared" si="265"/>
        <v>0.68181818181818177</v>
      </c>
      <c r="AD613" s="191">
        <f t="shared" si="266"/>
        <v>32.44032</v>
      </c>
      <c r="AE613" s="446">
        <v>131.5</v>
      </c>
      <c r="AF613" s="198">
        <f t="shared" si="267"/>
        <v>64.091407867494809</v>
      </c>
      <c r="AG613" s="493" t="s">
        <v>1169</v>
      </c>
    </row>
    <row r="614" spans="1:33" x14ac:dyDescent="0.2">
      <c r="A614" s="188" t="s">
        <v>929</v>
      </c>
      <c r="B614" s="17" t="s">
        <v>702</v>
      </c>
      <c r="C614" s="227" t="s">
        <v>697</v>
      </c>
      <c r="D614" s="213" t="s">
        <v>704</v>
      </c>
      <c r="E614" s="41" t="s">
        <v>981</v>
      </c>
      <c r="F614" s="143" t="s">
        <v>1251</v>
      </c>
      <c r="G614" s="43">
        <v>3600</v>
      </c>
      <c r="H614" s="128">
        <v>35</v>
      </c>
      <c r="I614" s="430">
        <v>600</v>
      </c>
      <c r="J614" s="138"/>
      <c r="K614" s="44"/>
      <c r="L614" s="456">
        <f t="shared" si="261"/>
        <v>303.60000000000002</v>
      </c>
      <c r="M614" s="457">
        <f t="shared" si="262"/>
        <v>485.76</v>
      </c>
      <c r="N614" s="65">
        <f t="shared" si="263"/>
        <v>134.93333333333334</v>
      </c>
      <c r="O614" s="65"/>
      <c r="P614" s="65"/>
      <c r="Q614" s="65">
        <v>2800</v>
      </c>
      <c r="R614" s="65">
        <v>14</v>
      </c>
      <c r="S614" s="65">
        <v>56</v>
      </c>
      <c r="T614" s="449">
        <v>700</v>
      </c>
      <c r="U614" s="65">
        <v>4</v>
      </c>
      <c r="V614" s="65">
        <v>1030</v>
      </c>
      <c r="W614" s="71">
        <v>1</v>
      </c>
      <c r="X614" s="115">
        <v>37950</v>
      </c>
      <c r="Y614" s="87"/>
      <c r="Z614" s="141"/>
      <c r="AA614" s="371">
        <f t="shared" si="264"/>
        <v>173.48571428571429</v>
      </c>
      <c r="AB614" s="54"/>
      <c r="AC614" s="281">
        <f t="shared" si="265"/>
        <v>0.67961165048543692</v>
      </c>
      <c r="AD614" s="191">
        <f t="shared" si="266"/>
        <v>37.969920000000002</v>
      </c>
      <c r="AE614" s="446">
        <v>154.69999999999999</v>
      </c>
      <c r="AF614" s="198">
        <f t="shared" si="267"/>
        <v>64.081071585419409</v>
      </c>
    </row>
    <row r="615" spans="1:33" x14ac:dyDescent="0.2">
      <c r="A615" s="188" t="s">
        <v>929</v>
      </c>
      <c r="B615" s="17" t="s">
        <v>702</v>
      </c>
      <c r="C615" s="227" t="s">
        <v>697</v>
      </c>
      <c r="D615" s="213"/>
      <c r="E615" s="41" t="s">
        <v>1164</v>
      </c>
      <c r="F615" s="143" t="s">
        <v>1522</v>
      </c>
      <c r="G615" s="43">
        <v>4080</v>
      </c>
      <c r="H615" s="128">
        <v>35</v>
      </c>
      <c r="I615" s="430">
        <v>350</v>
      </c>
      <c r="J615" s="138"/>
      <c r="K615" s="44"/>
      <c r="L615" s="456">
        <f t="shared" si="261"/>
        <v>346.4</v>
      </c>
      <c r="M615" s="457">
        <f t="shared" si="262"/>
        <v>554.24</v>
      </c>
      <c r="N615" s="65">
        <f t="shared" si="263"/>
        <v>135.84313725490196</v>
      </c>
      <c r="O615" s="65"/>
      <c r="P615" s="65"/>
      <c r="Q615" s="65">
        <v>2800</v>
      </c>
      <c r="R615" s="65">
        <v>16</v>
      </c>
      <c r="S615" s="65">
        <v>64</v>
      </c>
      <c r="T615" s="449">
        <v>600</v>
      </c>
      <c r="U615" s="65">
        <v>2</v>
      </c>
      <c r="V615" s="65">
        <v>1180</v>
      </c>
      <c r="W615" s="71">
        <v>1</v>
      </c>
      <c r="X615" s="115">
        <v>43300</v>
      </c>
      <c r="Y615" s="87"/>
      <c r="Z615" s="141"/>
      <c r="AA615" s="371">
        <f t="shared" si="264"/>
        <v>197.94285714285715</v>
      </c>
      <c r="AB615" s="54"/>
      <c r="AC615" s="281">
        <f t="shared" si="265"/>
        <v>0.50847457627118642</v>
      </c>
      <c r="AD615" s="191">
        <f t="shared" si="266"/>
        <v>43.499519999999997</v>
      </c>
      <c r="AE615" s="446">
        <v>175.4</v>
      </c>
      <c r="AF615" s="198">
        <f t="shared" si="267"/>
        <v>63.462509622786769</v>
      </c>
    </row>
    <row r="616" spans="1:33" x14ac:dyDescent="0.2">
      <c r="A616" s="188" t="s">
        <v>929</v>
      </c>
      <c r="B616" s="17" t="s">
        <v>702</v>
      </c>
      <c r="C616" s="227" t="s">
        <v>697</v>
      </c>
      <c r="D616" s="213" t="s">
        <v>704</v>
      </c>
      <c r="E616" s="41" t="s">
        <v>1034</v>
      </c>
      <c r="F616" s="143" t="s">
        <v>1251</v>
      </c>
      <c r="G616" s="43">
        <v>5451.6</v>
      </c>
      <c r="H616" s="128">
        <v>35</v>
      </c>
      <c r="I616" s="430">
        <v>600</v>
      </c>
      <c r="J616" s="138"/>
      <c r="K616" s="44"/>
      <c r="L616" s="456">
        <f t="shared" si="261"/>
        <v>433.2</v>
      </c>
      <c r="M616" s="457">
        <f t="shared" si="262"/>
        <v>693.12</v>
      </c>
      <c r="N616" s="65">
        <f t="shared" si="263"/>
        <v>127.14065595421526</v>
      </c>
      <c r="O616" s="65"/>
      <c r="P616" s="65"/>
      <c r="Q616" s="65">
        <v>3600</v>
      </c>
      <c r="R616" s="65">
        <v>20</v>
      </c>
      <c r="S616" s="65">
        <v>80</v>
      </c>
      <c r="T616" s="449">
        <v>1000</v>
      </c>
      <c r="U616" s="65">
        <v>3</v>
      </c>
      <c r="V616" s="65">
        <v>1470</v>
      </c>
      <c r="W616" s="71">
        <v>1</v>
      </c>
      <c r="X616" s="115">
        <v>54150</v>
      </c>
      <c r="Y616" s="87"/>
      <c r="Z616" s="141"/>
      <c r="AA616" s="371">
        <f t="shared" si="264"/>
        <v>192.53333333333333</v>
      </c>
      <c r="AB616" s="54"/>
      <c r="AC616" s="281">
        <f t="shared" si="265"/>
        <v>0.68027210884353739</v>
      </c>
      <c r="AD616" s="191">
        <f t="shared" si="266"/>
        <v>54.190080000000002</v>
      </c>
      <c r="AE616" s="446">
        <v>219.2</v>
      </c>
      <c r="AF616" s="198">
        <f t="shared" si="267"/>
        <v>63.484887657740842</v>
      </c>
    </row>
    <row r="617" spans="1:33" x14ac:dyDescent="0.2">
      <c r="A617" s="188" t="s">
        <v>189</v>
      </c>
      <c r="B617" s="17" t="s">
        <v>702</v>
      </c>
      <c r="C617" s="227" t="s">
        <v>697</v>
      </c>
      <c r="D617" s="213" t="s">
        <v>704</v>
      </c>
      <c r="E617" s="41" t="s">
        <v>1165</v>
      </c>
      <c r="F617" s="143" t="s">
        <v>1252</v>
      </c>
      <c r="G617" s="43">
        <v>9345</v>
      </c>
      <c r="H617" s="128">
        <v>45</v>
      </c>
      <c r="I617" s="430">
        <v>720</v>
      </c>
      <c r="J617" s="138"/>
      <c r="K617" s="44"/>
      <c r="L617" s="456">
        <f t="shared" si="261"/>
        <v>612</v>
      </c>
      <c r="M617" s="457">
        <f t="shared" si="262"/>
        <v>979.2</v>
      </c>
      <c r="N617" s="65">
        <f t="shared" si="263"/>
        <v>104.78330658105939</v>
      </c>
      <c r="O617" s="65"/>
      <c r="P617" s="65"/>
      <c r="Q617" s="65">
        <v>3600</v>
      </c>
      <c r="R617" s="65">
        <v>18</v>
      </c>
      <c r="S617" s="65">
        <v>72</v>
      </c>
      <c r="T617" s="449">
        <v>880</v>
      </c>
      <c r="U617" s="65">
        <v>3</v>
      </c>
      <c r="V617" s="65">
        <v>1500</v>
      </c>
      <c r="W617" s="71">
        <v>1</v>
      </c>
      <c r="X617" s="115">
        <v>76500</v>
      </c>
      <c r="Y617" s="87"/>
      <c r="Z617" s="141"/>
      <c r="AA617" s="371">
        <f t="shared" si="264"/>
        <v>272</v>
      </c>
      <c r="AB617" s="54"/>
      <c r="AC617" s="281">
        <f t="shared" si="265"/>
        <v>0.58666666666666667</v>
      </c>
      <c r="AD617" s="191">
        <f t="shared" si="266"/>
        <v>55.295999999999999</v>
      </c>
      <c r="AE617" s="446">
        <v>269.39999999999998</v>
      </c>
      <c r="AF617" s="198">
        <f t="shared" si="267"/>
        <v>58.307189542483663</v>
      </c>
    </row>
    <row r="618" spans="1:33" x14ac:dyDescent="0.2">
      <c r="A618" s="188" t="s">
        <v>189</v>
      </c>
      <c r="B618" s="25" t="s">
        <v>702</v>
      </c>
      <c r="C618" s="227" t="s">
        <v>697</v>
      </c>
      <c r="D618" s="240"/>
      <c r="E618" s="157" t="s">
        <v>1166</v>
      </c>
      <c r="F618" s="179" t="s">
        <v>1253</v>
      </c>
      <c r="G618" s="158">
        <v>11385</v>
      </c>
      <c r="H618" s="158">
        <v>45</v>
      </c>
      <c r="I618" s="473">
        <v>480</v>
      </c>
      <c r="J618" s="139"/>
      <c r="K618" s="47"/>
      <c r="L618" s="456">
        <f t="shared" si="261"/>
        <v>712</v>
      </c>
      <c r="M618" s="457">
        <f t="shared" si="262"/>
        <v>1139.2</v>
      </c>
      <c r="N618" s="65">
        <f t="shared" si="263"/>
        <v>100.06148440931049</v>
      </c>
      <c r="O618" s="73"/>
      <c r="P618" s="73"/>
      <c r="Q618" s="73">
        <v>3360</v>
      </c>
      <c r="R618" s="73">
        <v>24</v>
      </c>
      <c r="S618" s="73">
        <v>96</v>
      </c>
      <c r="T618" s="400">
        <v>1100</v>
      </c>
      <c r="U618" s="73">
        <v>4</v>
      </c>
      <c r="V618" s="73">
        <v>1880</v>
      </c>
      <c r="W618" s="71">
        <v>1</v>
      </c>
      <c r="X618" s="475">
        <v>89000</v>
      </c>
      <c r="Y618" s="476"/>
      <c r="Z618" s="173"/>
      <c r="AA618" s="477">
        <f t="shared" si="264"/>
        <v>339.04761904761904</v>
      </c>
      <c r="AB618" s="57"/>
      <c r="AC618" s="908">
        <f t="shared" si="265"/>
        <v>0.58510638297872342</v>
      </c>
      <c r="AD618" s="191">
        <f t="shared" si="266"/>
        <v>69.304320000000004</v>
      </c>
      <c r="AE618" s="479">
        <v>367.2</v>
      </c>
      <c r="AF618" s="198">
        <f t="shared" si="267"/>
        <v>69.732134831460669</v>
      </c>
    </row>
    <row r="619" spans="1:33" s="751" customFormat="1" x14ac:dyDescent="0.2">
      <c r="A619" s="749"/>
      <c r="B619" s="573" t="s">
        <v>702</v>
      </c>
      <c r="C619" s="574" t="s">
        <v>697</v>
      </c>
      <c r="D619" s="554"/>
      <c r="E619" s="573" t="s">
        <v>1035</v>
      </c>
      <c r="F619" s="595"/>
      <c r="G619" s="596"/>
      <c r="H619" s="578">
        <v>35</v>
      </c>
      <c r="I619" s="579">
        <v>300</v>
      </c>
      <c r="J619" s="597"/>
      <c r="K619" s="598"/>
      <c r="L619" s="582">
        <f t="shared" si="261"/>
        <v>177.5</v>
      </c>
      <c r="M619" s="583">
        <f t="shared" si="262"/>
        <v>284</v>
      </c>
      <c r="N619" s="564" t="str">
        <f t="shared" si="263"/>
        <v/>
      </c>
      <c r="O619" s="564"/>
      <c r="P619" s="564"/>
      <c r="Q619" s="564">
        <v>840</v>
      </c>
      <c r="R619" s="564">
        <v>6</v>
      </c>
      <c r="S619" s="564">
        <v>32</v>
      </c>
      <c r="T619" s="750">
        <v>300</v>
      </c>
      <c r="U619" s="564">
        <v>1</v>
      </c>
      <c r="V619" s="564">
        <v>470</v>
      </c>
      <c r="W619" s="586">
        <v>1</v>
      </c>
      <c r="X619" s="599">
        <v>22187.5</v>
      </c>
      <c r="Y619" s="600"/>
      <c r="Z619" s="568"/>
      <c r="AA619" s="752">
        <f t="shared" si="264"/>
        <v>338.09523809523807</v>
      </c>
      <c r="AB619" s="753"/>
      <c r="AC619" s="1454">
        <f t="shared" si="265"/>
        <v>0.63829787234042556</v>
      </c>
      <c r="AD619" s="572">
        <f t="shared" si="266"/>
        <v>17.326080000000001</v>
      </c>
      <c r="AE619" s="755">
        <v>91.8</v>
      </c>
      <c r="AF619" s="594">
        <f t="shared" si="267"/>
        <v>69.928563380281688</v>
      </c>
      <c r="AG619" s="756"/>
    </row>
    <row r="620" spans="1:33" x14ac:dyDescent="0.2">
      <c r="A620" s="188" t="s">
        <v>929</v>
      </c>
      <c r="B620" s="17" t="s">
        <v>702</v>
      </c>
      <c r="C620" s="227" t="s">
        <v>697</v>
      </c>
      <c r="D620" s="213"/>
      <c r="E620" s="41" t="s">
        <v>1036</v>
      </c>
      <c r="F620" s="143" t="s">
        <v>1872</v>
      </c>
      <c r="G620" s="43">
        <v>6146.31</v>
      </c>
      <c r="H620" s="128">
        <v>35</v>
      </c>
      <c r="I620" s="430">
        <v>400</v>
      </c>
      <c r="J620" s="138"/>
      <c r="K620" s="44"/>
      <c r="L620" s="456">
        <f t="shared" si="261"/>
        <v>362.8</v>
      </c>
      <c r="M620" s="457">
        <f t="shared" si="262"/>
        <v>580.48</v>
      </c>
      <c r="N620" s="65">
        <f t="shared" si="263"/>
        <v>94.443658064757543</v>
      </c>
      <c r="O620" s="65"/>
      <c r="P620" s="65"/>
      <c r="Q620" s="65">
        <v>1680</v>
      </c>
      <c r="R620" s="65">
        <v>12</v>
      </c>
      <c r="S620" s="65">
        <v>56</v>
      </c>
      <c r="T620" s="449">
        <v>600</v>
      </c>
      <c r="U620" s="65">
        <v>2</v>
      </c>
      <c r="V620" s="65">
        <v>940</v>
      </c>
      <c r="W620" s="71">
        <v>1</v>
      </c>
      <c r="X620" s="115">
        <v>45350</v>
      </c>
      <c r="Y620" s="87"/>
      <c r="Z620" s="141"/>
      <c r="AA620" s="477">
        <f t="shared" si="264"/>
        <v>345.52380952380952</v>
      </c>
      <c r="AB620" s="57"/>
      <c r="AC620" s="908">
        <f t="shared" si="265"/>
        <v>0.63829787234042556</v>
      </c>
      <c r="AD620" s="191">
        <f t="shared" si="266"/>
        <v>34.652160000000002</v>
      </c>
      <c r="AE620" s="480">
        <v>183.6</v>
      </c>
      <c r="AF620" s="198">
        <f t="shared" si="267"/>
        <v>68.425137816979046</v>
      </c>
    </row>
    <row r="621" spans="1:33" ht="13.5" thickBot="1" x14ac:dyDescent="0.25">
      <c r="A621" s="188" t="s">
        <v>929</v>
      </c>
      <c r="B621" s="21" t="s">
        <v>702</v>
      </c>
      <c r="C621" s="227" t="s">
        <v>697</v>
      </c>
      <c r="D621" s="214"/>
      <c r="E621" s="33" t="s">
        <v>1037</v>
      </c>
      <c r="F621" s="144" t="s">
        <v>1871</v>
      </c>
      <c r="G621" s="130">
        <v>18450</v>
      </c>
      <c r="H621" s="130">
        <v>45</v>
      </c>
      <c r="I621" s="418">
        <v>650</v>
      </c>
      <c r="J621" s="150"/>
      <c r="K621" s="35"/>
      <c r="L621" s="456">
        <f t="shared" si="261"/>
        <v>547.6</v>
      </c>
      <c r="M621" s="457">
        <f t="shared" si="262"/>
        <v>876.16</v>
      </c>
      <c r="N621" s="65">
        <f t="shared" si="263"/>
        <v>47.488346883468836</v>
      </c>
      <c r="O621" s="68"/>
      <c r="P621" s="68"/>
      <c r="Q621" s="68">
        <v>2520</v>
      </c>
      <c r="R621" s="68">
        <v>18</v>
      </c>
      <c r="S621" s="68">
        <v>88</v>
      </c>
      <c r="T621" s="450">
        <v>650</v>
      </c>
      <c r="U621" s="68">
        <v>3</v>
      </c>
      <c r="V621" s="68">
        <v>1410</v>
      </c>
      <c r="W621" s="71">
        <v>1</v>
      </c>
      <c r="X621" s="116">
        <v>68450</v>
      </c>
      <c r="Y621" s="205"/>
      <c r="Z621" s="142"/>
      <c r="AA621" s="379">
        <f t="shared" si="264"/>
        <v>347.6825396825397</v>
      </c>
      <c r="AB621" s="55"/>
      <c r="AC621" s="294">
        <f t="shared" si="265"/>
        <v>0.46099290780141844</v>
      </c>
      <c r="AD621" s="191">
        <f t="shared" si="266"/>
        <v>51.97824</v>
      </c>
      <c r="AE621" s="481">
        <v>275.39999999999998</v>
      </c>
      <c r="AF621" s="198">
        <f t="shared" si="267"/>
        <v>68.000292184075974</v>
      </c>
    </row>
    <row r="622" spans="1:33" x14ac:dyDescent="0.2">
      <c r="A622" s="182"/>
      <c r="B622" s="48" t="s">
        <v>715</v>
      </c>
      <c r="C622" s="226"/>
      <c r="D622" s="212"/>
      <c r="E622" s="12" t="s">
        <v>1073</v>
      </c>
      <c r="F622" s="466" t="s">
        <v>1018</v>
      </c>
      <c r="G622" s="14" t="s">
        <v>22</v>
      </c>
      <c r="H622" s="40" t="s">
        <v>531</v>
      </c>
      <c r="I622" s="123"/>
      <c r="J622" s="15"/>
      <c r="K622" s="16" t="s">
        <v>22</v>
      </c>
      <c r="L622" s="248" t="s">
        <v>665</v>
      </c>
      <c r="M622" s="383" t="s">
        <v>696</v>
      </c>
      <c r="N622" s="380">
        <f>AVERAGE(N623:N632)</f>
        <v>509.16494183864631</v>
      </c>
      <c r="O622" s="382">
        <f>AVERAGE(O628:O775)</f>
        <v>244.74810865918104</v>
      </c>
      <c r="P622" s="489" t="s">
        <v>1074</v>
      </c>
      <c r="Q622" s="399" t="s">
        <v>1739</v>
      </c>
      <c r="R622" s="61" t="s">
        <v>976</v>
      </c>
      <c r="S622" s="61" t="s">
        <v>1380</v>
      </c>
      <c r="T622" s="61"/>
      <c r="U622" s="399" t="s">
        <v>964</v>
      </c>
      <c r="V622" s="490" t="s">
        <v>433</v>
      </c>
      <c r="W622" s="491" t="s">
        <v>1075</v>
      </c>
      <c r="X622" s="109" t="s">
        <v>207</v>
      </c>
      <c r="Y622" s="80" t="s">
        <v>695</v>
      </c>
      <c r="Z622" s="206"/>
      <c r="AA622" s="370">
        <f>AVERAGE(AA626:AA748)</f>
        <v>536.41114893489521</v>
      </c>
      <c r="AB622" s="92">
        <f>AVERAGE(AB628:AB775)</f>
        <v>483.34080087303016</v>
      </c>
      <c r="AC622" s="1452">
        <f>AVERAGE(AC626:AC631)</f>
        <v>1.5451322276032242</v>
      </c>
      <c r="AD622" s="109" t="s">
        <v>650</v>
      </c>
      <c r="AE622" s="195"/>
      <c r="AF622" s="196">
        <f>AVERAGE(AF626:AF631)</f>
        <v>91.496597213083902</v>
      </c>
      <c r="AG622" s="492" t="s">
        <v>1076</v>
      </c>
    </row>
    <row r="623" spans="1:33" x14ac:dyDescent="0.2">
      <c r="A623" s="188" t="s">
        <v>929</v>
      </c>
      <c r="B623" s="17" t="s">
        <v>702</v>
      </c>
      <c r="C623" s="227" t="s">
        <v>697</v>
      </c>
      <c r="D623" s="213"/>
      <c r="E623" s="910" t="s">
        <v>1793</v>
      </c>
      <c r="F623" s="143" t="s">
        <v>1455</v>
      </c>
      <c r="G623" s="43">
        <v>46.13</v>
      </c>
      <c r="H623" s="128">
        <v>15</v>
      </c>
      <c r="I623" s="430">
        <v>100</v>
      </c>
      <c r="J623" s="138"/>
      <c r="K623" s="44"/>
      <c r="L623" s="456">
        <f>8*X623/1000</f>
        <v>14.4</v>
      </c>
      <c r="M623" s="457">
        <f>12.8*X623/1000</f>
        <v>23.04</v>
      </c>
      <c r="N623" s="65">
        <f>IF(AND(G623&lt;&gt;"",M623&lt;&gt;""),1000*M623/G623,"")</f>
        <v>499.45805332755253</v>
      </c>
      <c r="O623" s="65"/>
      <c r="P623" s="65">
        <v>1</v>
      </c>
      <c r="Q623" s="65">
        <v>66</v>
      </c>
      <c r="R623" s="65">
        <v>14</v>
      </c>
      <c r="S623" s="65"/>
      <c r="T623" s="449">
        <v>154</v>
      </c>
      <c r="U623" s="65"/>
      <c r="V623" s="65">
        <v>50</v>
      </c>
      <c r="W623" s="65">
        <v>768</v>
      </c>
      <c r="X623" s="115">
        <v>1800</v>
      </c>
      <c r="Y623" s="87"/>
      <c r="Z623" s="141"/>
      <c r="AA623" s="371">
        <f>1000*M623/Q623</f>
        <v>349.09090909090907</v>
      </c>
      <c r="AB623" s="54"/>
      <c r="AC623" s="281">
        <f>T623/V623</f>
        <v>3.08</v>
      </c>
      <c r="AD623" s="191">
        <f>512*72*V623/1000000</f>
        <v>1.8431999999999999</v>
      </c>
      <c r="AE623" s="197">
        <v>16.669920000000001</v>
      </c>
      <c r="AF623" s="1049"/>
      <c r="AG623" s="493" t="s">
        <v>1877</v>
      </c>
    </row>
    <row r="624" spans="1:33" x14ac:dyDescent="0.2">
      <c r="A624" s="188" t="s">
        <v>929</v>
      </c>
      <c r="B624" s="17" t="s">
        <v>702</v>
      </c>
      <c r="C624" s="227" t="s">
        <v>697</v>
      </c>
      <c r="D624" s="213"/>
      <c r="E624" s="910" t="s">
        <v>1794</v>
      </c>
      <c r="F624" s="143" t="s">
        <v>1463</v>
      </c>
      <c r="G624" s="43">
        <v>98.7</v>
      </c>
      <c r="H624" s="128">
        <v>19</v>
      </c>
      <c r="I624" s="430">
        <v>150</v>
      </c>
      <c r="J624" s="138"/>
      <c r="K624" s="44"/>
      <c r="L624" s="456">
        <f>8*X624/1000</f>
        <v>34.4</v>
      </c>
      <c r="M624" s="457">
        <f>12.8*X624/1000</f>
        <v>55.04</v>
      </c>
      <c r="N624" s="65">
        <f>IF(AND(G624&lt;&gt;"",M624&lt;&gt;""),1000*M624/G624,"")</f>
        <v>557.6494427558257</v>
      </c>
      <c r="O624" s="65"/>
      <c r="P624" s="65">
        <v>1</v>
      </c>
      <c r="Q624" s="65">
        <v>120</v>
      </c>
      <c r="R624" s="65">
        <v>14</v>
      </c>
      <c r="S624" s="65">
        <v>4</v>
      </c>
      <c r="T624" s="449">
        <v>204</v>
      </c>
      <c r="U624" s="65">
        <v>4</v>
      </c>
      <c r="V624" s="65">
        <v>72</v>
      </c>
      <c r="W624" s="65">
        <v>768</v>
      </c>
      <c r="X624" s="115">
        <v>4300</v>
      </c>
      <c r="Y624" s="87"/>
      <c r="Z624" s="141"/>
      <c r="AA624" s="371">
        <f>1000*M624/Q624</f>
        <v>458.66666666666669</v>
      </c>
      <c r="AB624" s="54"/>
      <c r="AC624" s="281">
        <f>T624/V624</f>
        <v>2.8333333333333335</v>
      </c>
      <c r="AD624" s="191">
        <f>512*72*V624/1000000</f>
        <v>2.6542080000000001</v>
      </c>
      <c r="AE624" s="197">
        <v>28.085343999999999</v>
      </c>
      <c r="AF624" s="1049"/>
    </row>
    <row r="625" spans="1:33" x14ac:dyDescent="0.2">
      <c r="A625" s="188" t="s">
        <v>929</v>
      </c>
      <c r="B625" s="17" t="s">
        <v>702</v>
      </c>
      <c r="C625" s="227" t="s">
        <v>697</v>
      </c>
      <c r="D625" s="213"/>
      <c r="E625" s="910" t="s">
        <v>1795</v>
      </c>
      <c r="F625" s="143" t="s">
        <v>1454</v>
      </c>
      <c r="G625" s="43">
        <v>88.9</v>
      </c>
      <c r="H625" s="128">
        <v>15</v>
      </c>
      <c r="I625" s="430">
        <v>200</v>
      </c>
      <c r="J625" s="138"/>
      <c r="K625" s="44"/>
      <c r="L625" s="456">
        <f>8*X625/1000</f>
        <v>40.6</v>
      </c>
      <c r="M625" s="457">
        <f>12.8*X625/1000</f>
        <v>64.959999999999994</v>
      </c>
      <c r="N625" s="65">
        <f>IF(AND(G625&lt;&gt;"",M625&lt;&gt;""),1000*M625/G625,"")</f>
        <v>730.70866141732267</v>
      </c>
      <c r="O625" s="65"/>
      <c r="P625" s="65">
        <v>1</v>
      </c>
      <c r="Q625" s="65">
        <v>170</v>
      </c>
      <c r="R625" s="65">
        <v>14</v>
      </c>
      <c r="S625" s="65"/>
      <c r="T625" s="449">
        <v>254</v>
      </c>
      <c r="U625" s="65"/>
      <c r="V625" s="65">
        <v>107</v>
      </c>
      <c r="W625" s="65">
        <v>768</v>
      </c>
      <c r="X625" s="115">
        <v>5075</v>
      </c>
      <c r="Y625" s="87"/>
      <c r="Z625" s="141" t="str">
        <f>IF(AND(L625&lt;&gt;"",Y625&lt;&gt;""),1000*L625/Y625,"")</f>
        <v/>
      </c>
      <c r="AA625" s="371">
        <f>1000*M625/Q625</f>
        <v>382.11764705882348</v>
      </c>
      <c r="AB625" s="54"/>
      <c r="AC625" s="281">
        <f>T625/V625</f>
        <v>2.3738317757009346</v>
      </c>
      <c r="AD625" s="191">
        <f>512*72*V625/1000000</f>
        <v>3.944448</v>
      </c>
      <c r="AE625" s="197">
        <v>32.364511999999998</v>
      </c>
      <c r="AF625" s="1049"/>
      <c r="AG625" s="493"/>
    </row>
    <row r="626" spans="1:33" x14ac:dyDescent="0.2">
      <c r="A626" s="188" t="s">
        <v>929</v>
      </c>
      <c r="B626" s="17" t="s">
        <v>702</v>
      </c>
      <c r="C626" s="227" t="s">
        <v>697</v>
      </c>
      <c r="D626" s="213"/>
      <c r="E626" s="910" t="s">
        <v>1370</v>
      </c>
      <c r="F626" s="143" t="s">
        <v>1455</v>
      </c>
      <c r="G626" s="43">
        <v>54.86</v>
      </c>
      <c r="H626" s="128">
        <v>15</v>
      </c>
      <c r="I626" s="430">
        <v>80</v>
      </c>
      <c r="J626" s="138"/>
      <c r="K626" s="44"/>
      <c r="L626" s="456">
        <f t="shared" ref="L626:L632" si="268">8*X626/1000</f>
        <v>17.600000000000001</v>
      </c>
      <c r="M626" s="457">
        <f t="shared" ref="M626:M632" si="269">12.8*X626/1000</f>
        <v>28.16</v>
      </c>
      <c r="N626" s="65">
        <f t="shared" ref="N626:N632" si="270">IF(AND(G626&lt;&gt;"",M626&lt;&gt;""),1000*M626/G626,"")</f>
        <v>513.30659861465551</v>
      </c>
      <c r="O626" s="65"/>
      <c r="P626" s="65">
        <v>2</v>
      </c>
      <c r="Q626" s="65">
        <v>80</v>
      </c>
      <c r="R626" s="65">
        <v>14</v>
      </c>
      <c r="S626" s="65"/>
      <c r="T626" s="449">
        <v>154</v>
      </c>
      <c r="U626" s="65"/>
      <c r="V626" s="65">
        <v>60</v>
      </c>
      <c r="W626" s="65">
        <v>768</v>
      </c>
      <c r="X626" s="115">
        <v>2200</v>
      </c>
      <c r="Y626" s="87">
        <v>15</v>
      </c>
      <c r="Z626" s="141">
        <f>IF(AND(L626&lt;&gt;"",Y626&lt;&gt;""),1000*L626/Y626,"")</f>
        <v>1173.3333333333333</v>
      </c>
      <c r="AA626" s="371">
        <f t="shared" ref="AA626:AA632" si="271">1000*M626/Q626</f>
        <v>352</v>
      </c>
      <c r="AB626" s="54"/>
      <c r="AC626" s="281">
        <f t="shared" ref="AC626:AC632" si="272">T626/V626</f>
        <v>2.5666666666666669</v>
      </c>
      <c r="AD626" s="191">
        <f t="shared" ref="AD626:AD632" si="273">512*72*V626/1000000</f>
        <v>2.21184</v>
      </c>
      <c r="AE626" s="197">
        <v>16.669920000000001</v>
      </c>
      <c r="AF626" s="1049">
        <f t="shared" ref="AF626:AF632" si="274">(AE626*1000000-V626*36*1024)/(6000*L626)</f>
        <v>136.91363636363636</v>
      </c>
      <c r="AG626" s="493" t="s">
        <v>1077</v>
      </c>
    </row>
    <row r="627" spans="1:33" x14ac:dyDescent="0.2">
      <c r="A627" s="188" t="s">
        <v>929</v>
      </c>
      <c r="B627" s="17" t="s">
        <v>702</v>
      </c>
      <c r="C627" s="227" t="s">
        <v>697</v>
      </c>
      <c r="D627" s="213"/>
      <c r="E627" s="910" t="s">
        <v>1462</v>
      </c>
      <c r="F627" s="143" t="s">
        <v>1463</v>
      </c>
      <c r="G627" s="43">
        <v>123.56</v>
      </c>
      <c r="H627" s="128">
        <v>19</v>
      </c>
      <c r="I627" s="430">
        <v>204</v>
      </c>
      <c r="J627" s="138"/>
      <c r="K627" s="44"/>
      <c r="L627" s="456">
        <f t="shared" si="268"/>
        <v>46.2</v>
      </c>
      <c r="M627" s="457">
        <f t="shared" si="269"/>
        <v>73.92</v>
      </c>
      <c r="N627" s="65">
        <f t="shared" si="270"/>
        <v>598.25186144383292</v>
      </c>
      <c r="O627" s="65"/>
      <c r="P627" s="65">
        <v>2</v>
      </c>
      <c r="Q627" s="65">
        <v>160</v>
      </c>
      <c r="R627" s="65">
        <v>14</v>
      </c>
      <c r="S627" s="65">
        <v>4</v>
      </c>
      <c r="T627" s="449">
        <v>204</v>
      </c>
      <c r="U627" s="65">
        <v>4</v>
      </c>
      <c r="V627" s="65">
        <v>95</v>
      </c>
      <c r="W627" s="65">
        <v>768</v>
      </c>
      <c r="X627" s="115">
        <v>5775</v>
      </c>
      <c r="Y627" s="87"/>
      <c r="Z627" s="141"/>
      <c r="AA627" s="371">
        <f t="shared" si="271"/>
        <v>462</v>
      </c>
      <c r="AB627" s="54"/>
      <c r="AC627" s="281">
        <f t="shared" si="272"/>
        <v>2.1473684210526316</v>
      </c>
      <c r="AD627" s="191">
        <f t="shared" si="273"/>
        <v>3.5020799999999999</v>
      </c>
      <c r="AE627" s="197">
        <v>28.085343999999999</v>
      </c>
      <c r="AF627" s="1049">
        <f t="shared" si="274"/>
        <v>88.684213564213564</v>
      </c>
      <c r="AG627" s="6" t="s">
        <v>2324</v>
      </c>
    </row>
    <row r="628" spans="1:33" x14ac:dyDescent="0.2">
      <c r="A628" s="188" t="s">
        <v>929</v>
      </c>
      <c r="B628" s="17" t="s">
        <v>702</v>
      </c>
      <c r="C628" s="227" t="s">
        <v>697</v>
      </c>
      <c r="D628" s="213" t="s">
        <v>704</v>
      </c>
      <c r="E628" s="910" t="s">
        <v>1371</v>
      </c>
      <c r="F628" s="143" t="s">
        <v>1454</v>
      </c>
      <c r="G628" s="43">
        <v>113.89</v>
      </c>
      <c r="H628" s="128">
        <v>15</v>
      </c>
      <c r="I628" s="430">
        <v>80</v>
      </c>
      <c r="J628" s="138"/>
      <c r="K628" s="44"/>
      <c r="L628" s="456">
        <f t="shared" si="268"/>
        <v>53.2</v>
      </c>
      <c r="M628" s="457">
        <f t="shared" si="269"/>
        <v>85.12</v>
      </c>
      <c r="N628" s="65">
        <f t="shared" si="270"/>
        <v>747.38783036263055</v>
      </c>
      <c r="O628" s="65"/>
      <c r="P628" s="65">
        <v>2</v>
      </c>
      <c r="Q628" s="65">
        <v>220</v>
      </c>
      <c r="R628" s="65">
        <v>14</v>
      </c>
      <c r="S628" s="65"/>
      <c r="T628" s="449">
        <v>254</v>
      </c>
      <c r="U628" s="65"/>
      <c r="V628" s="65">
        <v>140</v>
      </c>
      <c r="W628" s="65">
        <v>768</v>
      </c>
      <c r="X628" s="115">
        <v>6650</v>
      </c>
      <c r="Y628" s="87"/>
      <c r="Z628" s="141" t="str">
        <f>IF(AND(L628&lt;&gt;"",Y628&lt;&gt;""),1000*L628/Y628,"")</f>
        <v/>
      </c>
      <c r="AA628" s="371">
        <f t="shared" si="271"/>
        <v>386.90909090909093</v>
      </c>
      <c r="AB628" s="54"/>
      <c r="AC628" s="281">
        <f t="shared" si="272"/>
        <v>1.8142857142857143</v>
      </c>
      <c r="AD628" s="191">
        <f t="shared" si="273"/>
        <v>5.1609600000000002</v>
      </c>
      <c r="AE628" s="197">
        <v>32.364511999999998</v>
      </c>
      <c r="AF628" s="1049">
        <f t="shared" si="274"/>
        <v>85.224160401002493</v>
      </c>
      <c r="AG628" s="493" t="s">
        <v>1381</v>
      </c>
    </row>
    <row r="629" spans="1:33" x14ac:dyDescent="0.2">
      <c r="A629" s="188" t="s">
        <v>929</v>
      </c>
      <c r="B629" s="17" t="s">
        <v>702</v>
      </c>
      <c r="C629" s="227" t="s">
        <v>697</v>
      </c>
      <c r="D629" s="213" t="s">
        <v>704</v>
      </c>
      <c r="E629" s="910" t="s">
        <v>1372</v>
      </c>
      <c r="F629" s="143" t="s">
        <v>1379</v>
      </c>
      <c r="G629" s="43">
        <v>201.25</v>
      </c>
      <c r="H629" s="128">
        <v>23</v>
      </c>
      <c r="I629" s="430">
        <v>163</v>
      </c>
      <c r="J629" s="138"/>
      <c r="K629" s="44"/>
      <c r="L629" s="456">
        <f t="shared" si="268"/>
        <v>78.599999999999994</v>
      </c>
      <c r="M629" s="457">
        <f t="shared" si="269"/>
        <v>125.76</v>
      </c>
      <c r="N629" s="65">
        <f t="shared" si="270"/>
        <v>624.89440993788821</v>
      </c>
      <c r="O629" s="65"/>
      <c r="P629" s="65">
        <v>2</v>
      </c>
      <c r="Q629" s="65">
        <v>400</v>
      </c>
      <c r="R629" s="65">
        <v>18</v>
      </c>
      <c r="S629" s="65">
        <v>4</v>
      </c>
      <c r="T629" s="449">
        <v>304</v>
      </c>
      <c r="U629" s="469">
        <v>4</v>
      </c>
      <c r="V629" s="65">
        <v>265</v>
      </c>
      <c r="W629" s="65">
        <v>768</v>
      </c>
      <c r="X629" s="115">
        <v>9825</v>
      </c>
      <c r="Y629" s="87"/>
      <c r="Z629" s="141" t="str">
        <f>IF(AND(L629&lt;&gt;"",Y629&lt;&gt;""),1000*L629/Y629,"")</f>
        <v/>
      </c>
      <c r="AA629" s="371">
        <f t="shared" si="271"/>
        <v>314.39999999999998</v>
      </c>
      <c r="AB629" s="54"/>
      <c r="AC629" s="281">
        <f t="shared" si="272"/>
        <v>1.1471698113207547</v>
      </c>
      <c r="AD629" s="191">
        <f t="shared" si="273"/>
        <v>9.7689599999999999</v>
      </c>
      <c r="AE629" s="197">
        <v>47.839328000000002</v>
      </c>
      <c r="AF629" s="1049">
        <f t="shared" si="274"/>
        <v>80.725971162001713</v>
      </c>
      <c r="AG629" s="492" t="s">
        <v>1078</v>
      </c>
    </row>
    <row r="630" spans="1:33" x14ac:dyDescent="0.2">
      <c r="A630" s="188" t="s">
        <v>929</v>
      </c>
      <c r="B630" s="157" t="s">
        <v>702</v>
      </c>
      <c r="C630" s="303" t="s">
        <v>697</v>
      </c>
      <c r="D630" s="532"/>
      <c r="E630" s="1157" t="s">
        <v>1601</v>
      </c>
      <c r="F630" s="179" t="s">
        <v>1456</v>
      </c>
      <c r="G630" s="275">
        <v>916.25</v>
      </c>
      <c r="H630" s="158">
        <v>27</v>
      </c>
      <c r="I630" s="473">
        <v>250</v>
      </c>
      <c r="J630" s="139"/>
      <c r="K630" s="47"/>
      <c r="L630" s="456">
        <f t="shared" si="268"/>
        <v>171.89599999999999</v>
      </c>
      <c r="M630" s="457">
        <f t="shared" si="269"/>
        <v>275.03360000000004</v>
      </c>
      <c r="N630" s="65">
        <f t="shared" si="270"/>
        <v>300.17309686221012</v>
      </c>
      <c r="O630" s="73"/>
      <c r="P630" s="73">
        <v>2</v>
      </c>
      <c r="Q630" s="73">
        <v>900</v>
      </c>
      <c r="R630" s="73"/>
      <c r="S630" s="73">
        <v>8</v>
      </c>
      <c r="T630" s="400">
        <v>416</v>
      </c>
      <c r="U630" s="496">
        <v>8</v>
      </c>
      <c r="V630" s="73">
        <v>500</v>
      </c>
      <c r="W630" s="73"/>
      <c r="X630" s="475">
        <v>21487</v>
      </c>
      <c r="Y630" s="476"/>
      <c r="Z630" s="173"/>
      <c r="AA630" s="376">
        <f t="shared" si="271"/>
        <v>305.59288888888892</v>
      </c>
      <c r="AB630" s="57"/>
      <c r="AC630" s="908">
        <f t="shared" si="272"/>
        <v>0.83199999999999996</v>
      </c>
      <c r="AD630" s="478">
        <f t="shared" si="273"/>
        <v>18.431999999999999</v>
      </c>
      <c r="AE630" s="197">
        <v>106.57123199999999</v>
      </c>
      <c r="AF630" s="1049"/>
      <c r="AG630" s="492"/>
    </row>
    <row r="631" spans="1:33" x14ac:dyDescent="0.2">
      <c r="A631" s="188" t="s">
        <v>929</v>
      </c>
      <c r="B631" s="25" t="s">
        <v>702</v>
      </c>
      <c r="C631" s="239" t="s">
        <v>697</v>
      </c>
      <c r="D631" s="240" t="s">
        <v>704</v>
      </c>
      <c r="E631" s="495" t="s">
        <v>1373</v>
      </c>
      <c r="F631" s="179" t="s">
        <v>1456</v>
      </c>
      <c r="G631" s="275">
        <v>1111.25</v>
      </c>
      <c r="H631" s="158">
        <v>27</v>
      </c>
      <c r="I631" s="473">
        <v>250</v>
      </c>
      <c r="J631" s="139"/>
      <c r="K631" s="47"/>
      <c r="L631" s="456">
        <f t="shared" si="268"/>
        <v>218.6</v>
      </c>
      <c r="M631" s="457">
        <f t="shared" si="269"/>
        <v>349.76</v>
      </c>
      <c r="N631" s="65">
        <f t="shared" si="270"/>
        <v>314.74465691788527</v>
      </c>
      <c r="O631" s="73"/>
      <c r="P631" s="73">
        <v>2</v>
      </c>
      <c r="Q631" s="73">
        <v>900</v>
      </c>
      <c r="R631" s="73">
        <v>18</v>
      </c>
      <c r="S631" s="73">
        <v>16</v>
      </c>
      <c r="T631" s="400">
        <v>416</v>
      </c>
      <c r="U631" s="496">
        <v>8</v>
      </c>
      <c r="V631" s="73">
        <v>545</v>
      </c>
      <c r="W631" s="73">
        <v>768</v>
      </c>
      <c r="X631" s="475">
        <v>27325</v>
      </c>
      <c r="Y631" s="476"/>
      <c r="Z631" s="173" t="str">
        <f>IF(AND(L631&lt;&gt;"",Y631&lt;&gt;""),1000*L631/Y631,"")</f>
        <v/>
      </c>
      <c r="AA631" s="376">
        <f t="shared" si="271"/>
        <v>388.62222222222221</v>
      </c>
      <c r="AB631" s="57"/>
      <c r="AC631" s="908">
        <f t="shared" si="272"/>
        <v>0.76330275229357802</v>
      </c>
      <c r="AD631" s="478">
        <f t="shared" si="273"/>
        <v>20.090879999999999</v>
      </c>
      <c r="AE631" s="197">
        <v>106.57123199999999</v>
      </c>
      <c r="AF631" s="1049">
        <f t="shared" si="274"/>
        <v>65.935004574565411</v>
      </c>
      <c r="AG631" s="492" t="s">
        <v>1079</v>
      </c>
    </row>
    <row r="632" spans="1:33" s="493" customFormat="1" ht="13.5" thickBot="1" x14ac:dyDescent="0.25">
      <c r="A632" s="494" t="s">
        <v>189</v>
      </c>
      <c r="B632" s="157" t="s">
        <v>702</v>
      </c>
      <c r="C632" s="303" t="s">
        <v>697</v>
      </c>
      <c r="D632" s="532" t="s">
        <v>704</v>
      </c>
      <c r="E632" s="495" t="s">
        <v>1376</v>
      </c>
      <c r="F632" s="179" t="s">
        <v>1523</v>
      </c>
      <c r="G632" s="891">
        <v>2164.2833999999998</v>
      </c>
      <c r="H632" s="892">
        <v>31</v>
      </c>
      <c r="I632" s="893">
        <v>492</v>
      </c>
      <c r="J632" s="894"/>
      <c r="K632" s="895"/>
      <c r="L632" s="456">
        <f t="shared" si="268"/>
        <v>277.39999999999998</v>
      </c>
      <c r="M632" s="457">
        <f t="shared" si="269"/>
        <v>443.84</v>
      </c>
      <c r="N632" s="469">
        <f t="shared" si="270"/>
        <v>205.07480674665806</v>
      </c>
      <c r="O632" s="496"/>
      <c r="P632" s="496">
        <v>2</v>
      </c>
      <c r="Q632" s="496">
        <v>2020</v>
      </c>
      <c r="R632" s="496">
        <v>18</v>
      </c>
      <c r="S632" s="496">
        <v>16</v>
      </c>
      <c r="T632" s="897">
        <v>416</v>
      </c>
      <c r="U632" s="496">
        <v>8</v>
      </c>
      <c r="V632" s="496">
        <v>755</v>
      </c>
      <c r="W632" s="496">
        <v>768</v>
      </c>
      <c r="X632" s="898">
        <v>34675</v>
      </c>
      <c r="Y632" s="476"/>
      <c r="Z632" s="899" t="str">
        <f>IF(AND(L632&lt;&gt;"",Y632&lt;&gt;""),1000*L632/Y632,"")</f>
        <v/>
      </c>
      <c r="AA632" s="900">
        <f t="shared" si="271"/>
        <v>219.72277227722773</v>
      </c>
      <c r="AB632" s="901"/>
      <c r="AC632" s="1455">
        <f t="shared" si="272"/>
        <v>0.55099337748344368</v>
      </c>
      <c r="AD632" s="903">
        <f t="shared" si="273"/>
        <v>27.832319999999999</v>
      </c>
      <c r="AE632" s="904">
        <v>139.33078399999999</v>
      </c>
      <c r="AF632" s="1049">
        <f t="shared" si="274"/>
        <v>66.990185051670281</v>
      </c>
      <c r="AG632" s="492"/>
    </row>
    <row r="633" spans="1:33" x14ac:dyDescent="0.2">
      <c r="A633" s="182"/>
      <c r="B633" s="48" t="s">
        <v>715</v>
      </c>
      <c r="C633" s="226"/>
      <c r="D633" s="212"/>
      <c r="E633" s="12" t="s">
        <v>1491</v>
      </c>
      <c r="F633" s="466" t="s">
        <v>1437</v>
      </c>
      <c r="G633" s="14" t="s">
        <v>22</v>
      </c>
      <c r="H633" s="497" t="s">
        <v>1509</v>
      </c>
      <c r="I633" s="123"/>
      <c r="J633" s="15"/>
      <c r="K633" s="16" t="s">
        <v>22</v>
      </c>
      <c r="L633" s="248" t="s">
        <v>665</v>
      </c>
      <c r="M633" s="383" t="s">
        <v>1704</v>
      </c>
      <c r="N633" s="380">
        <f>AVERAGE(N635:N640)</f>
        <v>307.18871489151849</v>
      </c>
      <c r="O633" s="382">
        <f>AVERAGE(O635:O782)</f>
        <v>265.8795120748793</v>
      </c>
      <c r="P633" s="60"/>
      <c r="Q633" s="399" t="s">
        <v>1739</v>
      </c>
      <c r="R633" s="61" t="s">
        <v>976</v>
      </c>
      <c r="S633" s="399" t="s">
        <v>1505</v>
      </c>
      <c r="T633" s="61"/>
      <c r="U633" s="61" t="s">
        <v>964</v>
      </c>
      <c r="V633" s="74" t="s">
        <v>433</v>
      </c>
      <c r="W633" s="399" t="s">
        <v>1167</v>
      </c>
      <c r="X633" s="109" t="s">
        <v>207</v>
      </c>
      <c r="Y633" s="80" t="s">
        <v>695</v>
      </c>
      <c r="Z633" s="206"/>
      <c r="AA633" s="370">
        <f>AVERAGE(AA635:AA640)</f>
        <v>293.86485966065169</v>
      </c>
      <c r="AB633" s="92">
        <f>AVERAGE(AB635:AB782)</f>
        <v>485.79730365534186</v>
      </c>
      <c r="AC633" s="1452">
        <f>AVERAGE(AC635:AC640)</f>
        <v>0.65010421677088348</v>
      </c>
      <c r="AD633" s="109" t="s">
        <v>650</v>
      </c>
      <c r="AE633" s="195"/>
      <c r="AF633" s="196">
        <f>AVERAGE(AF635:AF640)</f>
        <v>74.122325465532526</v>
      </c>
      <c r="AG633" s="493" t="s">
        <v>1504</v>
      </c>
    </row>
    <row r="634" spans="1:33" x14ac:dyDescent="0.2">
      <c r="A634" s="188" t="s">
        <v>929</v>
      </c>
      <c r="B634" s="41" t="s">
        <v>702</v>
      </c>
      <c r="C634" s="227"/>
      <c r="D634" s="229" t="s">
        <v>708</v>
      </c>
      <c r="E634" s="910" t="s">
        <v>1698</v>
      </c>
      <c r="F634" s="143" t="s">
        <v>1657</v>
      </c>
      <c r="G634" s="43">
        <v>944.44449999999995</v>
      </c>
      <c r="H634" s="128">
        <v>27</v>
      </c>
      <c r="I634" s="430">
        <v>312</v>
      </c>
      <c r="J634" s="138"/>
      <c r="K634" s="44"/>
      <c r="L634" s="456">
        <f>8*X634/1000</f>
        <v>145.44</v>
      </c>
      <c r="M634" s="457">
        <f t="shared" ref="M634:M640" si="275">17.5*X634/1000</f>
        <v>318.14999999999998</v>
      </c>
      <c r="N634" s="65">
        <f>IF(AND(G634&lt;&gt;"",M634&lt;&gt;""),1000*M634/G634,"")</f>
        <v>336.86468606678318</v>
      </c>
      <c r="O634" s="65"/>
      <c r="P634" s="65"/>
      <c r="Q634" s="65">
        <v>1152</v>
      </c>
      <c r="R634" s="65">
        <v>8</v>
      </c>
      <c r="S634" s="65">
        <v>12</v>
      </c>
      <c r="T634" s="65">
        <v>312</v>
      </c>
      <c r="U634" s="65">
        <v>1</v>
      </c>
      <c r="V634" s="65">
        <v>344</v>
      </c>
      <c r="W634" s="71">
        <v>1</v>
      </c>
      <c r="X634" s="115">
        <v>18180</v>
      </c>
      <c r="Y634" s="87"/>
      <c r="Z634" s="141"/>
      <c r="AA634" s="371">
        <f>1000*M634/Q634</f>
        <v>276.171875</v>
      </c>
      <c r="AB634" s="54"/>
      <c r="AC634" s="281">
        <f>T634/V634</f>
        <v>0.90697674418604646</v>
      </c>
      <c r="AD634" s="191">
        <f>512*72*V634/1000000</f>
        <v>12.681215999999999</v>
      </c>
      <c r="AE634" s="446">
        <v>128.05526399999999</v>
      </c>
      <c r="AF634" s="198"/>
      <c r="AG634" s="493"/>
    </row>
    <row r="635" spans="1:33" x14ac:dyDescent="0.2">
      <c r="A635" s="188" t="s">
        <v>189</v>
      </c>
      <c r="B635" s="41" t="s">
        <v>702</v>
      </c>
      <c r="C635" s="227"/>
      <c r="D635" s="229" t="s">
        <v>708</v>
      </c>
      <c r="E635" s="910" t="s">
        <v>1499</v>
      </c>
      <c r="F635" s="143" t="s">
        <v>1761</v>
      </c>
      <c r="G635" s="43">
        <v>1129.7</v>
      </c>
      <c r="H635" s="128">
        <v>27</v>
      </c>
      <c r="I635" s="430">
        <v>312</v>
      </c>
      <c r="J635" s="138"/>
      <c r="K635" s="44"/>
      <c r="L635" s="456">
        <f t="shared" ref="L635:L640" si="276">8*X635/1000</f>
        <v>203.12799999999999</v>
      </c>
      <c r="M635" s="457">
        <f t="shared" si="275"/>
        <v>444.34249999999997</v>
      </c>
      <c r="N635" s="65">
        <f t="shared" ref="N635:N640" si="277">IF(AND(G635&lt;&gt;"",M635&lt;&gt;""),1000*M635/G635,"")</f>
        <v>393.32787465698857</v>
      </c>
      <c r="O635" s="65"/>
      <c r="P635" s="65"/>
      <c r="Q635" s="65">
        <v>1700</v>
      </c>
      <c r="R635" s="65">
        <v>8</v>
      </c>
      <c r="S635" s="65">
        <v>16</v>
      </c>
      <c r="T635" s="65">
        <v>520</v>
      </c>
      <c r="U635" s="65">
        <v>2</v>
      </c>
      <c r="V635" s="65">
        <v>540</v>
      </c>
      <c r="W635" s="71">
        <v>1</v>
      </c>
      <c r="X635" s="115">
        <v>25391</v>
      </c>
      <c r="Y635" s="87"/>
      <c r="Z635" s="141"/>
      <c r="AA635" s="371">
        <f t="shared" ref="AA635:AA640" si="278">1000*M635/Q635</f>
        <v>261.37794117647059</v>
      </c>
      <c r="AB635" s="54"/>
      <c r="AC635" s="281">
        <f t="shared" ref="AC635:AC640" si="279">T635/V635</f>
        <v>0.96296296296296291</v>
      </c>
      <c r="AD635" s="191">
        <f t="shared" ref="AD635:AD640" si="280">512*72*V635/1000000</f>
        <v>19.906559999999999</v>
      </c>
      <c r="AE635" s="446">
        <v>128.05526399999999</v>
      </c>
      <c r="AF635" s="198"/>
      <c r="AG635" s="493" t="s">
        <v>1168</v>
      </c>
    </row>
    <row r="636" spans="1:33" x14ac:dyDescent="0.2">
      <c r="A636" s="188" t="s">
        <v>929</v>
      </c>
      <c r="B636" s="41" t="s">
        <v>702</v>
      </c>
      <c r="C636" s="227"/>
      <c r="D636" s="229" t="s">
        <v>708</v>
      </c>
      <c r="E636" s="1036" t="s">
        <v>1500</v>
      </c>
      <c r="F636" s="143" t="s">
        <v>1760</v>
      </c>
      <c r="G636" s="43">
        <v>1375</v>
      </c>
      <c r="H636" s="128">
        <v>27</v>
      </c>
      <c r="I636" s="430">
        <v>312</v>
      </c>
      <c r="J636" s="138"/>
      <c r="K636" s="44"/>
      <c r="L636" s="456">
        <f t="shared" si="276"/>
        <v>242.4</v>
      </c>
      <c r="M636" s="457">
        <f t="shared" si="275"/>
        <v>530.25</v>
      </c>
      <c r="N636" s="65">
        <f t="shared" si="277"/>
        <v>385.63636363636363</v>
      </c>
      <c r="O636" s="65"/>
      <c r="P636" s="65"/>
      <c r="Q636" s="65">
        <v>1920</v>
      </c>
      <c r="R636" s="65">
        <v>8</v>
      </c>
      <c r="S636" s="65">
        <v>20</v>
      </c>
      <c r="T636" s="65">
        <v>520</v>
      </c>
      <c r="U636" s="65">
        <v>3</v>
      </c>
      <c r="V636" s="65">
        <v>600</v>
      </c>
      <c r="W636" s="71">
        <v>1</v>
      </c>
      <c r="X636" s="115">
        <v>30300</v>
      </c>
      <c r="Y636" s="87"/>
      <c r="Z636" s="141"/>
      <c r="AA636" s="371">
        <f t="shared" si="278"/>
        <v>276.171875</v>
      </c>
      <c r="AB636" s="54"/>
      <c r="AC636" s="281">
        <f t="shared" si="279"/>
        <v>0.8666666666666667</v>
      </c>
      <c r="AD636" s="191">
        <f t="shared" si="280"/>
        <v>22.118400000000001</v>
      </c>
      <c r="AE636" s="446">
        <v>128.05526399999999</v>
      </c>
      <c r="AF636" s="198">
        <f>(AE636*1000000-V636*36*1024)/(6000*L636)</f>
        <v>72.838877887788783</v>
      </c>
      <c r="AG636" s="493" t="s">
        <v>1169</v>
      </c>
    </row>
    <row r="637" spans="1:33" x14ac:dyDescent="0.2">
      <c r="A637" s="188" t="s">
        <v>929</v>
      </c>
      <c r="B637" s="41" t="s">
        <v>702</v>
      </c>
      <c r="C637" s="227"/>
      <c r="D637" s="1393" t="s">
        <v>703</v>
      </c>
      <c r="E637" s="41" t="s">
        <v>1501</v>
      </c>
      <c r="F637" s="179" t="s">
        <v>1681</v>
      </c>
      <c r="G637" s="43">
        <v>2661.7285000000002</v>
      </c>
      <c r="H637" s="128">
        <v>35</v>
      </c>
      <c r="I637" s="430">
        <v>520</v>
      </c>
      <c r="J637" s="138"/>
      <c r="K637" s="44"/>
      <c r="L637" s="456">
        <f t="shared" si="276"/>
        <v>331.68</v>
      </c>
      <c r="M637" s="457">
        <f t="shared" si="275"/>
        <v>725.55</v>
      </c>
      <c r="N637" s="65">
        <f t="shared" si="277"/>
        <v>272.58602821437273</v>
      </c>
      <c r="O637" s="65"/>
      <c r="P637" s="65"/>
      <c r="Q637" s="65">
        <v>2760</v>
      </c>
      <c r="R637" s="65">
        <v>12</v>
      </c>
      <c r="S637" s="65">
        <v>32</v>
      </c>
      <c r="T637" s="65">
        <v>624</v>
      </c>
      <c r="U637" s="65">
        <v>2</v>
      </c>
      <c r="V637" s="65">
        <v>1080</v>
      </c>
      <c r="W637" s="71">
        <v>1</v>
      </c>
      <c r="X637" s="115">
        <v>41460</v>
      </c>
      <c r="Y637" s="87"/>
      <c r="Z637" s="141"/>
      <c r="AA637" s="371">
        <f t="shared" si="278"/>
        <v>262.88043478260869</v>
      </c>
      <c r="AB637" s="54"/>
      <c r="AC637" s="281">
        <f t="shared" si="279"/>
        <v>0.57777777777777772</v>
      </c>
      <c r="AD637" s="191">
        <f t="shared" si="280"/>
        <v>39.813119999999998</v>
      </c>
      <c r="AE637" s="446">
        <v>192.99926400000001</v>
      </c>
      <c r="AF637" s="198">
        <f>(AE637*1000000-V637*36*1024)/(6000*L637)</f>
        <v>76.974867342016395</v>
      </c>
      <c r="AG637" s="492" t="s">
        <v>1170</v>
      </c>
    </row>
    <row r="638" spans="1:33" x14ac:dyDescent="0.2">
      <c r="A638" s="188" t="s">
        <v>929</v>
      </c>
      <c r="B638" s="41" t="s">
        <v>702</v>
      </c>
      <c r="C638" s="227"/>
      <c r="D638" s="229" t="s">
        <v>708</v>
      </c>
      <c r="E638" s="157" t="s">
        <v>1874</v>
      </c>
      <c r="F638" s="179" t="s">
        <v>1876</v>
      </c>
      <c r="G638" s="275">
        <v>3806.85</v>
      </c>
      <c r="H638" s="158">
        <v>35</v>
      </c>
      <c r="I638" s="473">
        <v>676</v>
      </c>
      <c r="J638" s="139"/>
      <c r="K638" s="47"/>
      <c r="L638" s="456">
        <f t="shared" si="276"/>
        <v>497.52</v>
      </c>
      <c r="M638" s="457">
        <f t="shared" si="275"/>
        <v>1088.325</v>
      </c>
      <c r="N638" s="65">
        <f t="shared" si="277"/>
        <v>285.88596871429132</v>
      </c>
      <c r="O638" s="73"/>
      <c r="P638" s="73"/>
      <c r="Q638" s="73">
        <v>2592</v>
      </c>
      <c r="R638" s="73">
        <v>14</v>
      </c>
      <c r="S638" s="73">
        <v>52</v>
      </c>
      <c r="T638" s="73">
        <v>728</v>
      </c>
      <c r="U638" s="73">
        <v>4</v>
      </c>
      <c r="V638" s="73">
        <v>1188</v>
      </c>
      <c r="W638" s="71">
        <v>1</v>
      </c>
      <c r="X638" s="475">
        <v>62190</v>
      </c>
      <c r="Y638" s="476"/>
      <c r="Z638" s="173"/>
      <c r="AA638" s="371">
        <f t="shared" si="278"/>
        <v>419.87847222222223</v>
      </c>
      <c r="AB638" s="57"/>
      <c r="AC638" s="908">
        <f t="shared" si="279"/>
        <v>0.61279461279461278</v>
      </c>
      <c r="AD638" s="191">
        <f t="shared" si="280"/>
        <v>43.794432</v>
      </c>
      <c r="AE638" s="446">
        <v>386.01228800000001</v>
      </c>
      <c r="AF638" s="198"/>
      <c r="AG638" s="492" t="s">
        <v>1507</v>
      </c>
    </row>
    <row r="639" spans="1:33" x14ac:dyDescent="0.2">
      <c r="A639" s="188" t="s">
        <v>929</v>
      </c>
      <c r="B639" s="41" t="s">
        <v>702</v>
      </c>
      <c r="C639" s="227"/>
      <c r="D639" s="229" t="s">
        <v>708</v>
      </c>
      <c r="E639" s="157" t="s">
        <v>1875</v>
      </c>
      <c r="F639" s="179" t="s">
        <v>1681</v>
      </c>
      <c r="G639" s="275">
        <v>4698.6000000000004</v>
      </c>
      <c r="H639" s="158">
        <v>40</v>
      </c>
      <c r="I639" s="473">
        <v>520</v>
      </c>
      <c r="J639" s="139"/>
      <c r="K639" s="47"/>
      <c r="L639" s="456">
        <f t="shared" si="276"/>
        <v>537.6</v>
      </c>
      <c r="M639" s="457">
        <f t="shared" si="275"/>
        <v>1176</v>
      </c>
      <c r="N639" s="65">
        <f t="shared" si="277"/>
        <v>250.28731962712294</v>
      </c>
      <c r="O639" s="73"/>
      <c r="P639" s="73"/>
      <c r="Q639" s="73">
        <v>4200</v>
      </c>
      <c r="R639" s="73">
        <v>24</v>
      </c>
      <c r="S639" s="73">
        <v>64</v>
      </c>
      <c r="T639" s="73">
        <v>832</v>
      </c>
      <c r="U639" s="73">
        <v>4</v>
      </c>
      <c r="V639" s="73">
        <v>1680</v>
      </c>
      <c r="W639" s="71">
        <v>2</v>
      </c>
      <c r="X639" s="475">
        <v>67200</v>
      </c>
      <c r="Y639" s="476"/>
      <c r="Z639" s="173"/>
      <c r="AA639" s="371">
        <f t="shared" si="278"/>
        <v>280</v>
      </c>
      <c r="AB639" s="57"/>
      <c r="AC639" s="908">
        <f t="shared" si="279"/>
        <v>0.49523809523809526</v>
      </c>
      <c r="AD639" s="191">
        <f t="shared" si="280"/>
        <v>61.931519999999999</v>
      </c>
      <c r="AE639" s="446">
        <v>286.74691200000001</v>
      </c>
      <c r="AF639" s="198">
        <f>(AE639*1000000-V639*36*1024)/(6000*L639)</f>
        <v>69.697232142857146</v>
      </c>
      <c r="AG639" s="6" t="s">
        <v>2324</v>
      </c>
    </row>
    <row r="640" spans="1:33" ht="13.5" thickBot="1" x14ac:dyDescent="0.25">
      <c r="A640" s="188" t="s">
        <v>929</v>
      </c>
      <c r="B640" s="41" t="s">
        <v>702</v>
      </c>
      <c r="C640" s="227"/>
      <c r="D640" s="229" t="s">
        <v>708</v>
      </c>
      <c r="E640" s="157" t="s">
        <v>1502</v>
      </c>
      <c r="F640" s="179" t="s">
        <v>1682</v>
      </c>
      <c r="G640" s="275">
        <v>5681.4814999999999</v>
      </c>
      <c r="H640" s="158">
        <v>40</v>
      </c>
      <c r="I640" s="473">
        <v>624</v>
      </c>
      <c r="J640" s="139"/>
      <c r="K640" s="47"/>
      <c r="L640" s="456">
        <f t="shared" si="276"/>
        <v>663.36</v>
      </c>
      <c r="M640" s="457">
        <f t="shared" si="275"/>
        <v>1451.1</v>
      </c>
      <c r="N640" s="65">
        <f t="shared" si="277"/>
        <v>255.40873449997153</v>
      </c>
      <c r="O640" s="73"/>
      <c r="P640" s="73"/>
      <c r="Q640" s="73">
        <v>5520</v>
      </c>
      <c r="R640" s="73">
        <v>24</v>
      </c>
      <c r="S640" s="73">
        <v>64</v>
      </c>
      <c r="T640" s="73">
        <v>832</v>
      </c>
      <c r="U640" s="73">
        <v>4</v>
      </c>
      <c r="V640" s="73">
        <v>2160</v>
      </c>
      <c r="W640" s="71">
        <v>2</v>
      </c>
      <c r="X640" s="475">
        <v>82920</v>
      </c>
      <c r="Y640" s="476"/>
      <c r="Z640" s="173"/>
      <c r="AA640" s="371">
        <f t="shared" si="278"/>
        <v>262.88043478260869</v>
      </c>
      <c r="AB640" s="57"/>
      <c r="AC640" s="908">
        <f t="shared" si="279"/>
        <v>0.38518518518518519</v>
      </c>
      <c r="AD640" s="191">
        <f t="shared" si="280"/>
        <v>79.626239999999996</v>
      </c>
      <c r="AE640" s="446">
        <v>386.01228800000001</v>
      </c>
      <c r="AF640" s="198">
        <f>(AE640*1000000-V640*36*1024)/(6000*L640)</f>
        <v>76.978324489467767</v>
      </c>
    </row>
    <row r="641" spans="1:33" x14ac:dyDescent="0.2">
      <c r="A641" s="182"/>
      <c r="B641" s="48" t="s">
        <v>715</v>
      </c>
      <c r="C641" s="226"/>
      <c r="D641" s="212"/>
      <c r="E641" s="12" t="s">
        <v>1492</v>
      </c>
      <c r="F641" s="466" t="s">
        <v>1437</v>
      </c>
      <c r="G641" s="14" t="s">
        <v>22</v>
      </c>
      <c r="H641" s="497" t="s">
        <v>1509</v>
      </c>
      <c r="I641" s="123"/>
      <c r="J641" s="15"/>
      <c r="K641" s="16" t="s">
        <v>22</v>
      </c>
      <c r="L641" s="248" t="s">
        <v>665</v>
      </c>
      <c r="M641" s="383" t="s">
        <v>1704</v>
      </c>
      <c r="N641" s="380">
        <f>AVERAGE(N642:N648)</f>
        <v>108.19459224818516</v>
      </c>
      <c r="O641" s="382">
        <f>AVERAGE(O642:O788)</f>
        <v>264.95979093136742</v>
      </c>
      <c r="P641" s="60"/>
      <c r="Q641" s="399" t="s">
        <v>1739</v>
      </c>
      <c r="R641" s="399" t="s">
        <v>976</v>
      </c>
      <c r="S641" s="399" t="s">
        <v>1506</v>
      </c>
      <c r="T641" s="61"/>
      <c r="U641" s="61" t="s">
        <v>982</v>
      </c>
      <c r="V641" s="74" t="s">
        <v>433</v>
      </c>
      <c r="W641" s="399" t="s">
        <v>1167</v>
      </c>
      <c r="X641" s="109" t="s">
        <v>207</v>
      </c>
      <c r="Y641" s="80" t="s">
        <v>695</v>
      </c>
      <c r="Z641" s="206"/>
      <c r="AA641" s="370">
        <f>AVERAGE(AA642:AA648)</f>
        <v>1445.9233516483516</v>
      </c>
      <c r="AB641" s="92">
        <f>AVERAGE(AB642:AB788)</f>
        <v>504.54123908414419</v>
      </c>
      <c r="AC641" s="1452">
        <f>AVERAGE(AC642:AC648)</f>
        <v>0.43753597771894742</v>
      </c>
      <c r="AD641" s="109" t="s">
        <v>650</v>
      </c>
      <c r="AE641" s="195"/>
      <c r="AF641" s="196">
        <f>AVERAGE(AF642:AF648)</f>
        <v>69.268212665000931</v>
      </c>
      <c r="AG641" s="492" t="s">
        <v>1503</v>
      </c>
    </row>
    <row r="642" spans="1:33" x14ac:dyDescent="0.2">
      <c r="A642" s="188"/>
      <c r="B642" s="41" t="s">
        <v>702</v>
      </c>
      <c r="C642" s="227"/>
      <c r="D642" s="229" t="s">
        <v>708</v>
      </c>
      <c r="E642" s="41" t="s">
        <v>1493</v>
      </c>
      <c r="F642" s="143" t="s">
        <v>1733</v>
      </c>
      <c r="G642" s="43">
        <v>5230.7695000000003</v>
      </c>
      <c r="H642" s="128">
        <v>40</v>
      </c>
      <c r="I642" s="430">
        <v>520</v>
      </c>
      <c r="J642" s="138"/>
      <c r="K642" s="44"/>
      <c r="L642" s="456">
        <f t="shared" ref="L642:L648" si="281">8*X642/1000</f>
        <v>358.08</v>
      </c>
      <c r="M642" s="457">
        <f t="shared" ref="M642:M665" si="282">17.5*X642/1000</f>
        <v>783.3</v>
      </c>
      <c r="N642" s="65">
        <f t="shared" ref="N642:N648" si="283">IF(AND(G642&lt;&gt;"",M642&lt;&gt;""),1000*M642/G642,"")</f>
        <v>149.74852170412021</v>
      </c>
      <c r="O642" s="65"/>
      <c r="P642" s="65"/>
      <c r="Q642" s="65">
        <v>600</v>
      </c>
      <c r="R642" s="65">
        <v>10</v>
      </c>
      <c r="S642" s="65">
        <v>40</v>
      </c>
      <c r="T642" s="449">
        <v>520</v>
      </c>
      <c r="U642" s="65">
        <v>2</v>
      </c>
      <c r="V642" s="65">
        <v>1260</v>
      </c>
      <c r="W642" s="71">
        <v>1</v>
      </c>
      <c r="X642" s="115">
        <v>44760</v>
      </c>
      <c r="Y642" s="87"/>
      <c r="Z642" s="141"/>
      <c r="AA642" s="371">
        <f t="shared" ref="AA642:AA648" si="284">1000*M642/Q642</f>
        <v>1305.5</v>
      </c>
      <c r="AB642" s="54"/>
      <c r="AC642" s="281">
        <f t="shared" ref="AC642:AC648" si="285">T642/V642</f>
        <v>0.41269841269841268</v>
      </c>
      <c r="AD642" s="191">
        <f t="shared" ref="AD642:AD648" si="286">512*72*V642/1000000</f>
        <v>46.448639999999997</v>
      </c>
      <c r="AE642" s="446">
        <v>200.71382399999999</v>
      </c>
      <c r="AF642" s="198">
        <f t="shared" ref="AF642:AF703" si="287">(AE642*1000000-V642*36*1024)/(6000*L642)</f>
        <v>71.80201072386059</v>
      </c>
      <c r="AG642" s="493" t="s">
        <v>1504</v>
      </c>
    </row>
    <row r="643" spans="1:33" s="493" customFormat="1" x14ac:dyDescent="0.2">
      <c r="A643" s="494"/>
      <c r="B643" s="41" t="s">
        <v>702</v>
      </c>
      <c r="C643" s="230"/>
      <c r="D643" s="229" t="s">
        <v>708</v>
      </c>
      <c r="E643" s="41" t="s">
        <v>1494</v>
      </c>
      <c r="F643" s="143" t="s">
        <v>1734</v>
      </c>
      <c r="G643" s="1037">
        <v>8510.6640000000007</v>
      </c>
      <c r="H643" s="1038">
        <v>40</v>
      </c>
      <c r="I643" s="1039">
        <v>520</v>
      </c>
      <c r="J643" s="1040"/>
      <c r="K643" s="1041"/>
      <c r="L643" s="896">
        <f t="shared" si="281"/>
        <v>445.71199999999999</v>
      </c>
      <c r="M643" s="457">
        <f t="shared" si="282"/>
        <v>974.995</v>
      </c>
      <c r="N643" s="469">
        <f t="shared" si="283"/>
        <v>114.56156652406909</v>
      </c>
      <c r="O643" s="469"/>
      <c r="P643" s="469"/>
      <c r="Q643" s="469">
        <v>672</v>
      </c>
      <c r="R643" s="469">
        <v>16</v>
      </c>
      <c r="S643" s="469">
        <v>64</v>
      </c>
      <c r="T643" s="1043">
        <v>832</v>
      </c>
      <c r="U643" s="469">
        <v>4</v>
      </c>
      <c r="V643" s="469">
        <v>1421</v>
      </c>
      <c r="W643" s="1004">
        <v>1</v>
      </c>
      <c r="X643" s="1044">
        <v>55714</v>
      </c>
      <c r="Y643" s="87"/>
      <c r="Z643" s="1045"/>
      <c r="AA643" s="1046">
        <f t="shared" si="284"/>
        <v>1450.8854166666667</v>
      </c>
      <c r="AB643" s="93"/>
      <c r="AC643" s="1456">
        <f t="shared" si="285"/>
        <v>0.58550316678395498</v>
      </c>
      <c r="AD643" s="1047">
        <f t="shared" si="286"/>
        <v>52.383744</v>
      </c>
      <c r="AE643" s="1048">
        <v>286.74691200000001</v>
      </c>
      <c r="AF643" s="1049"/>
      <c r="AG643" s="493" t="s">
        <v>1168</v>
      </c>
    </row>
    <row r="644" spans="1:33" x14ac:dyDescent="0.2">
      <c r="A644" s="188"/>
      <c r="B644" s="41" t="s">
        <v>702</v>
      </c>
      <c r="C644" s="227"/>
      <c r="D644" s="229" t="s">
        <v>708</v>
      </c>
      <c r="E644" s="41" t="s">
        <v>1495</v>
      </c>
      <c r="F644" s="143" t="s">
        <v>1732</v>
      </c>
      <c r="G644" s="128">
        <v>11307.96</v>
      </c>
      <c r="H644" s="128">
        <v>40</v>
      </c>
      <c r="I644" s="430">
        <v>520</v>
      </c>
      <c r="J644" s="138"/>
      <c r="K644" s="44"/>
      <c r="L644" s="456">
        <f t="shared" si="281"/>
        <v>537.6</v>
      </c>
      <c r="M644" s="457">
        <f t="shared" si="282"/>
        <v>1176</v>
      </c>
      <c r="N644" s="65">
        <f t="shared" si="283"/>
        <v>103.99753801746735</v>
      </c>
      <c r="O644" s="65"/>
      <c r="P644" s="65"/>
      <c r="Q644" s="65">
        <v>768</v>
      </c>
      <c r="R644" s="65">
        <v>16</v>
      </c>
      <c r="S644" s="65">
        <v>64</v>
      </c>
      <c r="T644" s="449">
        <v>832</v>
      </c>
      <c r="U644" s="65">
        <v>4</v>
      </c>
      <c r="V644" s="65">
        <v>1728</v>
      </c>
      <c r="W644" s="71">
        <v>1</v>
      </c>
      <c r="X644" s="115">
        <v>67200</v>
      </c>
      <c r="Y644" s="87"/>
      <c r="Z644" s="141"/>
      <c r="AA644" s="371">
        <f t="shared" si="284"/>
        <v>1531.25</v>
      </c>
      <c r="AB644" s="54"/>
      <c r="AC644" s="281">
        <f t="shared" si="285"/>
        <v>0.48148148148148145</v>
      </c>
      <c r="AD644" s="191">
        <f t="shared" si="286"/>
        <v>63.700991999999999</v>
      </c>
      <c r="AE644" s="446">
        <v>286.74691200000001</v>
      </c>
      <c r="AF644" s="198">
        <f t="shared" si="287"/>
        <v>69.148660714285711</v>
      </c>
      <c r="AG644" s="493" t="s">
        <v>1169</v>
      </c>
    </row>
    <row r="645" spans="1:33" x14ac:dyDescent="0.2">
      <c r="A645" s="188"/>
      <c r="B645" s="41" t="s">
        <v>702</v>
      </c>
      <c r="C645" s="227"/>
      <c r="D645" s="229" t="s">
        <v>708</v>
      </c>
      <c r="E645" s="41" t="s">
        <v>1496</v>
      </c>
      <c r="F645" s="143" t="s">
        <v>1735</v>
      </c>
      <c r="G645" s="128">
        <v>15983.75</v>
      </c>
      <c r="H645" s="128">
        <v>40</v>
      </c>
      <c r="I645" s="430">
        <v>364</v>
      </c>
      <c r="J645" s="138"/>
      <c r="K645" s="44"/>
      <c r="L645" s="456">
        <f t="shared" si="281"/>
        <v>716.096</v>
      </c>
      <c r="M645" s="457">
        <f t="shared" si="282"/>
        <v>1566.46</v>
      </c>
      <c r="N645" s="65">
        <f t="shared" si="283"/>
        <v>98.003284585907565</v>
      </c>
      <c r="O645" s="65"/>
      <c r="P645" s="65"/>
      <c r="Q645" s="65">
        <v>1200</v>
      </c>
      <c r="R645" s="65">
        <v>20</v>
      </c>
      <c r="S645" s="65">
        <v>80</v>
      </c>
      <c r="T645" s="449">
        <v>1040</v>
      </c>
      <c r="U645" s="65">
        <v>4</v>
      </c>
      <c r="V645" s="65">
        <v>2520</v>
      </c>
      <c r="W645" s="71">
        <v>2</v>
      </c>
      <c r="X645" s="115">
        <v>89512</v>
      </c>
      <c r="Y645" s="87"/>
      <c r="Z645" s="141"/>
      <c r="AA645" s="371">
        <f t="shared" si="284"/>
        <v>1305.3833333333334</v>
      </c>
      <c r="AB645" s="54"/>
      <c r="AC645" s="281">
        <f t="shared" si="285"/>
        <v>0.41269841269841268</v>
      </c>
      <c r="AD645" s="191">
        <f t="shared" si="286"/>
        <v>92.897279999999995</v>
      </c>
      <c r="AE645" s="446">
        <v>401.44140800000002</v>
      </c>
      <c r="AF645" s="198">
        <f t="shared" si="287"/>
        <v>71.811630470402477</v>
      </c>
      <c r="AG645" s="492" t="s">
        <v>1170</v>
      </c>
    </row>
    <row r="646" spans="1:33" x14ac:dyDescent="0.2">
      <c r="A646" s="188"/>
      <c r="B646" s="41" t="s">
        <v>702</v>
      </c>
      <c r="C646" s="227"/>
      <c r="D646" s="229" t="s">
        <v>708</v>
      </c>
      <c r="E646" s="41" t="s">
        <v>1497</v>
      </c>
      <c r="F646" s="143" t="s">
        <v>1736</v>
      </c>
      <c r="G646" s="128">
        <v>24323.076000000001</v>
      </c>
      <c r="H646" s="128">
        <v>45</v>
      </c>
      <c r="I646" s="430">
        <v>832</v>
      </c>
      <c r="J646" s="138"/>
      <c r="K646" s="44"/>
      <c r="L646" s="456">
        <f t="shared" si="281"/>
        <v>926.4</v>
      </c>
      <c r="M646" s="457">
        <f t="shared" si="282"/>
        <v>2026.5</v>
      </c>
      <c r="N646" s="65">
        <f t="shared" si="283"/>
        <v>83.315942440832728</v>
      </c>
      <c r="O646" s="65"/>
      <c r="P646" s="65"/>
      <c r="Q646" s="65">
        <v>1560</v>
      </c>
      <c r="R646" s="65">
        <v>26</v>
      </c>
      <c r="S646" s="65">
        <v>104</v>
      </c>
      <c r="T646" s="449">
        <v>1040</v>
      </c>
      <c r="U646" s="65">
        <v>4</v>
      </c>
      <c r="V646" s="65">
        <v>3276</v>
      </c>
      <c r="W646" s="71">
        <v>3</v>
      </c>
      <c r="X646" s="115">
        <v>115800</v>
      </c>
      <c r="Y646" s="87"/>
      <c r="Z646" s="141"/>
      <c r="AA646" s="371">
        <f t="shared" si="284"/>
        <v>1299.0384615384614</v>
      </c>
      <c r="AB646" s="54"/>
      <c r="AC646" s="281">
        <f t="shared" si="285"/>
        <v>0.31746031746031744</v>
      </c>
      <c r="AD646" s="191">
        <f t="shared" si="286"/>
        <v>120.766464</v>
      </c>
      <c r="AE646" s="446">
        <v>602.15606400000001</v>
      </c>
      <c r="AF646" s="198"/>
      <c r="AG646" s="6" t="s">
        <v>2324</v>
      </c>
    </row>
    <row r="647" spans="1:33" x14ac:dyDescent="0.2">
      <c r="A647" s="188"/>
      <c r="B647" s="41" t="s">
        <v>702</v>
      </c>
      <c r="C647" s="227"/>
      <c r="D647" s="229" t="s">
        <v>708</v>
      </c>
      <c r="E647" s="41" t="s">
        <v>1554</v>
      </c>
      <c r="F647" s="143" t="s">
        <v>1873</v>
      </c>
      <c r="G647" s="128">
        <v>28813.040000000001</v>
      </c>
      <c r="H647" s="128">
        <v>47.5</v>
      </c>
      <c r="I647" s="430">
        <v>676</v>
      </c>
      <c r="J647" s="138"/>
      <c r="K647" s="44"/>
      <c r="L647" s="456">
        <f>8*X647/1000</f>
        <v>1074.24</v>
      </c>
      <c r="M647" s="457">
        <f t="shared" si="282"/>
        <v>2349.9</v>
      </c>
      <c r="N647" s="65">
        <f>IF(AND(G647&lt;&gt;"",M647&lt;&gt;""),1000*M647/G647,"")</f>
        <v>81.556822882972426</v>
      </c>
      <c r="O647" s="65"/>
      <c r="P647" s="65"/>
      <c r="Q647" s="65">
        <v>1800</v>
      </c>
      <c r="R647" s="65">
        <v>24</v>
      </c>
      <c r="S647" s="65">
        <v>120</v>
      </c>
      <c r="T647" s="449">
        <v>1040</v>
      </c>
      <c r="U647" s="65">
        <v>6</v>
      </c>
      <c r="V647" s="65">
        <v>3780</v>
      </c>
      <c r="W647" s="71">
        <v>3</v>
      </c>
      <c r="X647" s="115">
        <v>134280</v>
      </c>
      <c r="Y647" s="87"/>
      <c r="Z647" s="141"/>
      <c r="AA647" s="371">
        <f>1000*M647/Q647</f>
        <v>1305.5</v>
      </c>
      <c r="AB647" s="54"/>
      <c r="AC647" s="281">
        <f>T647/V647</f>
        <v>0.27513227513227512</v>
      </c>
      <c r="AD647" s="191">
        <f>512*72*V647/1000000</f>
        <v>139.34592000000001</v>
      </c>
      <c r="AE647" s="446">
        <v>602.15606400000001</v>
      </c>
      <c r="AF647" s="198">
        <f>(AE647*1000000-V647*36*1024)/(6000*L647)</f>
        <v>71.804274649985103</v>
      </c>
      <c r="AG647" s="492" t="s">
        <v>1508</v>
      </c>
    </row>
    <row r="648" spans="1:33" ht="13.5" thickBot="1" x14ac:dyDescent="0.25">
      <c r="A648" s="188"/>
      <c r="B648" s="41" t="s">
        <v>702</v>
      </c>
      <c r="C648" s="227"/>
      <c r="D648" s="229" t="s">
        <v>708</v>
      </c>
      <c r="E648" s="41" t="s">
        <v>1498</v>
      </c>
      <c r="F648" s="143" t="s">
        <v>1683</v>
      </c>
      <c r="G648" s="128">
        <v>43912.800799999997</v>
      </c>
      <c r="H648" s="128">
        <v>50</v>
      </c>
      <c r="I648" s="430">
        <v>1300</v>
      </c>
      <c r="J648" s="138"/>
      <c r="K648" s="44"/>
      <c r="L648" s="456">
        <f t="shared" si="281"/>
        <v>2532.96</v>
      </c>
      <c r="M648" s="457">
        <f t="shared" si="282"/>
        <v>5540.85</v>
      </c>
      <c r="N648" s="65">
        <f t="shared" si="283"/>
        <v>126.17846958192656</v>
      </c>
      <c r="O648" s="65"/>
      <c r="P648" s="65"/>
      <c r="Q648" s="65">
        <v>2880</v>
      </c>
      <c r="R648" s="65">
        <v>30</v>
      </c>
      <c r="S648" s="65">
        <v>48</v>
      </c>
      <c r="T648" s="449">
        <v>1456</v>
      </c>
      <c r="U648" s="65">
        <v>6</v>
      </c>
      <c r="V648" s="65">
        <v>2520</v>
      </c>
      <c r="W648" s="71">
        <v>3</v>
      </c>
      <c r="X648" s="115">
        <v>316620</v>
      </c>
      <c r="Y648" s="87"/>
      <c r="Z648" s="141"/>
      <c r="AA648" s="371">
        <f t="shared" si="284"/>
        <v>1923.90625</v>
      </c>
      <c r="AB648" s="54"/>
      <c r="AC648" s="281">
        <f t="shared" si="285"/>
        <v>0.57777777777777772</v>
      </c>
      <c r="AD648" s="191">
        <f t="shared" si="286"/>
        <v>92.897279999999995</v>
      </c>
      <c r="AE648" s="1382">
        <v>1031.731104</v>
      </c>
      <c r="AF648" s="200">
        <f t="shared" si="287"/>
        <v>61.774486766470851</v>
      </c>
    </row>
    <row r="649" spans="1:33" x14ac:dyDescent="0.2">
      <c r="A649" s="182"/>
      <c r="B649" s="48" t="s">
        <v>715</v>
      </c>
      <c r="C649" s="226"/>
      <c r="D649" s="212"/>
      <c r="E649" s="12" t="s">
        <v>1629</v>
      </c>
      <c r="F649" s="466" t="s">
        <v>1630</v>
      </c>
      <c r="G649" s="14" t="s">
        <v>22</v>
      </c>
      <c r="H649" s="40" t="s">
        <v>1878</v>
      </c>
      <c r="I649" s="132" t="s">
        <v>1879</v>
      </c>
      <c r="J649" s="15"/>
      <c r="K649" s="16" t="s">
        <v>22</v>
      </c>
      <c r="L649" s="248" t="s">
        <v>665</v>
      </c>
      <c r="M649" s="383" t="s">
        <v>1704</v>
      </c>
      <c r="N649" s="380">
        <f>AVERAGE(N651:N661)</f>
        <v>305.68480747642548</v>
      </c>
      <c r="O649" s="382">
        <f>AVERAGE(O653:O799)</f>
        <v>259.25797908496236</v>
      </c>
      <c r="P649" s="489" t="s">
        <v>1631</v>
      </c>
      <c r="Q649" s="399" t="s">
        <v>2323</v>
      </c>
      <c r="R649" s="399" t="s">
        <v>1341</v>
      </c>
      <c r="S649" s="61"/>
      <c r="T649" s="61"/>
      <c r="U649" s="399" t="s">
        <v>1637</v>
      </c>
      <c r="V649" s="490" t="s">
        <v>433</v>
      </c>
      <c r="W649" s="491" t="s">
        <v>1638</v>
      </c>
      <c r="X649" s="109" t="s">
        <v>207</v>
      </c>
      <c r="Y649" s="80" t="s">
        <v>695</v>
      </c>
      <c r="Z649" s="206"/>
      <c r="AA649" s="370">
        <f>AVERAGE(AA651:AA661)</f>
        <v>335.82864534365268</v>
      </c>
      <c r="AB649" s="92">
        <f>AVERAGE(AB653:AB799)</f>
        <v>500.71417712993701</v>
      </c>
      <c r="AC649" s="1452">
        <f>AVERAGE(AC651:AC660)</f>
        <v>1.8569734002020724</v>
      </c>
      <c r="AD649" s="109" t="s">
        <v>650</v>
      </c>
      <c r="AE649" s="195"/>
      <c r="AF649" s="196">
        <f>AVERAGE(AF651:AF661)</f>
        <v>94.222231022583372</v>
      </c>
      <c r="AG649" s="492" t="s">
        <v>1756</v>
      </c>
    </row>
    <row r="650" spans="1:33" x14ac:dyDescent="0.2">
      <c r="A650" s="188" t="s">
        <v>189</v>
      </c>
      <c r="B650" s="41" t="s">
        <v>702</v>
      </c>
      <c r="C650" s="227"/>
      <c r="D650" s="229" t="s">
        <v>708</v>
      </c>
      <c r="E650" s="910" t="s">
        <v>2342</v>
      </c>
      <c r="F650" s="143" t="s">
        <v>1832</v>
      </c>
      <c r="G650" s="43">
        <v>226.32</v>
      </c>
      <c r="H650" s="128">
        <v>12</v>
      </c>
      <c r="I650" s="430">
        <v>245</v>
      </c>
      <c r="J650" s="138"/>
      <c r="K650" s="44"/>
      <c r="L650" s="456">
        <f>M650*8/17.5</f>
        <v>37.028571428571432</v>
      </c>
      <c r="M650" s="457">
        <v>81</v>
      </c>
      <c r="N650" s="65">
        <f>IF(AND(G650&lt;&gt;"",M650&lt;&gt;""),1000*M650/G650,"")</f>
        <v>357.90031813361611</v>
      </c>
      <c r="O650" s="65"/>
      <c r="P650" s="65">
        <v>4</v>
      </c>
      <c r="Q650" s="65">
        <v>216</v>
      </c>
      <c r="R650" s="65">
        <v>3</v>
      </c>
      <c r="S650" s="65">
        <v>0</v>
      </c>
      <c r="T650" s="449">
        <v>394</v>
      </c>
      <c r="U650" s="65"/>
      <c r="V650" s="65">
        <v>106</v>
      </c>
      <c r="W650" s="65"/>
      <c r="X650" s="1044">
        <f>1000*L650/8</f>
        <v>4628.5714285714294</v>
      </c>
      <c r="Y650" s="87"/>
      <c r="Z650" s="390" t="str">
        <f>IF(AND(L650&lt;&gt;"",Y650&lt;&gt;""),1000*L650/Y650,"")</f>
        <v/>
      </c>
      <c r="AA650" s="378">
        <f>1000*M650/Q650</f>
        <v>375</v>
      </c>
      <c r="AB650" s="54"/>
      <c r="AC650" s="281">
        <f>T650/V650</f>
        <v>3.7169811320754715</v>
      </c>
      <c r="AD650" s="191">
        <f>(512*72*V650+4096*72*W650)/1000000</f>
        <v>3.9075839999999999</v>
      </c>
      <c r="AE650" s="197"/>
      <c r="AF650" s="1049"/>
      <c r="AG650" s="492"/>
    </row>
    <row r="651" spans="1:33" x14ac:dyDescent="0.2">
      <c r="A651" s="188" t="s">
        <v>189</v>
      </c>
      <c r="B651" s="41" t="s">
        <v>702</v>
      </c>
      <c r="C651" s="227"/>
      <c r="D651" s="229" t="s">
        <v>708</v>
      </c>
      <c r="E651" s="910" t="s">
        <v>1821</v>
      </c>
      <c r="F651" s="143" t="s">
        <v>1832</v>
      </c>
      <c r="G651" s="43">
        <v>189.13040000000001</v>
      </c>
      <c r="H651" s="128">
        <v>19</v>
      </c>
      <c r="I651" s="430">
        <v>245</v>
      </c>
      <c r="J651" s="138"/>
      <c r="K651" s="44"/>
      <c r="L651" s="456">
        <f t="shared" ref="L651:L665" si="288">8*X651/1000</f>
        <v>47.231999999999999</v>
      </c>
      <c r="M651" s="457">
        <f t="shared" si="282"/>
        <v>103.32</v>
      </c>
      <c r="N651" s="65">
        <f t="shared" ref="N651:N659" si="289">IF(AND(G651&lt;&gt;"",M651&lt;&gt;""),1000*M651/G651,"")</f>
        <v>546.2897556394953</v>
      </c>
      <c r="O651" s="65"/>
      <c r="P651" s="65">
        <v>6</v>
      </c>
      <c r="Q651" s="65">
        <v>240</v>
      </c>
      <c r="R651" s="65">
        <v>3</v>
      </c>
      <c r="S651" s="65">
        <v>0</v>
      </c>
      <c r="T651" s="449">
        <v>462</v>
      </c>
      <c r="U651" s="65"/>
      <c r="V651" s="65">
        <v>150</v>
      </c>
      <c r="W651" s="65"/>
      <c r="X651" s="115">
        <v>5904</v>
      </c>
      <c r="Y651" s="87"/>
      <c r="Z651" s="390" t="str">
        <f>IF(AND(L651&lt;&gt;"",Y651&lt;&gt;""),1000*L651/Y651,"")</f>
        <v/>
      </c>
      <c r="AA651" s="378">
        <f t="shared" ref="AA651:AA678" si="290">1000*M651/Q651</f>
        <v>430.5</v>
      </c>
      <c r="AB651" s="54"/>
      <c r="AC651" s="281">
        <f t="shared" ref="AC651:AC678" si="291">T651/V651</f>
        <v>3.08</v>
      </c>
      <c r="AD651" s="191">
        <f>(512*72*V651+4096*72*W651)/1000000</f>
        <v>5.5296000000000003</v>
      </c>
      <c r="AE651" s="197">
        <v>44.549343999999998</v>
      </c>
      <c r="AF651" s="1049"/>
      <c r="AG651" s="492" t="s">
        <v>1757</v>
      </c>
    </row>
    <row r="652" spans="1:33" x14ac:dyDescent="0.2">
      <c r="A652" s="188" t="s">
        <v>189</v>
      </c>
      <c r="B652" s="41" t="s">
        <v>702</v>
      </c>
      <c r="C652" s="227"/>
      <c r="D652" s="229" t="s">
        <v>704</v>
      </c>
      <c r="E652" s="910" t="s">
        <v>1822</v>
      </c>
      <c r="F652" s="143" t="s">
        <v>1832</v>
      </c>
      <c r="G652" s="43">
        <v>334.16500000000002</v>
      </c>
      <c r="H652" s="128">
        <v>19</v>
      </c>
      <c r="I652" s="430">
        <v>245</v>
      </c>
      <c r="J652" s="138"/>
      <c r="K652" s="44"/>
      <c r="L652" s="456">
        <f t="shared" si="288"/>
        <v>70.56</v>
      </c>
      <c r="M652" s="457">
        <f t="shared" si="282"/>
        <v>154.35</v>
      </c>
      <c r="N652" s="65">
        <f t="shared" si="289"/>
        <v>461.89756557389313</v>
      </c>
      <c r="O652" s="65"/>
      <c r="P652" s="65">
        <v>6</v>
      </c>
      <c r="Q652" s="65">
        <v>360</v>
      </c>
      <c r="R652" s="65">
        <v>3</v>
      </c>
      <c r="S652" s="65">
        <v>0</v>
      </c>
      <c r="T652" s="449">
        <v>462</v>
      </c>
      <c r="U652" s="65"/>
      <c r="V652" s="65">
        <v>216</v>
      </c>
      <c r="W652" s="65"/>
      <c r="X652" s="115">
        <v>8820</v>
      </c>
      <c r="Y652" s="87"/>
      <c r="Z652" s="390"/>
      <c r="AA652" s="378">
        <f t="shared" si="290"/>
        <v>428.75</v>
      </c>
      <c r="AB652" s="54"/>
      <c r="AC652" s="281">
        <f t="shared" si="291"/>
        <v>2.1388888888888888</v>
      </c>
      <c r="AD652" s="191">
        <f t="shared" ref="AD652:AD678" si="292">(512*72*V652+4096*72*W652)/1000000</f>
        <v>7.9626239999999999</v>
      </c>
      <c r="AE652" s="197">
        <v>44.549343999999998</v>
      </c>
      <c r="AF652" s="1049">
        <f t="shared" si="287"/>
        <v>86.4198790627362</v>
      </c>
      <c r="AG652" s="6" t="s">
        <v>2325</v>
      </c>
    </row>
    <row r="653" spans="1:33" x14ac:dyDescent="0.2">
      <c r="A653" s="188" t="s">
        <v>189</v>
      </c>
      <c r="B653" s="41" t="s">
        <v>702</v>
      </c>
      <c r="C653" s="227"/>
      <c r="D653" s="229" t="s">
        <v>708</v>
      </c>
      <c r="E653" s="910" t="s">
        <v>1823</v>
      </c>
      <c r="F653" s="143" t="s">
        <v>1882</v>
      </c>
      <c r="G653" s="43">
        <v>780</v>
      </c>
      <c r="H653" s="128">
        <v>23</v>
      </c>
      <c r="I653" s="430">
        <v>414</v>
      </c>
      <c r="J653" s="138"/>
      <c r="K653" s="44"/>
      <c r="L653" s="456">
        <f t="shared" si="288"/>
        <v>87.84</v>
      </c>
      <c r="M653" s="457">
        <f t="shared" si="282"/>
        <v>192.15</v>
      </c>
      <c r="N653" s="65">
        <f t="shared" si="289"/>
        <v>246.34615384615384</v>
      </c>
      <c r="O653" s="65"/>
      <c r="P653" s="65">
        <v>6</v>
      </c>
      <c r="Q653" s="65">
        <v>728</v>
      </c>
      <c r="R653" s="65">
        <v>4</v>
      </c>
      <c r="S653" s="65">
        <v>16</v>
      </c>
      <c r="T653" s="449">
        <v>462</v>
      </c>
      <c r="U653" s="65">
        <v>2</v>
      </c>
      <c r="V653" s="65">
        <v>128</v>
      </c>
      <c r="W653" s="65">
        <v>48</v>
      </c>
      <c r="X653" s="115">
        <v>10980</v>
      </c>
      <c r="Y653" s="87"/>
      <c r="Z653" s="390" t="str">
        <f>IF(AND(L653&lt;&gt;"",Y653&lt;&gt;""),1000*L653/Y653,"")</f>
        <v/>
      </c>
      <c r="AA653" s="378">
        <f t="shared" si="290"/>
        <v>263.94230769230768</v>
      </c>
      <c r="AB653" s="54"/>
      <c r="AC653" s="281">
        <f t="shared" si="291"/>
        <v>3.609375</v>
      </c>
      <c r="AD653" s="191">
        <f t="shared" si="292"/>
        <v>18.874368</v>
      </c>
      <c r="AE653" s="197">
        <v>61.269888000000002</v>
      </c>
      <c r="AF653" s="1049"/>
      <c r="AG653" s="493" t="s">
        <v>1634</v>
      </c>
    </row>
    <row r="654" spans="1:33" x14ac:dyDescent="0.2">
      <c r="A654" s="188" t="s">
        <v>189</v>
      </c>
      <c r="B654" s="41" t="s">
        <v>702</v>
      </c>
      <c r="C654" s="227"/>
      <c r="D654" s="229" t="s">
        <v>704</v>
      </c>
      <c r="E654" s="910" t="s">
        <v>1824</v>
      </c>
      <c r="F654" s="143" t="s">
        <v>1882</v>
      </c>
      <c r="G654" s="43">
        <v>1235</v>
      </c>
      <c r="H654" s="128">
        <v>23</v>
      </c>
      <c r="I654" s="430">
        <v>414</v>
      </c>
      <c r="J654" s="138"/>
      <c r="K654" s="44"/>
      <c r="L654" s="456">
        <f t="shared" si="288"/>
        <v>117.12</v>
      </c>
      <c r="M654" s="457">
        <f t="shared" si="282"/>
        <v>256.2</v>
      </c>
      <c r="N654" s="65">
        <f t="shared" si="289"/>
        <v>207.4493927125506</v>
      </c>
      <c r="O654" s="65"/>
      <c r="P654" s="65">
        <v>6</v>
      </c>
      <c r="Q654" s="65">
        <v>1248</v>
      </c>
      <c r="R654" s="65">
        <v>4</v>
      </c>
      <c r="S654" s="65">
        <v>16</v>
      </c>
      <c r="T654" s="449">
        <v>462</v>
      </c>
      <c r="U654" s="469">
        <v>2</v>
      </c>
      <c r="V654" s="65">
        <v>144</v>
      </c>
      <c r="W654" s="65">
        <v>64</v>
      </c>
      <c r="X654" s="115">
        <v>14640</v>
      </c>
      <c r="Y654" s="87"/>
      <c r="Z654" s="390" t="str">
        <f>IF(AND(L654&lt;&gt;"",Y654&lt;&gt;""),1000*L654/Y654,"")</f>
        <v/>
      </c>
      <c r="AA654" s="378">
        <f t="shared" si="290"/>
        <v>205.28846153846155</v>
      </c>
      <c r="AB654" s="54"/>
      <c r="AC654" s="281">
        <f t="shared" si="291"/>
        <v>3.2083333333333335</v>
      </c>
      <c r="AD654" s="191">
        <f t="shared" si="292"/>
        <v>24.182784000000002</v>
      </c>
      <c r="AE654" s="197">
        <v>61.269888000000002</v>
      </c>
      <c r="AF654" s="1049">
        <f t="shared" si="287"/>
        <v>79.635519125683061</v>
      </c>
      <c r="AG654" s="492" t="s">
        <v>1635</v>
      </c>
    </row>
    <row r="655" spans="1:33" x14ac:dyDescent="0.2">
      <c r="A655" s="188" t="s">
        <v>189</v>
      </c>
      <c r="B655" s="41" t="s">
        <v>702</v>
      </c>
      <c r="C655" s="227"/>
      <c r="D655" s="229" t="s">
        <v>708</v>
      </c>
      <c r="E655" s="1036" t="s">
        <v>1825</v>
      </c>
      <c r="F655" s="143" t="s">
        <v>1929</v>
      </c>
      <c r="G655" s="43">
        <v>1847.365</v>
      </c>
      <c r="H655" s="128">
        <v>31</v>
      </c>
      <c r="I655" s="430">
        <v>414</v>
      </c>
      <c r="J655" s="138"/>
      <c r="K655" s="44"/>
      <c r="L655" s="456">
        <f>8*X655/1000</f>
        <v>214.6</v>
      </c>
      <c r="M655" s="457">
        <f>17.5*X655/1000</f>
        <v>469.4375</v>
      </c>
      <c r="N655" s="65">
        <f>IF(AND(G655&lt;&gt;"",M655&lt;&gt;""),1000*M655/G655,"")</f>
        <v>254.11193781412985</v>
      </c>
      <c r="O655" s="65"/>
      <c r="P655" s="65">
        <v>6</v>
      </c>
      <c r="Q655" s="65">
        <v>1973</v>
      </c>
      <c r="R655" s="65">
        <v>4</v>
      </c>
      <c r="S655" s="65">
        <v>24</v>
      </c>
      <c r="T655" s="449">
        <v>538</v>
      </c>
      <c r="U655" s="65"/>
      <c r="V655" s="65">
        <v>714</v>
      </c>
      <c r="W655" s="65"/>
      <c r="X655" s="1044">
        <v>26825</v>
      </c>
      <c r="Y655" s="87"/>
      <c r="Z655" s="390"/>
      <c r="AA655" s="378">
        <f>1000*M655/Q655</f>
        <v>237.93081601621896</v>
      </c>
      <c r="AB655" s="54"/>
      <c r="AC655" s="281">
        <f>T655/V655</f>
        <v>0.75350140056022408</v>
      </c>
      <c r="AD655" s="191">
        <f>(512*72*V655+4096*72*W655)/1000000</f>
        <v>26.320896000000001</v>
      </c>
      <c r="AE655" s="197">
        <v>212.08624</v>
      </c>
      <c r="AF655" s="1049"/>
      <c r="AG655" s="6" t="s">
        <v>1758</v>
      </c>
    </row>
    <row r="656" spans="1:33" x14ac:dyDescent="0.2">
      <c r="A656" s="188" t="s">
        <v>189</v>
      </c>
      <c r="B656" s="41" t="s">
        <v>702</v>
      </c>
      <c r="C656" s="227"/>
      <c r="D656" s="229" t="s">
        <v>704</v>
      </c>
      <c r="E656" s="910" t="s">
        <v>1826</v>
      </c>
      <c r="F656" s="143" t="s">
        <v>1930</v>
      </c>
      <c r="G656" s="43">
        <v>1968</v>
      </c>
      <c r="H656" s="128">
        <v>31</v>
      </c>
      <c r="I656" s="430">
        <v>414</v>
      </c>
      <c r="J656" s="138"/>
      <c r="K656" s="44"/>
      <c r="L656" s="456">
        <f>8*X656/1000</f>
        <v>230.4</v>
      </c>
      <c r="M656" s="457">
        <f t="shared" si="282"/>
        <v>504</v>
      </c>
      <c r="N656" s="65">
        <f t="shared" si="289"/>
        <v>256.09756097560978</v>
      </c>
      <c r="O656" s="65"/>
      <c r="P656" s="65">
        <v>6</v>
      </c>
      <c r="Q656" s="65">
        <v>1728</v>
      </c>
      <c r="R656" s="65">
        <v>8</v>
      </c>
      <c r="S656" s="65">
        <v>24</v>
      </c>
      <c r="T656" s="449">
        <v>674</v>
      </c>
      <c r="U656" s="65">
        <v>2</v>
      </c>
      <c r="V656" s="65">
        <v>312</v>
      </c>
      <c r="W656" s="65">
        <v>96</v>
      </c>
      <c r="X656" s="115">
        <v>28800</v>
      </c>
      <c r="Y656" s="87"/>
      <c r="Z656" s="390" t="str">
        <f>IF(AND(L656&lt;&gt;"",Y656&lt;&gt;""),1000*L656/Y656,"")</f>
        <v/>
      </c>
      <c r="AA656" s="378">
        <f>1000*M656/Q656</f>
        <v>291.66666666666669</v>
      </c>
      <c r="AB656" s="54"/>
      <c r="AC656" s="281">
        <f>T656/V656</f>
        <v>2.1602564102564101</v>
      </c>
      <c r="AD656" s="191">
        <f t="shared" si="292"/>
        <v>39.813119999999998</v>
      </c>
      <c r="AE656" s="197">
        <v>154.48873599999999</v>
      </c>
      <c r="AF656" s="1049">
        <f t="shared" si="287"/>
        <v>103.43400462962963</v>
      </c>
      <c r="AG656" s="493" t="s">
        <v>1636</v>
      </c>
    </row>
    <row r="657" spans="1:33" x14ac:dyDescent="0.2">
      <c r="A657" s="188" t="s">
        <v>189</v>
      </c>
      <c r="B657" s="41" t="s">
        <v>702</v>
      </c>
      <c r="C657" s="227"/>
      <c r="D657" s="229" t="s">
        <v>704</v>
      </c>
      <c r="E657" s="1036" t="s">
        <v>1827</v>
      </c>
      <c r="F657" s="143" t="s">
        <v>1929</v>
      </c>
      <c r="G657" s="43">
        <v>2147.5801000000001</v>
      </c>
      <c r="H657" s="128">
        <v>31</v>
      </c>
      <c r="I657" s="430">
        <v>414</v>
      </c>
      <c r="J657" s="138"/>
      <c r="K657" s="44"/>
      <c r="L657" s="456">
        <f>8*X657/1000</f>
        <v>274</v>
      </c>
      <c r="M657" s="457">
        <f t="shared" si="282"/>
        <v>599.375</v>
      </c>
      <c r="N657" s="65">
        <f t="shared" si="289"/>
        <v>279.09319889861149</v>
      </c>
      <c r="O657" s="65"/>
      <c r="P657" s="65">
        <v>6</v>
      </c>
      <c r="Q657" s="65">
        <v>2520</v>
      </c>
      <c r="R657" s="65">
        <v>4</v>
      </c>
      <c r="S657" s="65">
        <v>24</v>
      </c>
      <c r="T657" s="449">
        <v>538</v>
      </c>
      <c r="U657" s="65"/>
      <c r="V657" s="65">
        <v>912</v>
      </c>
      <c r="W657" s="65"/>
      <c r="X657" s="115">
        <v>34250</v>
      </c>
      <c r="Y657" s="87"/>
      <c r="Z657" s="390" t="str">
        <f>IF(AND(L657&lt;&gt;"",Y657&lt;&gt;""),1000*L657/Y657,"")</f>
        <v/>
      </c>
      <c r="AA657" s="378">
        <f>1000*M657/Q657</f>
        <v>237.84722222222223</v>
      </c>
      <c r="AB657" s="54"/>
      <c r="AC657" s="281">
        <f>T657/V657</f>
        <v>0.58991228070175439</v>
      </c>
      <c r="AD657" s="191">
        <f t="shared" si="292"/>
        <v>33.619968</v>
      </c>
      <c r="AE657" s="197">
        <v>212.08624</v>
      </c>
      <c r="AF657" s="1049">
        <f t="shared" si="287"/>
        <v>108.55612652068126</v>
      </c>
      <c r="AG657" s="493" t="s">
        <v>1639</v>
      </c>
    </row>
    <row r="658" spans="1:33" x14ac:dyDescent="0.2">
      <c r="A658" s="188" t="s">
        <v>189</v>
      </c>
      <c r="B658" s="41" t="s">
        <v>702</v>
      </c>
      <c r="C658" s="230"/>
      <c r="D658" s="229" t="s">
        <v>704</v>
      </c>
      <c r="E658" s="1036" t="s">
        <v>1828</v>
      </c>
      <c r="F658" s="143" t="s">
        <v>1928</v>
      </c>
      <c r="G658" s="43">
        <v>2608.6956</v>
      </c>
      <c r="H658" s="128">
        <v>35</v>
      </c>
      <c r="I658" s="430">
        <v>570</v>
      </c>
      <c r="J658" s="138"/>
      <c r="K658" s="44"/>
      <c r="L658" s="456">
        <f>8*X658/1000</f>
        <v>298.56</v>
      </c>
      <c r="M658" s="457">
        <f>17.5*X658/1000</f>
        <v>653.1</v>
      </c>
      <c r="N658" s="65">
        <f t="shared" si="289"/>
        <v>250.35500500710009</v>
      </c>
      <c r="O658" s="65"/>
      <c r="P658" s="65">
        <v>6</v>
      </c>
      <c r="Q658" s="65">
        <v>2928</v>
      </c>
      <c r="R658" s="65">
        <v>8</v>
      </c>
      <c r="S658" s="65">
        <v>32</v>
      </c>
      <c r="T658" s="449">
        <v>722</v>
      </c>
      <c r="U658" s="469">
        <v>4</v>
      </c>
      <c r="V658" s="65">
        <v>600</v>
      </c>
      <c r="W658" s="65">
        <v>80</v>
      </c>
      <c r="X658" s="115">
        <v>37320</v>
      </c>
      <c r="Y658" s="87"/>
      <c r="Z658" s="390"/>
      <c r="AA658" s="378">
        <f>1000*M658/Q658</f>
        <v>223.05327868852459</v>
      </c>
      <c r="AB658" s="54"/>
      <c r="AC658" s="281">
        <f>T658/V658</f>
        <v>1.2033333333333334</v>
      </c>
      <c r="AD658" s="191">
        <f>(512*72*V658+4096*72*W658)/1000000</f>
        <v>45.711359999999999</v>
      </c>
      <c r="AE658" s="197">
        <v>188.64726400000001</v>
      </c>
      <c r="AF658" s="1049">
        <f t="shared" si="287"/>
        <v>92.962254376563052</v>
      </c>
      <c r="AG658" s="492" t="s">
        <v>1642</v>
      </c>
    </row>
    <row r="659" spans="1:33" x14ac:dyDescent="0.2">
      <c r="A659" s="188" t="s">
        <v>189</v>
      </c>
      <c r="B659" s="41" t="s">
        <v>702</v>
      </c>
      <c r="C659" s="227"/>
      <c r="D659" s="229" t="s">
        <v>704</v>
      </c>
      <c r="E659" s="1036" t="s">
        <v>1829</v>
      </c>
      <c r="F659" s="143" t="s">
        <v>1929</v>
      </c>
      <c r="G659" s="43">
        <v>2858.6956</v>
      </c>
      <c r="H659" s="128">
        <v>31</v>
      </c>
      <c r="I659" s="430">
        <v>414</v>
      </c>
      <c r="J659" s="138"/>
      <c r="K659" s="44"/>
      <c r="L659" s="456">
        <f>8*X659/1000</f>
        <v>341.28</v>
      </c>
      <c r="M659" s="457">
        <f t="shared" si="282"/>
        <v>746.55</v>
      </c>
      <c r="N659" s="65">
        <f t="shared" si="289"/>
        <v>261.15057510845156</v>
      </c>
      <c r="O659" s="65"/>
      <c r="P659" s="65">
        <v>6</v>
      </c>
      <c r="Q659" s="65">
        <v>3528</v>
      </c>
      <c r="R659" s="65">
        <v>4</v>
      </c>
      <c r="S659" s="65">
        <v>24</v>
      </c>
      <c r="T659" s="449">
        <v>538</v>
      </c>
      <c r="U659" s="469"/>
      <c r="V659" s="65">
        <v>744</v>
      </c>
      <c r="W659" s="65">
        <v>112</v>
      </c>
      <c r="X659" s="115">
        <v>42660</v>
      </c>
      <c r="Y659" s="87"/>
      <c r="Z659" s="390" t="str">
        <f>IF(AND(L659&lt;&gt;"",Y659&lt;&gt;""),1000*L659/Y659,"")</f>
        <v/>
      </c>
      <c r="AA659" s="378">
        <f>1000*M659/Q659</f>
        <v>211.60714285714286</v>
      </c>
      <c r="AB659" s="54"/>
      <c r="AC659" s="281">
        <f>T659/V659</f>
        <v>0.7231182795698925</v>
      </c>
      <c r="AD659" s="191">
        <f t="shared" si="292"/>
        <v>60.456960000000002</v>
      </c>
      <c r="AE659" s="197">
        <v>229.605952</v>
      </c>
      <c r="AF659" s="1049">
        <f t="shared" si="287"/>
        <v>98.735708704485091</v>
      </c>
      <c r="AG659" s="492" t="s">
        <v>1641</v>
      </c>
    </row>
    <row r="660" spans="1:33" x14ac:dyDescent="0.2">
      <c r="A660" s="188" t="s">
        <v>189</v>
      </c>
      <c r="B660" s="41" t="s">
        <v>702</v>
      </c>
      <c r="C660" s="227"/>
      <c r="D660" s="229" t="s">
        <v>708</v>
      </c>
      <c r="E660" s="1036" t="s">
        <v>1830</v>
      </c>
      <c r="F660" s="143" t="s">
        <v>1928</v>
      </c>
      <c r="G660" s="43">
        <v>3279.6520999999998</v>
      </c>
      <c r="H660" s="128">
        <v>40</v>
      </c>
      <c r="I660" s="430">
        <v>518</v>
      </c>
      <c r="J660" s="138"/>
      <c r="K660" s="44"/>
      <c r="L660" s="456">
        <f t="shared" si="288"/>
        <v>423.4</v>
      </c>
      <c r="M660" s="457">
        <f t="shared" si="282"/>
        <v>926.1875</v>
      </c>
      <c r="N660" s="65">
        <f t="shared" ref="N660:N665" si="293">IF(AND(G660&lt;&gt;"",M660&lt;&gt;""),1000*M660/G660,"")</f>
        <v>282.40419159093125</v>
      </c>
      <c r="O660" s="65"/>
      <c r="P660" s="65">
        <v>6</v>
      </c>
      <c r="Q660" s="65">
        <v>1590</v>
      </c>
      <c r="R660" s="65">
        <v>11</v>
      </c>
      <c r="S660" s="65">
        <v>44</v>
      </c>
      <c r="T660" s="449">
        <v>878</v>
      </c>
      <c r="U660" s="469">
        <v>4</v>
      </c>
      <c r="V660" s="65">
        <v>796</v>
      </c>
      <c r="W660" s="65">
        <v>102</v>
      </c>
      <c r="X660" s="1044">
        <v>52925</v>
      </c>
      <c r="Y660" s="87"/>
      <c r="Z660" s="390" t="str">
        <f>IF(AND(L660&lt;&gt;"",Y660&lt;&gt;""),1000*L660/Y660,"")</f>
        <v/>
      </c>
      <c r="AA660" s="378">
        <f t="shared" si="290"/>
        <v>582.50786163522014</v>
      </c>
      <c r="AB660" s="54"/>
      <c r="AC660" s="281">
        <f t="shared" si="291"/>
        <v>1.1030150753768844</v>
      </c>
      <c r="AD660" s="191">
        <f t="shared" si="292"/>
        <v>59.424768</v>
      </c>
      <c r="AE660" s="197">
        <v>290.74489599999998</v>
      </c>
      <c r="AF660" s="1049">
        <f t="shared" si="287"/>
        <v>102.89763501810738</v>
      </c>
      <c r="AG660" s="492" t="s">
        <v>1643</v>
      </c>
    </row>
    <row r="661" spans="1:33" s="493" customFormat="1" x14ac:dyDescent="0.2">
      <c r="A661" s="188" t="s">
        <v>189</v>
      </c>
      <c r="B661" s="41" t="s">
        <v>702</v>
      </c>
      <c r="C661" s="230"/>
      <c r="D661" s="1393" t="s">
        <v>703</v>
      </c>
      <c r="E661" s="1036" t="s">
        <v>1831</v>
      </c>
      <c r="F661" s="143" t="s">
        <v>1928</v>
      </c>
      <c r="G661" s="1037">
        <v>3603.261</v>
      </c>
      <c r="H661" s="1038">
        <v>40</v>
      </c>
      <c r="I661" s="1039">
        <v>518</v>
      </c>
      <c r="J661" s="1040"/>
      <c r="K661" s="1041"/>
      <c r="L661" s="456">
        <f t="shared" si="288"/>
        <v>522.72</v>
      </c>
      <c r="M661" s="457">
        <f t="shared" si="282"/>
        <v>1143.45</v>
      </c>
      <c r="N661" s="469">
        <f t="shared" si="293"/>
        <v>317.33754507375403</v>
      </c>
      <c r="O661" s="469"/>
      <c r="P661" s="65">
        <v>6</v>
      </c>
      <c r="Q661" s="469">
        <v>1968</v>
      </c>
      <c r="R661" s="469">
        <v>11</v>
      </c>
      <c r="S661" s="469">
        <v>44</v>
      </c>
      <c r="T661" s="1043">
        <v>878</v>
      </c>
      <c r="U661" s="469">
        <v>5</v>
      </c>
      <c r="V661" s="469">
        <v>984</v>
      </c>
      <c r="W661" s="469">
        <v>128</v>
      </c>
      <c r="X661" s="1044">
        <v>65340</v>
      </c>
      <c r="Y661" s="87"/>
      <c r="Z661" s="1292" t="str">
        <f>IF(AND(L661&lt;&gt;"",Y661&lt;&gt;""),1000*L661/Y661,"")</f>
        <v/>
      </c>
      <c r="AA661" s="1155">
        <f t="shared" si="290"/>
        <v>581.02134146341461</v>
      </c>
      <c r="AB661" s="93"/>
      <c r="AC661" s="1456">
        <f t="shared" si="291"/>
        <v>0.89227642276422769</v>
      </c>
      <c r="AD661" s="191">
        <f t="shared" si="292"/>
        <v>74.022912000000005</v>
      </c>
      <c r="AE661" s="1069">
        <v>290.74489599999998</v>
      </c>
      <c r="AF661" s="1049">
        <f t="shared" si="287"/>
        <v>81.13672074278135</v>
      </c>
      <c r="AG661" s="492" t="s">
        <v>1644</v>
      </c>
    </row>
    <row r="662" spans="1:33" s="493" customFormat="1" x14ac:dyDescent="0.2">
      <c r="A662" s="188"/>
      <c r="B662" s="41"/>
      <c r="C662" s="230"/>
      <c r="D662" s="229" t="s">
        <v>704</v>
      </c>
      <c r="E662" s="1036" t="s">
        <v>1985</v>
      </c>
      <c r="F662" s="143"/>
      <c r="G662" s="1037"/>
      <c r="H662" s="1038">
        <v>35</v>
      </c>
      <c r="I662" s="1039"/>
      <c r="J662" s="1040"/>
      <c r="K662" s="1041"/>
      <c r="L662" s="456">
        <f t="shared" si="288"/>
        <v>425.28</v>
      </c>
      <c r="M662" s="457">
        <f t="shared" si="282"/>
        <v>930.3</v>
      </c>
      <c r="N662" s="469" t="str">
        <f t="shared" si="293"/>
        <v/>
      </c>
      <c r="O662" s="469"/>
      <c r="P662" s="65">
        <v>6</v>
      </c>
      <c r="Q662" s="469">
        <v>4272</v>
      </c>
      <c r="R662" s="469"/>
      <c r="S662" s="469">
        <v>16</v>
      </c>
      <c r="T662" s="1043">
        <v>241</v>
      </c>
      <c r="U662" s="469">
        <v>2</v>
      </c>
      <c r="V662" s="469">
        <v>1080</v>
      </c>
      <c r="W662" s="469">
        <v>80</v>
      </c>
      <c r="X662" s="1044">
        <v>53160</v>
      </c>
      <c r="Y662" s="87"/>
      <c r="Z662" s="1292"/>
      <c r="AA662" s="1155">
        <f t="shared" si="290"/>
        <v>217.76685393258427</v>
      </c>
      <c r="AB662" s="93"/>
      <c r="AC662" s="1456">
        <f t="shared" si="291"/>
        <v>0.22314814814814815</v>
      </c>
      <c r="AD662" s="191">
        <f t="shared" si="292"/>
        <v>63.406080000000003</v>
      </c>
      <c r="AE662" s="1069">
        <v>275.49884800000001</v>
      </c>
      <c r="AF662" s="1049">
        <f t="shared" si="287"/>
        <v>92.364923501379479</v>
      </c>
      <c r="AG662" s="492" t="s">
        <v>1990</v>
      </c>
    </row>
    <row r="663" spans="1:33" s="493" customFormat="1" x14ac:dyDescent="0.2">
      <c r="A663" s="188"/>
      <c r="B663" s="41"/>
      <c r="C663" s="230"/>
      <c r="D663" s="229"/>
      <c r="E663" s="1036" t="s">
        <v>1986</v>
      </c>
      <c r="F663" s="143"/>
      <c r="G663" s="1037"/>
      <c r="H663" s="1038">
        <v>35</v>
      </c>
      <c r="I663" s="1039"/>
      <c r="J663" s="1040"/>
      <c r="K663" s="1041"/>
      <c r="L663" s="456">
        <f t="shared" si="288"/>
        <v>310.08800000000002</v>
      </c>
      <c r="M663" s="457">
        <f t="shared" si="282"/>
        <v>678.3175</v>
      </c>
      <c r="N663" s="469" t="str">
        <f t="shared" si="293"/>
        <v/>
      </c>
      <c r="O663" s="469"/>
      <c r="P663" s="65">
        <v>6</v>
      </c>
      <c r="Q663" s="469">
        <v>3145</v>
      </c>
      <c r="R663" s="469"/>
      <c r="S663" s="469">
        <v>8</v>
      </c>
      <c r="T663" s="1043">
        <v>371</v>
      </c>
      <c r="U663" s="469">
        <v>1</v>
      </c>
      <c r="V663" s="469">
        <v>792</v>
      </c>
      <c r="W663" s="469">
        <v>48</v>
      </c>
      <c r="X663" s="1044">
        <v>38761</v>
      </c>
      <c r="Y663" s="87"/>
      <c r="Z663" s="1292"/>
      <c r="AA663" s="1155">
        <f t="shared" si="290"/>
        <v>215.68124006359301</v>
      </c>
      <c r="AB663" s="93"/>
      <c r="AC663" s="1456">
        <f t="shared" si="291"/>
        <v>0.46843434343434343</v>
      </c>
      <c r="AD663" s="191">
        <f t="shared" si="292"/>
        <v>43.352063999999999</v>
      </c>
      <c r="AE663" s="1069">
        <v>275.49884800000001</v>
      </c>
      <c r="AF663" s="1049"/>
      <c r="AG663" s="492" t="s">
        <v>2380</v>
      </c>
    </row>
    <row r="664" spans="1:33" s="493" customFormat="1" x14ac:dyDescent="0.2">
      <c r="A664" s="188"/>
      <c r="B664" s="41"/>
      <c r="C664" s="230"/>
      <c r="D664" s="229"/>
      <c r="E664" s="1036" t="s">
        <v>1987</v>
      </c>
      <c r="F664" s="143"/>
      <c r="G664" s="1037"/>
      <c r="H664" s="1038">
        <v>40</v>
      </c>
      <c r="I664" s="1039"/>
      <c r="J664" s="1040"/>
      <c r="K664" s="1041"/>
      <c r="L664" s="456">
        <f t="shared" si="288"/>
        <v>425.28</v>
      </c>
      <c r="M664" s="457">
        <f t="shared" si="282"/>
        <v>930.3</v>
      </c>
      <c r="N664" s="469" t="str">
        <f t="shared" si="293"/>
        <v/>
      </c>
      <c r="O664" s="469"/>
      <c r="P664" s="65">
        <v>6</v>
      </c>
      <c r="Q664" s="469">
        <v>4272</v>
      </c>
      <c r="R664" s="469"/>
      <c r="S664" s="469">
        <v>16</v>
      </c>
      <c r="T664" s="1043">
        <v>371</v>
      </c>
      <c r="U664" s="469">
        <v>2</v>
      </c>
      <c r="V664" s="469">
        <v>1080</v>
      </c>
      <c r="W664" s="469">
        <v>80</v>
      </c>
      <c r="X664" s="1044">
        <v>53160</v>
      </c>
      <c r="Y664" s="87"/>
      <c r="Z664" s="1292"/>
      <c r="AA664" s="1155">
        <f t="shared" si="290"/>
        <v>217.76685393258427</v>
      </c>
      <c r="AB664" s="93"/>
      <c r="AC664" s="1456">
        <f t="shared" si="291"/>
        <v>0.3435185185185185</v>
      </c>
      <c r="AD664" s="191">
        <f t="shared" si="292"/>
        <v>63.406080000000003</v>
      </c>
      <c r="AE664" s="1069">
        <v>275.49884800000001</v>
      </c>
      <c r="AF664" s="1049">
        <f t="shared" si="287"/>
        <v>92.364923501379479</v>
      </c>
      <c r="AG664" s="492" t="s">
        <v>2380</v>
      </c>
    </row>
    <row r="665" spans="1:33" s="493" customFormat="1" x14ac:dyDescent="0.2">
      <c r="A665" s="188"/>
      <c r="B665" s="41"/>
      <c r="C665" s="230"/>
      <c r="D665" s="229"/>
      <c r="E665" s="1036" t="s">
        <v>1988</v>
      </c>
      <c r="F665" s="143"/>
      <c r="G665" s="1037"/>
      <c r="H665" s="1038">
        <v>40</v>
      </c>
      <c r="I665" s="1039"/>
      <c r="J665" s="1040"/>
      <c r="K665" s="1041"/>
      <c r="L665" s="456">
        <f t="shared" si="288"/>
        <v>425.28</v>
      </c>
      <c r="M665" s="457">
        <f t="shared" si="282"/>
        <v>930.3</v>
      </c>
      <c r="N665" s="469" t="str">
        <f t="shared" si="293"/>
        <v/>
      </c>
      <c r="O665" s="469"/>
      <c r="P665" s="65">
        <v>6</v>
      </c>
      <c r="Q665" s="469">
        <v>4272</v>
      </c>
      <c r="R665" s="469"/>
      <c r="S665" s="469">
        <v>16</v>
      </c>
      <c r="T665" s="1043">
        <v>371</v>
      </c>
      <c r="U665" s="469">
        <v>2</v>
      </c>
      <c r="V665" s="469">
        <v>1080</v>
      </c>
      <c r="W665" s="469">
        <v>80</v>
      </c>
      <c r="X665" s="1044">
        <v>53160</v>
      </c>
      <c r="Y665" s="87"/>
      <c r="Z665" s="1292"/>
      <c r="AA665" s="1155">
        <f t="shared" si="290"/>
        <v>217.76685393258427</v>
      </c>
      <c r="AB665" s="93"/>
      <c r="AC665" s="1456">
        <f t="shared" si="291"/>
        <v>0.3435185185185185</v>
      </c>
      <c r="AD665" s="191">
        <f t="shared" si="292"/>
        <v>63.406080000000003</v>
      </c>
      <c r="AE665" s="1069">
        <v>275.49884800000001</v>
      </c>
      <c r="AF665" s="1049">
        <f t="shared" si="287"/>
        <v>92.364923501379479</v>
      </c>
      <c r="AG665" s="492" t="s">
        <v>2381</v>
      </c>
    </row>
    <row r="666" spans="1:33" s="493" customFormat="1" x14ac:dyDescent="0.2">
      <c r="A666" s="188"/>
      <c r="B666" s="157"/>
      <c r="C666" s="303"/>
      <c r="D666" s="532"/>
      <c r="E666" s="1443" t="s">
        <v>1989</v>
      </c>
      <c r="F666" s="179"/>
      <c r="G666" s="891"/>
      <c r="H666" s="892">
        <v>42.5</v>
      </c>
      <c r="I666" s="893"/>
      <c r="J666" s="894"/>
      <c r="K666" s="895"/>
      <c r="L666" s="1441">
        <f>8*X666/1000</f>
        <v>425.28</v>
      </c>
      <c r="M666" s="474">
        <f>17.5*X666/1000</f>
        <v>930.3</v>
      </c>
      <c r="N666" s="496" t="str">
        <f>IF(AND(G666&lt;&gt;"",M666&lt;&gt;""),1000*M666/G666,"")</f>
        <v/>
      </c>
      <c r="O666" s="496"/>
      <c r="P666" s="73">
        <v>6</v>
      </c>
      <c r="Q666" s="496">
        <v>4272</v>
      </c>
      <c r="R666" s="496"/>
      <c r="S666" s="496">
        <v>16</v>
      </c>
      <c r="T666" s="897">
        <v>456</v>
      </c>
      <c r="U666" s="496">
        <v>2</v>
      </c>
      <c r="V666" s="496">
        <v>1080</v>
      </c>
      <c r="W666" s="496">
        <v>80</v>
      </c>
      <c r="X666" s="898">
        <v>53160</v>
      </c>
      <c r="Y666" s="476"/>
      <c r="Z666" s="1512"/>
      <c r="AA666" s="1513">
        <f>1000*M666/Q666</f>
        <v>217.76685393258427</v>
      </c>
      <c r="AB666" s="901"/>
      <c r="AC666" s="1455">
        <f>T666/V666</f>
        <v>0.42222222222222222</v>
      </c>
      <c r="AD666" s="478">
        <f>(512*72*V666+4096*72*W666)/1000000</f>
        <v>63.406080000000003</v>
      </c>
      <c r="AE666" s="1124">
        <v>275.49884800000001</v>
      </c>
      <c r="AF666" s="1125">
        <f>(AE666*1000000-V666*36*1024)/(6000*L666)</f>
        <v>92.364923501379479</v>
      </c>
      <c r="AG666" s="492" t="s">
        <v>2382</v>
      </c>
    </row>
    <row r="667" spans="1:33" s="493" customFormat="1" x14ac:dyDescent="0.2">
      <c r="A667" s="188"/>
      <c r="B667" s="157"/>
      <c r="C667" s="303"/>
      <c r="D667" s="532"/>
      <c r="E667" s="1443" t="s">
        <v>2598</v>
      </c>
      <c r="F667" s="179"/>
      <c r="G667" s="891"/>
      <c r="H667" s="892">
        <v>42.5</v>
      </c>
      <c r="I667" s="893"/>
      <c r="J667" s="894"/>
      <c r="K667" s="895"/>
      <c r="L667" s="1441">
        <f t="shared" ref="L667:L673" si="294">8*X667/1000</f>
        <v>425.28</v>
      </c>
      <c r="M667" s="474">
        <f t="shared" ref="M667:M673" si="295">17.5*X667/1000</f>
        <v>930.3</v>
      </c>
      <c r="N667" s="496" t="str">
        <f t="shared" ref="N667:N673" si="296">IF(AND(G667&lt;&gt;"",M667&lt;&gt;""),1000*M667/G667,"")</f>
        <v/>
      </c>
      <c r="O667" s="496"/>
      <c r="P667" s="73">
        <v>6</v>
      </c>
      <c r="Q667" s="496">
        <v>4272</v>
      </c>
      <c r="R667" s="496"/>
      <c r="S667" s="496">
        <v>16</v>
      </c>
      <c r="T667" s="897">
        <v>456</v>
      </c>
      <c r="U667" s="496">
        <v>2</v>
      </c>
      <c r="V667" s="496">
        <v>1080</v>
      </c>
      <c r="W667" s="496">
        <v>80</v>
      </c>
      <c r="X667" s="898">
        <v>53160</v>
      </c>
      <c r="Y667" s="476"/>
      <c r="Z667" s="1512"/>
      <c r="AA667" s="1513">
        <f t="shared" ref="AA667:AA673" si="297">1000*M667/Q667</f>
        <v>217.76685393258427</v>
      </c>
      <c r="AB667" s="901"/>
      <c r="AC667" s="1455">
        <f t="shared" ref="AC667:AC673" si="298">T667/V667</f>
        <v>0.42222222222222222</v>
      </c>
      <c r="AD667" s="478">
        <f t="shared" ref="AD667:AD673" si="299">(512*72*V667+4096*72*W667)/1000000</f>
        <v>63.406080000000003</v>
      </c>
      <c r="AE667" s="1124">
        <v>275.49884800000001</v>
      </c>
      <c r="AF667" s="1125">
        <f t="shared" ref="AF667:AF673" si="300">(AE667*1000000-V667*36*1024)/(6000*L667)</f>
        <v>92.364923501379479</v>
      </c>
      <c r="AG667" s="492" t="s">
        <v>2382</v>
      </c>
    </row>
    <row r="668" spans="1:33" s="493" customFormat="1" x14ac:dyDescent="0.2">
      <c r="A668" s="188"/>
      <c r="B668" s="157"/>
      <c r="C668" s="303"/>
      <c r="D668" s="532"/>
      <c r="E668" s="1443" t="s">
        <v>2599</v>
      </c>
      <c r="F668" s="179"/>
      <c r="G668" s="891"/>
      <c r="H668" s="892">
        <v>35</v>
      </c>
      <c r="I668" s="893"/>
      <c r="J668" s="894"/>
      <c r="K668" s="895"/>
      <c r="L668" s="1441">
        <f t="shared" si="294"/>
        <v>224</v>
      </c>
      <c r="M668" s="474">
        <f t="shared" si="295"/>
        <v>490</v>
      </c>
      <c r="N668" s="496" t="str">
        <f t="shared" si="296"/>
        <v/>
      </c>
      <c r="O668" s="496"/>
      <c r="P668" s="73">
        <v>6</v>
      </c>
      <c r="Q668" s="496">
        <v>1872</v>
      </c>
      <c r="R668" s="496"/>
      <c r="S668" s="496">
        <v>8</v>
      </c>
      <c r="T668" s="897">
        <v>456</v>
      </c>
      <c r="U668" s="496">
        <v>2</v>
      </c>
      <c r="V668" s="496">
        <v>1080</v>
      </c>
      <c r="W668" s="496">
        <v>80</v>
      </c>
      <c r="X668" s="898">
        <v>28000</v>
      </c>
      <c r="Y668" s="476"/>
      <c r="Z668" s="1512"/>
      <c r="AA668" s="1513">
        <f t="shared" si="297"/>
        <v>261.75213675213678</v>
      </c>
      <c r="AB668" s="901"/>
      <c r="AC668" s="1455">
        <f t="shared" si="298"/>
        <v>0.42222222222222222</v>
      </c>
      <c r="AD668" s="478">
        <f t="shared" si="299"/>
        <v>63.406080000000003</v>
      </c>
      <c r="AE668" s="1124">
        <v>275.49884800000001</v>
      </c>
      <c r="AF668" s="1125">
        <f t="shared" si="300"/>
        <v>175.36140476190477</v>
      </c>
      <c r="AG668" s="492" t="s">
        <v>2606</v>
      </c>
    </row>
    <row r="669" spans="1:33" s="493" customFormat="1" x14ac:dyDescent="0.2">
      <c r="A669" s="188"/>
      <c r="B669" s="157"/>
      <c r="C669" s="303"/>
      <c r="D669" s="532"/>
      <c r="E669" s="1443" t="s">
        <v>2600</v>
      </c>
      <c r="F669" s="179"/>
      <c r="G669" s="891"/>
      <c r="H669" s="892">
        <v>35</v>
      </c>
      <c r="I669" s="893"/>
      <c r="J669" s="894"/>
      <c r="K669" s="895"/>
      <c r="L669" s="1441">
        <f t="shared" si="294"/>
        <v>425.28</v>
      </c>
      <c r="M669" s="474">
        <f t="shared" si="295"/>
        <v>930.3</v>
      </c>
      <c r="N669" s="496" t="str">
        <f t="shared" si="296"/>
        <v/>
      </c>
      <c r="O669" s="496"/>
      <c r="P669" s="73">
        <v>6</v>
      </c>
      <c r="Q669" s="496">
        <v>4272</v>
      </c>
      <c r="R669" s="496"/>
      <c r="S669" s="496">
        <v>16</v>
      </c>
      <c r="T669" s="897">
        <v>456</v>
      </c>
      <c r="U669" s="496">
        <v>2</v>
      </c>
      <c r="V669" s="496">
        <v>1080</v>
      </c>
      <c r="W669" s="496">
        <v>80</v>
      </c>
      <c r="X669" s="898">
        <v>53160</v>
      </c>
      <c r="Y669" s="476"/>
      <c r="Z669" s="1512"/>
      <c r="AA669" s="1513">
        <f t="shared" si="297"/>
        <v>217.76685393258427</v>
      </c>
      <c r="AB669" s="901"/>
      <c r="AC669" s="1455">
        <f t="shared" si="298"/>
        <v>0.42222222222222222</v>
      </c>
      <c r="AD669" s="478">
        <f t="shared" si="299"/>
        <v>63.406080000000003</v>
      </c>
      <c r="AE669" s="1124">
        <v>275.49884800000001</v>
      </c>
      <c r="AF669" s="1125">
        <f t="shared" si="300"/>
        <v>92.364923501379479</v>
      </c>
      <c r="AG669" s="492" t="s">
        <v>2607</v>
      </c>
    </row>
    <row r="670" spans="1:33" s="493" customFormat="1" x14ac:dyDescent="0.2">
      <c r="A670" s="188"/>
      <c r="B670" s="157"/>
      <c r="C670" s="303"/>
      <c r="D670" s="532"/>
      <c r="E670" s="1443" t="s">
        <v>2601</v>
      </c>
      <c r="F670" s="179"/>
      <c r="G670" s="891"/>
      <c r="H670" s="892">
        <v>42.5</v>
      </c>
      <c r="I670" s="893"/>
      <c r="J670" s="894"/>
      <c r="K670" s="895"/>
      <c r="L670" s="1441">
        <f t="shared" si="294"/>
        <v>425.28</v>
      </c>
      <c r="M670" s="474">
        <f t="shared" si="295"/>
        <v>930.3</v>
      </c>
      <c r="N670" s="496" t="str">
        <f t="shared" si="296"/>
        <v/>
      </c>
      <c r="O670" s="496"/>
      <c r="P670" s="73">
        <v>6</v>
      </c>
      <c r="Q670" s="496">
        <v>4272</v>
      </c>
      <c r="R670" s="496"/>
      <c r="S670" s="496">
        <v>16</v>
      </c>
      <c r="T670" s="897">
        <v>456</v>
      </c>
      <c r="U670" s="496">
        <v>2</v>
      </c>
      <c r="V670" s="496">
        <v>1080</v>
      </c>
      <c r="W670" s="496">
        <v>80</v>
      </c>
      <c r="X670" s="898">
        <v>53160</v>
      </c>
      <c r="Y670" s="476"/>
      <c r="Z670" s="1512"/>
      <c r="AA670" s="1513">
        <f t="shared" si="297"/>
        <v>217.76685393258427</v>
      </c>
      <c r="AB670" s="901"/>
      <c r="AC670" s="1455">
        <f t="shared" si="298"/>
        <v>0.42222222222222222</v>
      </c>
      <c r="AD670" s="478">
        <f t="shared" si="299"/>
        <v>63.406080000000003</v>
      </c>
      <c r="AE670" s="1124">
        <v>275.49884800000001</v>
      </c>
      <c r="AF670" s="1125">
        <f t="shared" si="300"/>
        <v>92.364923501379479</v>
      </c>
      <c r="AG670" s="492" t="s">
        <v>2605</v>
      </c>
    </row>
    <row r="671" spans="1:33" s="493" customFormat="1" x14ac:dyDescent="0.2">
      <c r="A671" s="188"/>
      <c r="B671" s="157"/>
      <c r="C671" s="303"/>
      <c r="D671" s="532"/>
      <c r="E671" s="1443" t="s">
        <v>2602</v>
      </c>
      <c r="F671" s="179"/>
      <c r="G671" s="891"/>
      <c r="H671" s="892">
        <v>35</v>
      </c>
      <c r="I671" s="893"/>
      <c r="J671" s="894"/>
      <c r="K671" s="895"/>
      <c r="L671" s="1441">
        <f t="shared" si="294"/>
        <v>425.28</v>
      </c>
      <c r="M671" s="474">
        <f t="shared" si="295"/>
        <v>930.3</v>
      </c>
      <c r="N671" s="496" t="str">
        <f t="shared" si="296"/>
        <v/>
      </c>
      <c r="O671" s="496"/>
      <c r="P671" s="73">
        <v>6</v>
      </c>
      <c r="Q671" s="496">
        <v>4272</v>
      </c>
      <c r="R671" s="496"/>
      <c r="S671" s="496">
        <v>16</v>
      </c>
      <c r="T671" s="897">
        <v>456</v>
      </c>
      <c r="U671" s="496">
        <v>2</v>
      </c>
      <c r="V671" s="496">
        <v>1080</v>
      </c>
      <c r="W671" s="496">
        <v>80</v>
      </c>
      <c r="X671" s="898">
        <v>53160</v>
      </c>
      <c r="Y671" s="476"/>
      <c r="Z671" s="1512"/>
      <c r="AA671" s="1513">
        <f t="shared" si="297"/>
        <v>217.76685393258427</v>
      </c>
      <c r="AB671" s="901"/>
      <c r="AC671" s="1455">
        <f t="shared" si="298"/>
        <v>0.42222222222222222</v>
      </c>
      <c r="AD671" s="478">
        <f t="shared" si="299"/>
        <v>63.406080000000003</v>
      </c>
      <c r="AE671" s="1124">
        <v>275.49884800000001</v>
      </c>
      <c r="AF671" s="1125">
        <f t="shared" si="300"/>
        <v>92.364923501379479</v>
      </c>
      <c r="AG671" s="492" t="s">
        <v>2608</v>
      </c>
    </row>
    <row r="672" spans="1:33" s="493" customFormat="1" x14ac:dyDescent="0.2">
      <c r="A672" s="188"/>
      <c r="B672" s="157"/>
      <c r="C672" s="303"/>
      <c r="D672" s="532"/>
      <c r="E672" s="1443" t="s">
        <v>2603</v>
      </c>
      <c r="F672" s="179"/>
      <c r="G672" s="891"/>
      <c r="H672" s="892">
        <v>35</v>
      </c>
      <c r="I672" s="893"/>
      <c r="J672" s="894"/>
      <c r="K672" s="895"/>
      <c r="L672" s="1441">
        <f t="shared" si="294"/>
        <v>425.28</v>
      </c>
      <c r="M672" s="474">
        <f t="shared" si="295"/>
        <v>930.3</v>
      </c>
      <c r="N672" s="496" t="str">
        <f t="shared" si="296"/>
        <v/>
      </c>
      <c r="O672" s="496"/>
      <c r="P672" s="73">
        <v>6</v>
      </c>
      <c r="Q672" s="496">
        <v>4272</v>
      </c>
      <c r="R672" s="496"/>
      <c r="S672" s="496">
        <v>16</v>
      </c>
      <c r="T672" s="897">
        <v>456</v>
      </c>
      <c r="U672" s="496">
        <v>2</v>
      </c>
      <c r="V672" s="496">
        <v>1080</v>
      </c>
      <c r="W672" s="496">
        <v>80</v>
      </c>
      <c r="X672" s="898">
        <v>53160</v>
      </c>
      <c r="Y672" s="476"/>
      <c r="Z672" s="1512"/>
      <c r="AA672" s="1513">
        <f t="shared" si="297"/>
        <v>217.76685393258427</v>
      </c>
      <c r="AB672" s="901"/>
      <c r="AC672" s="1455">
        <f t="shared" si="298"/>
        <v>0.42222222222222222</v>
      </c>
      <c r="AD672" s="478">
        <f t="shared" si="299"/>
        <v>63.406080000000003</v>
      </c>
      <c r="AE672" s="1124">
        <v>275.49884800000001</v>
      </c>
      <c r="AF672" s="1125">
        <f t="shared" si="300"/>
        <v>92.364923501379479</v>
      </c>
      <c r="AG672" s="492" t="s">
        <v>2608</v>
      </c>
    </row>
    <row r="673" spans="1:33" s="493" customFormat="1" ht="13.5" thickBot="1" x14ac:dyDescent="0.25">
      <c r="A673" s="188"/>
      <c r="B673" s="157"/>
      <c r="C673" s="303"/>
      <c r="D673" s="532"/>
      <c r="E673" s="1443" t="s">
        <v>2604</v>
      </c>
      <c r="F673" s="179"/>
      <c r="G673" s="891"/>
      <c r="H673" s="892">
        <v>42.5</v>
      </c>
      <c r="I673" s="893"/>
      <c r="J673" s="894"/>
      <c r="K673" s="895"/>
      <c r="L673" s="1441">
        <f t="shared" si="294"/>
        <v>425.28</v>
      </c>
      <c r="M673" s="474">
        <f t="shared" si="295"/>
        <v>930.3</v>
      </c>
      <c r="N673" s="496" t="str">
        <f t="shared" si="296"/>
        <v/>
      </c>
      <c r="O673" s="496"/>
      <c r="P673" s="73">
        <v>6</v>
      </c>
      <c r="Q673" s="496">
        <v>4272</v>
      </c>
      <c r="R673" s="496"/>
      <c r="S673" s="496">
        <v>16</v>
      </c>
      <c r="T673" s="897">
        <v>456</v>
      </c>
      <c r="U673" s="496">
        <v>2</v>
      </c>
      <c r="V673" s="496">
        <v>1080</v>
      </c>
      <c r="W673" s="496">
        <v>80</v>
      </c>
      <c r="X673" s="898">
        <v>53160</v>
      </c>
      <c r="Y673" s="476"/>
      <c r="Z673" s="1512"/>
      <c r="AA673" s="1513">
        <f t="shared" si="297"/>
        <v>217.76685393258427</v>
      </c>
      <c r="AB673" s="901"/>
      <c r="AC673" s="1455">
        <f t="shared" si="298"/>
        <v>0.42222222222222222</v>
      </c>
      <c r="AD673" s="478">
        <f t="shared" si="299"/>
        <v>63.406080000000003</v>
      </c>
      <c r="AE673" s="1124">
        <v>275.49884800000001</v>
      </c>
      <c r="AF673" s="1125">
        <f t="shared" si="300"/>
        <v>92.364923501379479</v>
      </c>
      <c r="AG673" s="492" t="s">
        <v>2609</v>
      </c>
    </row>
    <row r="674" spans="1:33" s="493" customFormat="1" x14ac:dyDescent="0.2">
      <c r="A674" s="188"/>
      <c r="B674" s="48" t="s">
        <v>715</v>
      </c>
      <c r="C674" s="226"/>
      <c r="D674" s="212"/>
      <c r="E674" s="12" t="s">
        <v>2337</v>
      </c>
      <c r="F674" s="466" t="s">
        <v>1630</v>
      </c>
      <c r="G674" s="14" t="s">
        <v>22</v>
      </c>
      <c r="H674" s="497" t="s">
        <v>1759</v>
      </c>
      <c r="I674" s="123"/>
      <c r="J674" s="15"/>
      <c r="K674" s="16" t="s">
        <v>22</v>
      </c>
      <c r="L674" s="248" t="s">
        <v>665</v>
      </c>
      <c r="M674" s="383" t="s">
        <v>1704</v>
      </c>
      <c r="N674" s="380">
        <f>AVERAGE(N675:O678)</f>
        <v>677.45704599241662</v>
      </c>
      <c r="O674" s="382">
        <f>AVERAGE(O675:O801)</f>
        <v>254.52710590083407</v>
      </c>
      <c r="P674" s="60"/>
      <c r="Q674" s="399" t="s">
        <v>2323</v>
      </c>
      <c r="R674" s="61" t="s">
        <v>976</v>
      </c>
      <c r="S674" s="399"/>
      <c r="T674" s="61"/>
      <c r="U674" s="61" t="s">
        <v>1637</v>
      </c>
      <c r="V674" s="74" t="s">
        <v>433</v>
      </c>
      <c r="W674" s="491" t="s">
        <v>1638</v>
      </c>
      <c r="X674" s="109" t="s">
        <v>207</v>
      </c>
      <c r="Y674" s="80" t="s">
        <v>695</v>
      </c>
      <c r="Z674" s="206"/>
      <c r="AA674" s="370">
        <f>AVERAGE(AA675:AA678)</f>
        <v>264.0625</v>
      </c>
      <c r="AB674" s="92">
        <f>AVERAGE(AB675:AB801)</f>
        <v>507.39632270168863</v>
      </c>
      <c r="AC674" s="1452">
        <f>AVERAGE(AC675:AC678)</f>
        <v>1.5041666666666667</v>
      </c>
      <c r="AD674" s="109" t="s">
        <v>650</v>
      </c>
      <c r="AE674" s="195"/>
      <c r="AF674" s="196" t="e">
        <f>AVERAGE(AF675:AF678)</f>
        <v>#DIV/0!</v>
      </c>
      <c r="AG674" s="492"/>
    </row>
    <row r="675" spans="1:33" s="493" customFormat="1" x14ac:dyDescent="0.2">
      <c r="A675" s="188"/>
      <c r="B675" s="41"/>
      <c r="C675" s="230"/>
      <c r="D675" s="229"/>
      <c r="E675" s="1036" t="s">
        <v>2338</v>
      </c>
      <c r="F675" s="143"/>
      <c r="G675" s="1037">
        <v>182.8947</v>
      </c>
      <c r="H675" s="1038">
        <v>10.5</v>
      </c>
      <c r="I675" s="1039">
        <v>128</v>
      </c>
      <c r="J675" s="1040"/>
      <c r="K675" s="1041"/>
      <c r="L675" s="456">
        <f>M675*8/17.5</f>
        <v>43.885714285714286</v>
      </c>
      <c r="M675" s="1514">
        <v>96</v>
      </c>
      <c r="N675" s="65">
        <f>IF(AND(G675&lt;&gt;"",M675&lt;&gt;""),1000*M675/G675,"")</f>
        <v>524.89219206461428</v>
      </c>
      <c r="O675" s="469"/>
      <c r="P675" s="64"/>
      <c r="Q675" s="469">
        <v>400</v>
      </c>
      <c r="R675" s="469"/>
      <c r="S675" s="469">
        <v>12</v>
      </c>
      <c r="T675" s="1043">
        <v>228</v>
      </c>
      <c r="U675" s="469"/>
      <c r="V675" s="469">
        <v>100</v>
      </c>
      <c r="W675" s="469"/>
      <c r="X675" s="1044">
        <f>1000*L675/8</f>
        <v>5485.7142857142853</v>
      </c>
      <c r="Y675" s="87"/>
      <c r="Z675" s="1292"/>
      <c r="AA675" s="1155">
        <f t="shared" si="290"/>
        <v>240</v>
      </c>
      <c r="AB675" s="93"/>
      <c r="AC675" s="1456">
        <f t="shared" si="291"/>
        <v>2.2799999999999998</v>
      </c>
      <c r="AD675" s="191">
        <f t="shared" si="292"/>
        <v>3.6863999999999999</v>
      </c>
      <c r="AE675" s="1069"/>
      <c r="AF675" s="1049"/>
      <c r="AG675" s="492"/>
    </row>
    <row r="676" spans="1:33" s="493" customFormat="1" x14ac:dyDescent="0.2">
      <c r="A676" s="188"/>
      <c r="B676" s="41"/>
      <c r="C676" s="230"/>
      <c r="D676" s="229"/>
      <c r="E676" s="1036" t="s">
        <v>2339</v>
      </c>
      <c r="F676" s="143"/>
      <c r="G676" s="1037">
        <v>279.565</v>
      </c>
      <c r="H676" s="1038">
        <v>10.5</v>
      </c>
      <c r="I676" s="1039">
        <v>128</v>
      </c>
      <c r="J676" s="1040"/>
      <c r="K676" s="1041"/>
      <c r="L676" s="456">
        <f>M676*8/17.5</f>
        <v>77.714285714285708</v>
      </c>
      <c r="M676" s="1514">
        <v>170</v>
      </c>
      <c r="N676" s="65">
        <f>IF(AND(G676&lt;&gt;"",M676&lt;&gt;""),1000*M676/G676,"")</f>
        <v>608.08756460930374</v>
      </c>
      <c r="O676" s="469"/>
      <c r="P676" s="64"/>
      <c r="Q676" s="469">
        <v>576</v>
      </c>
      <c r="R676" s="469"/>
      <c r="S676" s="469">
        <v>12</v>
      </c>
      <c r="T676" s="1043">
        <v>228</v>
      </c>
      <c r="U676" s="469"/>
      <c r="V676" s="469">
        <v>144</v>
      </c>
      <c r="W676" s="469"/>
      <c r="X676" s="1044">
        <f>1000*L676/8</f>
        <v>9714.2857142857138</v>
      </c>
      <c r="Y676" s="87"/>
      <c r="Z676" s="1292"/>
      <c r="AA676" s="1155">
        <f t="shared" si="290"/>
        <v>295.13888888888891</v>
      </c>
      <c r="AB676" s="93"/>
      <c r="AC676" s="1456">
        <f t="shared" si="291"/>
        <v>1.5833333333333333</v>
      </c>
      <c r="AD676" s="191">
        <f t="shared" si="292"/>
        <v>5.3084160000000002</v>
      </c>
      <c r="AE676" s="1069"/>
      <c r="AF676" s="1049"/>
      <c r="AG676" s="492"/>
    </row>
    <row r="677" spans="1:33" s="493" customFormat="1" x14ac:dyDescent="0.2">
      <c r="A677" s="188"/>
      <c r="B677" s="41"/>
      <c r="C677" s="230"/>
      <c r="D677" s="229"/>
      <c r="E677" s="1036" t="s">
        <v>2340</v>
      </c>
      <c r="F677" s="143"/>
      <c r="G677" s="1037">
        <v>314.88</v>
      </c>
      <c r="H677" s="1038">
        <v>23</v>
      </c>
      <c r="I677" s="1039">
        <v>228</v>
      </c>
      <c r="J677" s="1040"/>
      <c r="K677" s="1041"/>
      <c r="L677" s="456">
        <f>M677*8/17.5</f>
        <v>108.8</v>
      </c>
      <c r="M677" s="1514">
        <v>238</v>
      </c>
      <c r="N677" s="65">
        <f>IF(AND(G677&lt;&gt;"",M677&lt;&gt;""),1000*M677/G677,"")</f>
        <v>755.84349593495938</v>
      </c>
      <c r="O677" s="469"/>
      <c r="P677" s="64"/>
      <c r="Q677" s="469">
        <v>900</v>
      </c>
      <c r="R677" s="469"/>
      <c r="S677" s="469">
        <v>12</v>
      </c>
      <c r="T677" s="1043">
        <v>228</v>
      </c>
      <c r="U677" s="469"/>
      <c r="V677" s="469">
        <v>200</v>
      </c>
      <c r="W677" s="469"/>
      <c r="X677" s="1044">
        <f>1000*L677/8</f>
        <v>13600</v>
      </c>
      <c r="Y677" s="87"/>
      <c r="Z677" s="1292"/>
      <c r="AA677" s="1155">
        <f t="shared" si="290"/>
        <v>264.44444444444446</v>
      </c>
      <c r="AB677" s="93"/>
      <c r="AC677" s="1456">
        <f t="shared" si="291"/>
        <v>1.1399999999999999</v>
      </c>
      <c r="AD677" s="191">
        <f t="shared" si="292"/>
        <v>7.3727999999999998</v>
      </c>
      <c r="AE677" s="1069"/>
      <c r="AF677" s="1049"/>
      <c r="AG677" s="492"/>
    </row>
    <row r="678" spans="1:33" s="493" customFormat="1" ht="13.5" thickBot="1" x14ac:dyDescent="0.25">
      <c r="A678" s="188"/>
      <c r="B678" s="33"/>
      <c r="C678" s="232"/>
      <c r="D678" s="231"/>
      <c r="E678" s="1186" t="s">
        <v>2341</v>
      </c>
      <c r="F678" s="144"/>
      <c r="G678" s="1190">
        <v>375.15</v>
      </c>
      <c r="H678" s="1293">
        <v>23</v>
      </c>
      <c r="I678" s="1294">
        <v>304</v>
      </c>
      <c r="J678" s="1134"/>
      <c r="K678" s="1295"/>
      <c r="L678" s="456">
        <f>M678*8/17.5</f>
        <v>140.80000000000001</v>
      </c>
      <c r="M678" s="1515">
        <v>308</v>
      </c>
      <c r="N678" s="65">
        <f>IF(AND(G678&lt;&gt;"",M678&lt;&gt;""),1000*M678/G678,"")</f>
        <v>821.0049313607891</v>
      </c>
      <c r="O678" s="533"/>
      <c r="P678" s="67"/>
      <c r="Q678" s="533">
        <v>1200</v>
      </c>
      <c r="R678" s="533"/>
      <c r="S678" s="533">
        <v>12</v>
      </c>
      <c r="T678" s="1296">
        <v>304</v>
      </c>
      <c r="U678" s="533"/>
      <c r="V678" s="533">
        <v>300</v>
      </c>
      <c r="W678" s="533"/>
      <c r="X678" s="1044">
        <f>1000*L678/8</f>
        <v>17600</v>
      </c>
      <c r="Y678" s="205"/>
      <c r="Z678" s="1297"/>
      <c r="AA678" s="1155">
        <f t="shared" si="290"/>
        <v>256.66666666666669</v>
      </c>
      <c r="AB678" s="94"/>
      <c r="AC678" s="1456">
        <f t="shared" si="291"/>
        <v>1.0133333333333334</v>
      </c>
      <c r="AD678" s="191">
        <f t="shared" si="292"/>
        <v>11.059200000000001</v>
      </c>
      <c r="AE678" s="904"/>
      <c r="AF678" s="905"/>
      <c r="AG678" s="492"/>
    </row>
    <row r="679" spans="1:33" x14ac:dyDescent="0.2">
      <c r="A679" s="182"/>
      <c r="B679" s="48" t="s">
        <v>715</v>
      </c>
      <c r="C679" s="226"/>
      <c r="D679" s="212"/>
      <c r="E679" s="12" t="s">
        <v>1632</v>
      </c>
      <c r="F679" s="466" t="s">
        <v>1630</v>
      </c>
      <c r="G679" s="14" t="s">
        <v>22</v>
      </c>
      <c r="H679" s="497" t="s">
        <v>1759</v>
      </c>
      <c r="I679" s="123"/>
      <c r="J679" s="15"/>
      <c r="K679" s="16" t="s">
        <v>22</v>
      </c>
      <c r="L679" s="248" t="s">
        <v>665</v>
      </c>
      <c r="M679" s="383" t="s">
        <v>1704</v>
      </c>
      <c r="N679" s="380">
        <f>AVERAGE(N680:N686)</f>
        <v>313.83041396335096</v>
      </c>
      <c r="O679" s="382">
        <f>AVERAGE(O680:O806)</f>
        <v>248.26007448528011</v>
      </c>
      <c r="P679" s="60"/>
      <c r="Q679" s="399" t="s">
        <v>2323</v>
      </c>
      <c r="R679" s="61" t="s">
        <v>976</v>
      </c>
      <c r="S679" s="399"/>
      <c r="T679" s="61"/>
      <c r="U679" s="61" t="s">
        <v>1637</v>
      </c>
      <c r="V679" s="74" t="s">
        <v>433</v>
      </c>
      <c r="W679" s="491" t="s">
        <v>1638</v>
      </c>
      <c r="X679" s="109" t="s">
        <v>207</v>
      </c>
      <c r="Y679" s="80" t="s">
        <v>695</v>
      </c>
      <c r="Z679" s="206"/>
      <c r="AA679" s="370">
        <f>AVERAGE(AA680:AA686)</f>
        <v>295.09426188350295</v>
      </c>
      <c r="AB679" s="92">
        <f>AVERAGE(AB680:AB806)</f>
        <v>513.62991869918699</v>
      </c>
      <c r="AC679" s="1452">
        <f>AVERAGE(AC680:AC686)</f>
        <v>0.59847978281810066</v>
      </c>
      <c r="AD679" s="109" t="s">
        <v>650</v>
      </c>
      <c r="AE679" s="195"/>
      <c r="AF679" s="196">
        <f>AVERAGE(AF680:AF686)</f>
        <v>92.519725563592161</v>
      </c>
      <c r="AG679" s="493" t="s">
        <v>1640</v>
      </c>
    </row>
    <row r="680" spans="1:33" x14ac:dyDescent="0.2">
      <c r="A680" s="188" t="s">
        <v>929</v>
      </c>
      <c r="B680" s="41" t="s">
        <v>702</v>
      </c>
      <c r="C680" s="227"/>
      <c r="D680" s="229" t="s">
        <v>708</v>
      </c>
      <c r="E680" s="910" t="s">
        <v>1900</v>
      </c>
      <c r="F680" s="143" t="s">
        <v>1898</v>
      </c>
      <c r="G680" s="43">
        <v>1137.5</v>
      </c>
      <c r="H680" s="128">
        <v>23</v>
      </c>
      <c r="I680" s="430">
        <v>208</v>
      </c>
      <c r="J680" s="138"/>
      <c r="K680" s="44"/>
      <c r="L680" s="456">
        <f t="shared" ref="L680:L686" si="301">8*X680/1000</f>
        <v>162.72</v>
      </c>
      <c r="M680" s="457">
        <f>17.5*X680/1000</f>
        <v>355.95</v>
      </c>
      <c r="N680" s="65">
        <f t="shared" ref="N680:N686" si="302">IF(AND(G680&lt;&gt;"",M680&lt;&gt;""),1000*M680/G680,"")</f>
        <v>312.92307692307691</v>
      </c>
      <c r="O680" s="65"/>
      <c r="P680" s="65"/>
      <c r="Q680" s="65">
        <v>1368</v>
      </c>
      <c r="R680" s="65"/>
      <c r="S680" s="65">
        <v>16</v>
      </c>
      <c r="T680" s="65">
        <v>208</v>
      </c>
      <c r="U680" s="65">
        <v>1</v>
      </c>
      <c r="V680" s="65">
        <v>360</v>
      </c>
      <c r="W680" s="65">
        <v>48</v>
      </c>
      <c r="X680" s="115">
        <v>20340</v>
      </c>
      <c r="Y680" s="87"/>
      <c r="Z680" s="390"/>
      <c r="AA680" s="378">
        <f t="shared" ref="AA680:AA686" si="303">1000*M680/Q680</f>
        <v>260.19736842105266</v>
      </c>
      <c r="AB680" s="54"/>
      <c r="AC680" s="281">
        <f t="shared" ref="AC680:AC686" si="304">T680/V680</f>
        <v>0.57777777777777772</v>
      </c>
      <c r="AD680" s="191">
        <f t="shared" ref="AD680:AD686" si="305">(512*72*V680+4096*72*W680)/1000000</f>
        <v>27.426815999999999</v>
      </c>
      <c r="AE680" s="446">
        <v>123.449056</v>
      </c>
      <c r="AF680" s="1049"/>
      <c r="AG680" s="6" t="s">
        <v>2325</v>
      </c>
    </row>
    <row r="681" spans="1:33" x14ac:dyDescent="0.2">
      <c r="A681" s="188" t="s">
        <v>929</v>
      </c>
      <c r="B681" s="41" t="s">
        <v>702</v>
      </c>
      <c r="C681" s="227"/>
      <c r="D681" s="532" t="s">
        <v>704</v>
      </c>
      <c r="E681" s="910" t="s">
        <v>1901</v>
      </c>
      <c r="F681" s="143" t="s">
        <v>1869</v>
      </c>
      <c r="G681" s="43">
        <v>1618.5</v>
      </c>
      <c r="H681" s="128">
        <v>27</v>
      </c>
      <c r="I681" s="430">
        <v>208</v>
      </c>
      <c r="J681" s="138"/>
      <c r="K681" s="44"/>
      <c r="L681" s="456">
        <f>8*X681/1000</f>
        <v>216.96</v>
      </c>
      <c r="M681" s="457">
        <f>17.5*X681/1000</f>
        <v>474.6</v>
      </c>
      <c r="N681" s="65">
        <f>IF(AND(G681&lt;&gt;"",M681&lt;&gt;""),1000*M681/G681,"")</f>
        <v>293.23447636700649</v>
      </c>
      <c r="O681" s="65"/>
      <c r="P681" s="65"/>
      <c r="Q681" s="65">
        <v>1824</v>
      </c>
      <c r="R681" s="65"/>
      <c r="S681" s="65">
        <v>16</v>
      </c>
      <c r="T681" s="65">
        <v>208</v>
      </c>
      <c r="U681" s="65">
        <v>1</v>
      </c>
      <c r="V681" s="65">
        <v>480</v>
      </c>
      <c r="W681" s="65">
        <v>64</v>
      </c>
      <c r="X681" s="115">
        <v>27120</v>
      </c>
      <c r="Y681" s="87"/>
      <c r="Z681" s="390"/>
      <c r="AA681" s="378">
        <f>1000*M681/Q681</f>
        <v>260.19736842105266</v>
      </c>
      <c r="AB681" s="54"/>
      <c r="AC681" s="281">
        <f>T681/V681</f>
        <v>0.43333333333333335</v>
      </c>
      <c r="AD681" s="191">
        <f>(512*72*V681+4096*72*W681)/1000000</f>
        <v>36.569088000000001</v>
      </c>
      <c r="AE681" s="446">
        <v>123.449056</v>
      </c>
      <c r="AF681" s="1049">
        <f t="shared" si="287"/>
        <v>81.239503441494591</v>
      </c>
      <c r="AG681" s="492" t="s">
        <v>1647</v>
      </c>
    </row>
    <row r="682" spans="1:33" s="751" customFormat="1" x14ac:dyDescent="0.2">
      <c r="A682" s="749"/>
      <c r="B682" s="573" t="s">
        <v>702</v>
      </c>
      <c r="C682" s="574"/>
      <c r="D682" s="554" t="s">
        <v>708</v>
      </c>
      <c r="E682" s="1217" t="s">
        <v>1902</v>
      </c>
      <c r="F682" s="595"/>
      <c r="G682" s="596"/>
      <c r="H682" s="578">
        <v>27</v>
      </c>
      <c r="I682" s="579">
        <v>208</v>
      </c>
      <c r="J682" s="597"/>
      <c r="K682" s="598"/>
      <c r="L682" s="582">
        <f>8*X682/1000</f>
        <v>230.4</v>
      </c>
      <c r="M682" s="583">
        <f>17.5*X682/1000</f>
        <v>504</v>
      </c>
      <c r="N682" s="564" t="str">
        <f>IF(AND(G682&lt;&gt;"",M682&lt;&gt;""),1000*M682/G682,"")</f>
        <v/>
      </c>
      <c r="O682" s="564"/>
      <c r="P682" s="564"/>
      <c r="Q682" s="564">
        <v>1728</v>
      </c>
      <c r="R682" s="564"/>
      <c r="S682" s="564">
        <v>24</v>
      </c>
      <c r="T682" s="564">
        <v>416</v>
      </c>
      <c r="U682" s="564">
        <v>2</v>
      </c>
      <c r="V682" s="564">
        <v>298</v>
      </c>
      <c r="W682" s="564">
        <v>92</v>
      </c>
      <c r="X682" s="599">
        <v>28800</v>
      </c>
      <c r="Y682" s="600"/>
      <c r="Z682" s="797"/>
      <c r="AA682" s="591">
        <f>1000*M682/Q682</f>
        <v>291.66666666666669</v>
      </c>
      <c r="AB682" s="602"/>
      <c r="AC682" s="1453">
        <f>T682/V682</f>
        <v>1.3959731543624161</v>
      </c>
      <c r="AD682" s="572">
        <f>(512*72*V682+4096*72*W682)/1000000</f>
        <v>38.117376</v>
      </c>
      <c r="AE682" s="603"/>
      <c r="AF682" s="1049"/>
    </row>
    <row r="683" spans="1:33" x14ac:dyDescent="0.2">
      <c r="A683" s="188" t="s">
        <v>929</v>
      </c>
      <c r="B683" s="41" t="s">
        <v>702</v>
      </c>
      <c r="C683" s="227"/>
      <c r="D683" s="532" t="s">
        <v>708</v>
      </c>
      <c r="E683" s="41" t="s">
        <v>1903</v>
      </c>
      <c r="F683" s="143" t="s">
        <v>1899</v>
      </c>
      <c r="G683" s="43">
        <v>1995.06</v>
      </c>
      <c r="H683" s="128">
        <v>31</v>
      </c>
      <c r="I683" s="430">
        <v>208</v>
      </c>
      <c r="J683" s="138"/>
      <c r="K683" s="44"/>
      <c r="L683" s="456">
        <f>8*X683/1000</f>
        <v>274.08</v>
      </c>
      <c r="M683" s="457">
        <f>17.5*X683/1000</f>
        <v>599.54999999999995</v>
      </c>
      <c r="N683" s="65">
        <f>IF(AND(G683&lt;&gt;"",M683&lt;&gt;""),1000*M683/G683,"")</f>
        <v>300.51727767585936</v>
      </c>
      <c r="O683" s="65"/>
      <c r="P683" s="65"/>
      <c r="Q683" s="65">
        <v>2520</v>
      </c>
      <c r="R683" s="65"/>
      <c r="S683" s="65">
        <v>28</v>
      </c>
      <c r="T683" s="65">
        <v>208</v>
      </c>
      <c r="U683" s="65"/>
      <c r="V683" s="65">
        <v>912</v>
      </c>
      <c r="W683" s="65"/>
      <c r="X683" s="115">
        <v>34260</v>
      </c>
      <c r="Y683" s="87"/>
      <c r="Z683" s="390"/>
      <c r="AA683" s="378">
        <f>1000*M683/Q683</f>
        <v>237.91666666666666</v>
      </c>
      <c r="AB683" s="54"/>
      <c r="AC683" s="281">
        <f>T683/V683</f>
        <v>0.22807017543859648</v>
      </c>
      <c r="AD683" s="191">
        <f>(512*72*V683+4096*72*W683)/1000000</f>
        <v>33.619968</v>
      </c>
      <c r="AE683" s="446">
        <v>212.08624</v>
      </c>
      <c r="AF683" s="1049">
        <f t="shared" si="287"/>
        <v>108.5244405526367</v>
      </c>
      <c r="AG683" s="492" t="s">
        <v>1731</v>
      </c>
    </row>
    <row r="684" spans="1:33" x14ac:dyDescent="0.2">
      <c r="A684" s="188" t="s">
        <v>189</v>
      </c>
      <c r="B684" s="41" t="s">
        <v>702</v>
      </c>
      <c r="C684" s="227"/>
      <c r="D684" s="229" t="s">
        <v>708</v>
      </c>
      <c r="E684" s="41" t="s">
        <v>1904</v>
      </c>
      <c r="F684" s="143" t="s">
        <v>1927</v>
      </c>
      <c r="G684" s="43">
        <v>2689.1012999999998</v>
      </c>
      <c r="H684" s="128">
        <v>31</v>
      </c>
      <c r="I684" s="430">
        <v>312</v>
      </c>
      <c r="J684" s="138"/>
      <c r="K684" s="44"/>
      <c r="L684" s="456">
        <f t="shared" si="301"/>
        <v>298.56</v>
      </c>
      <c r="M684" s="457">
        <f t="shared" ref="M684:M703" si="306">17.5*X684/1000</f>
        <v>653.1</v>
      </c>
      <c r="N684" s="65">
        <f t="shared" si="302"/>
        <v>242.8692440853753</v>
      </c>
      <c r="O684" s="65"/>
      <c r="P684" s="65"/>
      <c r="Q684" s="65">
        <v>2928</v>
      </c>
      <c r="R684" s="65"/>
      <c r="S684" s="65">
        <v>52</v>
      </c>
      <c r="T684" s="65">
        <v>416</v>
      </c>
      <c r="U684" s="65">
        <v>4</v>
      </c>
      <c r="V684" s="65">
        <v>600</v>
      </c>
      <c r="W684" s="65">
        <v>80</v>
      </c>
      <c r="X684" s="115">
        <v>37320</v>
      </c>
      <c r="Y684" s="87"/>
      <c r="Z684" s="390"/>
      <c r="AA684" s="378">
        <f t="shared" si="303"/>
        <v>223.05327868852459</v>
      </c>
      <c r="AB684" s="54"/>
      <c r="AC684" s="281">
        <f t="shared" si="304"/>
        <v>0.69333333333333336</v>
      </c>
      <c r="AD684" s="191">
        <f t="shared" si="305"/>
        <v>45.711359999999999</v>
      </c>
      <c r="AE684" s="446">
        <v>188.64726400000001</v>
      </c>
      <c r="AF684" s="1049">
        <f t="shared" si="287"/>
        <v>92.962254376563052</v>
      </c>
      <c r="AG684" s="492" t="s">
        <v>1648</v>
      </c>
    </row>
    <row r="685" spans="1:33" x14ac:dyDescent="0.2">
      <c r="A685" s="188" t="s">
        <v>929</v>
      </c>
      <c r="B685" s="41" t="s">
        <v>702</v>
      </c>
      <c r="C685" s="227"/>
      <c r="D685" s="532" t="s">
        <v>708</v>
      </c>
      <c r="E685" s="41" t="s">
        <v>1905</v>
      </c>
      <c r="F685" s="143" t="s">
        <v>1899</v>
      </c>
      <c r="G685" s="43">
        <v>1741.67</v>
      </c>
      <c r="H685" s="128">
        <v>31</v>
      </c>
      <c r="I685" s="430">
        <v>208</v>
      </c>
      <c r="J685" s="138"/>
      <c r="K685" s="44"/>
      <c r="L685" s="456">
        <f>8*X685/1000</f>
        <v>341.28</v>
      </c>
      <c r="M685" s="457">
        <f>17.5*X685/1000</f>
        <v>746.55</v>
      </c>
      <c r="N685" s="65">
        <f>IF(AND(G685&lt;&gt;"",M685&lt;&gt;""),1000*M685/G685,"")</f>
        <v>428.64032796109478</v>
      </c>
      <c r="O685" s="65"/>
      <c r="P685" s="65"/>
      <c r="Q685" s="65">
        <v>3528</v>
      </c>
      <c r="R685" s="65"/>
      <c r="S685" s="65">
        <v>28</v>
      </c>
      <c r="T685" s="65">
        <v>208</v>
      </c>
      <c r="U685" s="65"/>
      <c r="V685" s="65">
        <v>744</v>
      </c>
      <c r="W685" s="65">
        <v>112</v>
      </c>
      <c r="X685" s="115">
        <v>42660</v>
      </c>
      <c r="Y685" s="87"/>
      <c r="Z685" s="390"/>
      <c r="AA685" s="378">
        <f>1000*M685/Q685</f>
        <v>211.60714285714286</v>
      </c>
      <c r="AB685" s="54"/>
      <c r="AC685" s="281">
        <f>T685/V685</f>
        <v>0.27956989247311825</v>
      </c>
      <c r="AD685" s="191">
        <f>(512*72*V685+4096*72*W685)/1000000</f>
        <v>60.456960000000002</v>
      </c>
      <c r="AE685" s="446">
        <v>229.605952</v>
      </c>
      <c r="AF685" s="1049">
        <f t="shared" si="287"/>
        <v>98.735708704485091</v>
      </c>
      <c r="AG685" s="492" t="s">
        <v>1645</v>
      </c>
    </row>
    <row r="686" spans="1:33" ht="13.5" thickBot="1" x14ac:dyDescent="0.25">
      <c r="A686" s="188" t="s">
        <v>929</v>
      </c>
      <c r="B686" s="41" t="s">
        <v>702</v>
      </c>
      <c r="C686" s="227"/>
      <c r="D686" s="532" t="s">
        <v>704</v>
      </c>
      <c r="E686" s="41" t="s">
        <v>1906</v>
      </c>
      <c r="F686" s="143" t="s">
        <v>1907</v>
      </c>
      <c r="G686" s="43">
        <v>3751.5</v>
      </c>
      <c r="H686" s="128">
        <v>35</v>
      </c>
      <c r="I686" s="430">
        <v>520</v>
      </c>
      <c r="J686" s="138"/>
      <c r="K686" s="44"/>
      <c r="L686" s="456">
        <f t="shared" si="301"/>
        <v>522.72</v>
      </c>
      <c r="M686" s="457">
        <f t="shared" si="306"/>
        <v>1143.45</v>
      </c>
      <c r="N686" s="65">
        <f t="shared" si="302"/>
        <v>304.79808076769291</v>
      </c>
      <c r="O686" s="65"/>
      <c r="P686" s="65"/>
      <c r="Q686" s="65">
        <v>1968</v>
      </c>
      <c r="R686" s="65"/>
      <c r="S686" s="65">
        <v>76</v>
      </c>
      <c r="T686" s="65">
        <v>572</v>
      </c>
      <c r="U686" s="65">
        <v>5</v>
      </c>
      <c r="V686" s="65">
        <v>984</v>
      </c>
      <c r="W686" s="65">
        <v>128</v>
      </c>
      <c r="X686" s="115">
        <v>65340</v>
      </c>
      <c r="Y686" s="87"/>
      <c r="Z686" s="390"/>
      <c r="AA686" s="378">
        <f t="shared" si="303"/>
        <v>581.02134146341461</v>
      </c>
      <c r="AB686" s="54"/>
      <c r="AC686" s="281">
        <f t="shared" si="304"/>
        <v>0.58130081300813008</v>
      </c>
      <c r="AD686" s="191">
        <f t="shared" si="305"/>
        <v>74.022912000000005</v>
      </c>
      <c r="AE686" s="446">
        <v>290.74489599999998</v>
      </c>
      <c r="AF686" s="1049">
        <f t="shared" si="287"/>
        <v>81.13672074278135</v>
      </c>
      <c r="AG686" s="492" t="s">
        <v>1646</v>
      </c>
    </row>
    <row r="687" spans="1:33" x14ac:dyDescent="0.2">
      <c r="A687" s="182"/>
      <c r="B687" s="48" t="s">
        <v>715</v>
      </c>
      <c r="C687" s="226"/>
      <c r="D687" s="212"/>
      <c r="E687" s="12" t="s">
        <v>1633</v>
      </c>
      <c r="F687" s="466" t="s">
        <v>1630</v>
      </c>
      <c r="G687" s="14" t="s">
        <v>22</v>
      </c>
      <c r="H687" s="497" t="s">
        <v>1759</v>
      </c>
      <c r="I687" s="123"/>
      <c r="J687" s="15"/>
      <c r="K687" s="16" t="s">
        <v>22</v>
      </c>
      <c r="L687" s="248" t="s">
        <v>665</v>
      </c>
      <c r="M687" s="383" t="s">
        <v>1704</v>
      </c>
      <c r="N687" s="380">
        <f>AVERAGE(N688:N703)</f>
        <v>101.85547325224896</v>
      </c>
      <c r="O687" s="382">
        <f>AVERAGE(O688:O825)</f>
        <v>248.26007448528009</v>
      </c>
      <c r="P687" s="60"/>
      <c r="Q687" s="399" t="s">
        <v>2323</v>
      </c>
      <c r="R687" s="61" t="s">
        <v>1341</v>
      </c>
      <c r="S687" s="399"/>
      <c r="T687" s="61"/>
      <c r="U687" s="61" t="s">
        <v>1637</v>
      </c>
      <c r="V687" s="74" t="s">
        <v>433</v>
      </c>
      <c r="W687" s="491" t="s">
        <v>1638</v>
      </c>
      <c r="X687" s="109" t="s">
        <v>207</v>
      </c>
      <c r="Y687" s="80" t="s">
        <v>695</v>
      </c>
      <c r="Z687" s="206"/>
      <c r="AA687" s="370">
        <f>AVERAGE(AA688:AA693)</f>
        <v>355.3705092340611</v>
      </c>
      <c r="AB687" s="92">
        <f>AVERAGE(AB688:AB825)</f>
        <v>514.92444444444448</v>
      </c>
      <c r="AC687" s="1452">
        <f>AVERAGE(AC688:AC693)</f>
        <v>0.51945546737213399</v>
      </c>
      <c r="AD687" s="109" t="s">
        <v>650</v>
      </c>
      <c r="AE687" s="195"/>
      <c r="AF687" s="196">
        <f>AVERAGE(AF688:AF693)</f>
        <v>78.853454580883493</v>
      </c>
      <c r="AG687" s="493" t="s">
        <v>1640</v>
      </c>
    </row>
    <row r="688" spans="1:33" x14ac:dyDescent="0.2">
      <c r="A688" s="188" t="s">
        <v>189</v>
      </c>
      <c r="B688" s="41" t="s">
        <v>702</v>
      </c>
      <c r="C688" s="227"/>
      <c r="D688" s="229" t="s">
        <v>704</v>
      </c>
      <c r="E688" s="41" t="s">
        <v>1908</v>
      </c>
      <c r="F688" s="143" t="s">
        <v>1870</v>
      </c>
      <c r="G688" s="43">
        <v>9676.0409999999993</v>
      </c>
      <c r="H688" s="128">
        <v>40</v>
      </c>
      <c r="I688" s="430">
        <v>520</v>
      </c>
      <c r="J688" s="138"/>
      <c r="K688" s="44"/>
      <c r="L688" s="456">
        <f t="shared" ref="L688:L703" si="307">8*X688/1000</f>
        <v>394.08</v>
      </c>
      <c r="M688" s="457">
        <f t="shared" si="306"/>
        <v>862.05</v>
      </c>
      <c r="N688" s="65">
        <f t="shared" ref="N688:N703" si="308">IF(AND(G688&lt;&gt;"",M688&lt;&gt;""),1000*M688/G688,"")</f>
        <v>89.091189258086033</v>
      </c>
      <c r="O688" s="65"/>
      <c r="P688" s="65"/>
      <c r="Q688" s="65">
        <v>2280</v>
      </c>
      <c r="R688" s="65">
        <v>10</v>
      </c>
      <c r="S688" s="65">
        <v>40</v>
      </c>
      <c r="T688" s="449">
        <v>520</v>
      </c>
      <c r="U688" s="65">
        <v>2</v>
      </c>
      <c r="V688" s="65">
        <v>720</v>
      </c>
      <c r="W688" s="71">
        <v>320</v>
      </c>
      <c r="X688" s="115">
        <v>49260</v>
      </c>
      <c r="Y688" s="87"/>
      <c r="Z688" s="141"/>
      <c r="AA688" s="371">
        <f t="shared" ref="AA688:AA741" si="309">1000*M688/Q688</f>
        <v>378.09210526315792</v>
      </c>
      <c r="AB688" s="54"/>
      <c r="AC688" s="281">
        <f t="shared" ref="AC688:AC709" si="310">T688/V688</f>
        <v>0.72222222222222221</v>
      </c>
      <c r="AD688" s="191">
        <f t="shared" ref="AD688:AD703" si="311">(512*72*V688+4096*72*W688)/1000000</f>
        <v>120.91392</v>
      </c>
      <c r="AE688" s="446">
        <v>213.75280000000001</v>
      </c>
      <c r="AF688" s="1049">
        <f t="shared" si="287"/>
        <v>79.176275544728654</v>
      </c>
      <c r="AG688" s="6" t="s">
        <v>2325</v>
      </c>
    </row>
    <row r="689" spans="1:33" s="493" customFormat="1" x14ac:dyDescent="0.2">
      <c r="A689" s="188" t="s">
        <v>189</v>
      </c>
      <c r="B689" s="41" t="s">
        <v>702</v>
      </c>
      <c r="C689" s="230"/>
      <c r="D689" s="229" t="s">
        <v>708</v>
      </c>
      <c r="E689" s="41" t="s">
        <v>1909</v>
      </c>
      <c r="F689" s="143" t="s">
        <v>1918</v>
      </c>
      <c r="G689" s="1038">
        <v>13748.9131</v>
      </c>
      <c r="H689" s="1038">
        <v>47</v>
      </c>
      <c r="I689" s="1039">
        <v>832</v>
      </c>
      <c r="J689" s="1040"/>
      <c r="K689" s="1041"/>
      <c r="L689" s="896">
        <f t="shared" si="307"/>
        <v>600.57600000000002</v>
      </c>
      <c r="M689" s="457">
        <f t="shared" si="306"/>
        <v>1313.76</v>
      </c>
      <c r="N689" s="469">
        <f t="shared" si="308"/>
        <v>95.553735080338825</v>
      </c>
      <c r="O689" s="469"/>
      <c r="P689" s="469"/>
      <c r="Q689" s="469">
        <v>3474</v>
      </c>
      <c r="R689" s="469">
        <v>20</v>
      </c>
      <c r="S689" s="469">
        <v>80</v>
      </c>
      <c r="T689" s="1043">
        <v>832</v>
      </c>
      <c r="U689" s="469">
        <v>4</v>
      </c>
      <c r="V689" s="469">
        <v>1024</v>
      </c>
      <c r="W689" s="1004">
        <v>470</v>
      </c>
      <c r="X689" s="1044">
        <v>75072</v>
      </c>
      <c r="Y689" s="87"/>
      <c r="Z689" s="1045"/>
      <c r="AA689" s="1046">
        <f t="shared" si="309"/>
        <v>378.16925734024181</v>
      </c>
      <c r="AB689" s="93"/>
      <c r="AC689" s="1456">
        <f t="shared" si="310"/>
        <v>0.8125</v>
      </c>
      <c r="AD689" s="191">
        <f t="shared" si="311"/>
        <v>176.35737599999999</v>
      </c>
      <c r="AE689" s="1048">
        <v>427.51923199999999</v>
      </c>
      <c r="AF689" s="1049"/>
      <c r="AG689" s="493" t="s">
        <v>1731</v>
      </c>
    </row>
    <row r="690" spans="1:33" s="1362" customFormat="1" x14ac:dyDescent="0.2">
      <c r="A690" s="1340" t="s">
        <v>189</v>
      </c>
      <c r="B690" s="1341" t="s">
        <v>702</v>
      </c>
      <c r="C690" s="1342"/>
      <c r="D690" s="1343" t="s">
        <v>704</v>
      </c>
      <c r="E690" s="1341" t="s">
        <v>1910</v>
      </c>
      <c r="F690" s="1344" t="s">
        <v>1919</v>
      </c>
      <c r="G690" s="1345">
        <v>16703.261699999999</v>
      </c>
      <c r="H690" s="1345">
        <v>47</v>
      </c>
      <c r="I690" s="1346">
        <v>832</v>
      </c>
      <c r="J690" s="1347"/>
      <c r="K690" s="1348"/>
      <c r="L690" s="1349">
        <f t="shared" si="307"/>
        <v>788.16</v>
      </c>
      <c r="M690" s="1350">
        <f t="shared" si="306"/>
        <v>1724.1</v>
      </c>
      <c r="N690" s="1351">
        <f t="shared" si="308"/>
        <v>103.21936104252022</v>
      </c>
      <c r="O690" s="1351"/>
      <c r="P690" s="1351"/>
      <c r="Q690" s="1351">
        <v>4560</v>
      </c>
      <c r="R690" s="1351">
        <v>20</v>
      </c>
      <c r="S690" s="1351">
        <v>80</v>
      </c>
      <c r="T690" s="1352">
        <v>832</v>
      </c>
      <c r="U690" s="1351">
        <v>4</v>
      </c>
      <c r="V690" s="1351">
        <v>1440</v>
      </c>
      <c r="W690" s="1353">
        <v>640</v>
      </c>
      <c r="X690" s="1354">
        <v>98520</v>
      </c>
      <c r="Y690" s="1355"/>
      <c r="Z690" s="1356"/>
      <c r="AA690" s="1357">
        <f t="shared" si="309"/>
        <v>378.09210526315792</v>
      </c>
      <c r="AB690" s="1358"/>
      <c r="AC690" s="1457">
        <f t="shared" si="310"/>
        <v>0.57777777777777772</v>
      </c>
      <c r="AD690" s="1359">
        <f t="shared" si="311"/>
        <v>241.82784000000001</v>
      </c>
      <c r="AE690" s="1360">
        <v>427.51923199999999</v>
      </c>
      <c r="AF690" s="1049">
        <f t="shared" si="287"/>
        <v>79.179158208147243</v>
      </c>
      <c r="AG690" s="1361" t="s">
        <v>1646</v>
      </c>
    </row>
    <row r="691" spans="1:33" x14ac:dyDescent="0.2">
      <c r="A691" s="188" t="s">
        <v>189</v>
      </c>
      <c r="B691" s="41" t="s">
        <v>702</v>
      </c>
      <c r="C691" s="227"/>
      <c r="D691" s="229" t="s">
        <v>708</v>
      </c>
      <c r="E691" s="41" t="s">
        <v>1911</v>
      </c>
      <c r="F691" s="143" t="s">
        <v>1920</v>
      </c>
      <c r="G691" s="128">
        <v>25060.8691</v>
      </c>
      <c r="H691" s="128">
        <v>47</v>
      </c>
      <c r="I691" s="430">
        <v>832</v>
      </c>
      <c r="J691" s="138"/>
      <c r="K691" s="44"/>
      <c r="L691" s="456">
        <f t="shared" si="307"/>
        <v>1182.24</v>
      </c>
      <c r="M691" s="457">
        <f t="shared" si="306"/>
        <v>2586.15</v>
      </c>
      <c r="N691" s="65">
        <f t="shared" si="308"/>
        <v>103.19474514952077</v>
      </c>
      <c r="O691" s="65"/>
      <c r="P691" s="65"/>
      <c r="Q691" s="65">
        <v>6840</v>
      </c>
      <c r="R691" s="65">
        <v>30</v>
      </c>
      <c r="S691" s="65">
        <v>120</v>
      </c>
      <c r="T691" s="449">
        <v>832</v>
      </c>
      <c r="U691" s="65">
        <v>6</v>
      </c>
      <c r="V691" s="65">
        <v>2160</v>
      </c>
      <c r="W691" s="71">
        <v>960</v>
      </c>
      <c r="X691" s="115">
        <v>147780</v>
      </c>
      <c r="Y691" s="87"/>
      <c r="Z691" s="141"/>
      <c r="AA691" s="371">
        <f t="shared" si="309"/>
        <v>378.09210526315792</v>
      </c>
      <c r="AB691" s="54"/>
      <c r="AC691" s="281">
        <f t="shared" si="310"/>
        <v>0.38518518518518519</v>
      </c>
      <c r="AD691" s="191">
        <f t="shared" si="311"/>
        <v>362.74176</v>
      </c>
      <c r="AE691" s="446">
        <v>641.27286400000003</v>
      </c>
      <c r="AF691" s="1049">
        <f t="shared" si="287"/>
        <v>79.17831461181035</v>
      </c>
      <c r="AG691" s="492" t="s">
        <v>1647</v>
      </c>
    </row>
    <row r="692" spans="1:33" x14ac:dyDescent="0.2">
      <c r="A692" s="188" t="s">
        <v>189</v>
      </c>
      <c r="B692" s="41" t="s">
        <v>702</v>
      </c>
      <c r="C692" s="227"/>
      <c r="D692" s="229" t="s">
        <v>704</v>
      </c>
      <c r="E692" s="41" t="s">
        <v>1912</v>
      </c>
      <c r="F692" s="143" t="s">
        <v>1921</v>
      </c>
      <c r="G692" s="128">
        <v>26804.347699999998</v>
      </c>
      <c r="H692" s="128">
        <v>47</v>
      </c>
      <c r="I692" s="430">
        <v>624</v>
      </c>
      <c r="J692" s="138"/>
      <c r="K692" s="44"/>
      <c r="L692" s="456">
        <f t="shared" si="307"/>
        <v>1296</v>
      </c>
      <c r="M692" s="457">
        <f t="shared" si="306"/>
        <v>2835</v>
      </c>
      <c r="N692" s="65">
        <f t="shared" si="308"/>
        <v>105.76642385518676</v>
      </c>
      <c r="O692" s="65"/>
      <c r="P692" s="65"/>
      <c r="Q692" s="65">
        <v>9126</v>
      </c>
      <c r="R692" s="65">
        <v>12</v>
      </c>
      <c r="S692" s="65">
        <v>96</v>
      </c>
      <c r="T692" s="449">
        <v>624</v>
      </c>
      <c r="U692" s="65">
        <v>3</v>
      </c>
      <c r="V692" s="65">
        <v>2016</v>
      </c>
      <c r="W692" s="71">
        <v>960</v>
      </c>
      <c r="X692" s="115">
        <v>162000</v>
      </c>
      <c r="Y692" s="87"/>
      <c r="Z692" s="141"/>
      <c r="AA692" s="371">
        <f t="shared" si="309"/>
        <v>310.6508875739645</v>
      </c>
      <c r="AB692" s="54"/>
      <c r="AC692" s="281">
        <f t="shared" si="310"/>
        <v>0.30952380952380953</v>
      </c>
      <c r="AD692" s="191">
        <f t="shared" si="311"/>
        <v>357.43334399999998</v>
      </c>
      <c r="AE692" s="446">
        <v>679.91324799999995</v>
      </c>
      <c r="AF692" s="1049">
        <f t="shared" si="287"/>
        <v>77.880069958847741</v>
      </c>
      <c r="AG692" s="492" t="s">
        <v>1648</v>
      </c>
    </row>
    <row r="693" spans="1:33" x14ac:dyDescent="0.2">
      <c r="A693" s="188" t="s">
        <v>189</v>
      </c>
      <c r="B693" s="41" t="s">
        <v>702</v>
      </c>
      <c r="C693" s="227"/>
      <c r="D693" s="229" t="s">
        <v>708</v>
      </c>
      <c r="E693" s="41" t="s">
        <v>1913</v>
      </c>
      <c r="F693" s="143" t="s">
        <v>1922</v>
      </c>
      <c r="G693" s="128">
        <v>40277.175799999997</v>
      </c>
      <c r="H693" s="128">
        <v>52</v>
      </c>
      <c r="I693" s="430">
        <v>832</v>
      </c>
      <c r="J693" s="138"/>
      <c r="K693" s="44"/>
      <c r="L693" s="456">
        <f t="shared" si="307"/>
        <v>1728</v>
      </c>
      <c r="M693" s="457">
        <f t="shared" si="306"/>
        <v>3780</v>
      </c>
      <c r="N693" s="65">
        <f t="shared" si="308"/>
        <v>93.849678507001983</v>
      </c>
      <c r="O693" s="65"/>
      <c r="P693" s="65"/>
      <c r="Q693" s="282">
        <v>12228</v>
      </c>
      <c r="R693" s="65">
        <v>16</v>
      </c>
      <c r="S693" s="65">
        <v>128</v>
      </c>
      <c r="T693" s="449">
        <v>832</v>
      </c>
      <c r="U693" s="65">
        <v>4</v>
      </c>
      <c r="V693" s="65">
        <v>2688</v>
      </c>
      <c r="W693" s="71">
        <v>1280</v>
      </c>
      <c r="X693" s="115">
        <v>216000</v>
      </c>
      <c r="Y693" s="87"/>
      <c r="Z693" s="141"/>
      <c r="AA693" s="371">
        <f t="shared" si="309"/>
        <v>309.12659470068695</v>
      </c>
      <c r="AB693" s="54"/>
      <c r="AC693" s="281">
        <f t="shared" si="310"/>
        <v>0.30952380952380953</v>
      </c>
      <c r="AD693" s="191">
        <f t="shared" si="311"/>
        <v>476.57779199999999</v>
      </c>
      <c r="AE693" s="422">
        <v>906.54700800000001</v>
      </c>
      <c r="AF693" s="1049"/>
      <c r="AG693" s="492"/>
    </row>
    <row r="694" spans="1:33" x14ac:dyDescent="0.2">
      <c r="A694" s="188"/>
      <c r="B694" s="36"/>
      <c r="C694" s="296"/>
      <c r="D694" s="470"/>
      <c r="E694" s="41" t="s">
        <v>2194</v>
      </c>
      <c r="F694" s="143" t="s">
        <v>2290</v>
      </c>
      <c r="G694" s="128">
        <v>73074.3</v>
      </c>
      <c r="H694" s="128">
        <v>52</v>
      </c>
      <c r="I694" s="430">
        <v>832</v>
      </c>
      <c r="J694" s="138"/>
      <c r="K694" s="44"/>
      <c r="L694" s="456">
        <f>8*X694/1000</f>
        <v>4085.92</v>
      </c>
      <c r="M694" s="457">
        <f>17.5*X694/1000</f>
        <v>8937.9500000000007</v>
      </c>
      <c r="N694" s="65">
        <f>IF(AND(G694&lt;&gt;"",M694&lt;&gt;""),1000*M694/G694,"")</f>
        <v>122.31317987308807</v>
      </c>
      <c r="O694" s="65"/>
      <c r="P694" s="65"/>
      <c r="Q694" s="282">
        <v>3840</v>
      </c>
      <c r="R694" s="65">
        <v>16</v>
      </c>
      <c r="S694" s="65">
        <v>80</v>
      </c>
      <c r="T694" s="449">
        <v>2072</v>
      </c>
      <c r="U694" s="65">
        <v>8</v>
      </c>
      <c r="V694" s="65">
        <v>2688</v>
      </c>
      <c r="W694" s="71">
        <v>470</v>
      </c>
      <c r="X694" s="115">
        <v>510740</v>
      </c>
      <c r="Y694" s="87"/>
      <c r="Z694" s="141"/>
      <c r="AA694" s="371">
        <f>1000*M694/Q694</f>
        <v>2327.5911458333335</v>
      </c>
      <c r="AB694" s="54"/>
      <c r="AC694" s="281">
        <f>T694/V694</f>
        <v>0.77083333333333337</v>
      </c>
      <c r="AD694" s="191">
        <f>(512*72*V694+4096*72*W694)/1000000</f>
        <v>237.699072</v>
      </c>
      <c r="AE694" s="1381">
        <v>1592.8959359999999</v>
      </c>
      <c r="AF694" s="1049">
        <f t="shared" si="287"/>
        <v>60.933054000078315</v>
      </c>
      <c r="AG694" s="492" t="s">
        <v>2197</v>
      </c>
    </row>
    <row r="695" spans="1:33" x14ac:dyDescent="0.2">
      <c r="A695" s="188"/>
      <c r="B695" s="41"/>
      <c r="C695" s="227"/>
      <c r="D695" s="229"/>
      <c r="E695" s="41" t="s">
        <v>2278</v>
      </c>
      <c r="F695" s="143"/>
      <c r="G695" s="128"/>
      <c r="H695" s="128">
        <v>35</v>
      </c>
      <c r="I695" s="430">
        <v>364</v>
      </c>
      <c r="J695" s="138"/>
      <c r="K695" s="44"/>
      <c r="L695" s="456">
        <f>8*X695/1000</f>
        <v>1029.568</v>
      </c>
      <c r="M695" s="457">
        <f>17.5*X695/1000</f>
        <v>2252.1799999999998</v>
      </c>
      <c r="N695" s="65"/>
      <c r="O695" s="65"/>
      <c r="P695" s="65"/>
      <c r="Q695" s="282">
        <v>1320</v>
      </c>
      <c r="R695" s="65">
        <v>32</v>
      </c>
      <c r="S695" s="65">
        <v>38</v>
      </c>
      <c r="T695" s="449">
        <v>644</v>
      </c>
      <c r="U695" s="65">
        <v>4</v>
      </c>
      <c r="V695" s="65">
        <v>2016</v>
      </c>
      <c r="W695" s="65">
        <v>336</v>
      </c>
      <c r="X695" s="115">
        <v>128696</v>
      </c>
      <c r="Y695" s="87"/>
      <c r="Z695" s="141"/>
      <c r="AA695" s="371">
        <f>1000*M695/Q695</f>
        <v>1706.1969696969697</v>
      </c>
      <c r="AB695" s="54"/>
      <c r="AC695" s="281">
        <f>T695/V695</f>
        <v>0.31944444444444442</v>
      </c>
      <c r="AD695" s="191">
        <f>(512*72*V695+4096*72*W695)/1000000</f>
        <v>173.40825599999999</v>
      </c>
      <c r="AE695" s="197">
        <v>906.54700800000001</v>
      </c>
      <c r="AF695" s="1049"/>
      <c r="AG695" s="492"/>
    </row>
    <row r="696" spans="1:33" x14ac:dyDescent="0.2">
      <c r="A696" s="188"/>
      <c r="B696" s="41"/>
      <c r="C696" s="227"/>
      <c r="D696" s="229"/>
      <c r="E696" s="41" t="s">
        <v>2009</v>
      </c>
      <c r="F696" s="143"/>
      <c r="G696" s="128"/>
      <c r="H696" s="128">
        <v>52</v>
      </c>
      <c r="I696" s="430">
        <v>520</v>
      </c>
      <c r="J696" s="138"/>
      <c r="K696" s="44"/>
      <c r="L696" s="456">
        <f t="shared" si="307"/>
        <v>259.2</v>
      </c>
      <c r="M696" s="457">
        <f t="shared" si="306"/>
        <v>567</v>
      </c>
      <c r="N696" s="65"/>
      <c r="O696" s="65"/>
      <c r="P696" s="65"/>
      <c r="Q696" s="282">
        <v>9216</v>
      </c>
      <c r="R696" s="65">
        <v>32</v>
      </c>
      <c r="S696" s="65">
        <v>64</v>
      </c>
      <c r="T696" s="449">
        <v>520</v>
      </c>
      <c r="U696" s="65">
        <v>1</v>
      </c>
      <c r="V696" s="65">
        <v>2016</v>
      </c>
      <c r="W696" s="65">
        <v>960</v>
      </c>
      <c r="X696" s="115">
        <v>32400</v>
      </c>
      <c r="Y696" s="87"/>
      <c r="Z696" s="141"/>
      <c r="AA696" s="371">
        <f t="shared" si="309"/>
        <v>61.5234375</v>
      </c>
      <c r="AB696" s="54"/>
      <c r="AC696" s="281">
        <f t="shared" si="310"/>
        <v>0.25793650793650796</v>
      </c>
      <c r="AD696" s="191">
        <f t="shared" si="311"/>
        <v>357.43334399999998</v>
      </c>
      <c r="AE696" s="197">
        <v>906.54700800000001</v>
      </c>
      <c r="AF696" s="1049"/>
      <c r="AG696" s="492"/>
    </row>
    <row r="697" spans="1:33" x14ac:dyDescent="0.2">
      <c r="A697" s="188"/>
      <c r="B697" s="41"/>
      <c r="C697" s="227"/>
      <c r="D697" s="229"/>
      <c r="E697" s="41" t="s">
        <v>2010</v>
      </c>
      <c r="F697" s="143"/>
      <c r="G697" s="128"/>
      <c r="H697" s="128">
        <v>52</v>
      </c>
      <c r="I697" s="430">
        <v>676</v>
      </c>
      <c r="J697" s="138"/>
      <c r="K697" s="44"/>
      <c r="L697" s="456">
        <f t="shared" si="307"/>
        <v>3456</v>
      </c>
      <c r="M697" s="457">
        <f t="shared" si="306"/>
        <v>7560</v>
      </c>
      <c r="N697" s="65"/>
      <c r="O697" s="65"/>
      <c r="P697" s="65"/>
      <c r="Q697" s="282">
        <v>12288</v>
      </c>
      <c r="R697" s="65">
        <v>40</v>
      </c>
      <c r="S697" s="65">
        <v>80</v>
      </c>
      <c r="T697" s="449">
        <v>676</v>
      </c>
      <c r="U697" s="65">
        <v>1</v>
      </c>
      <c r="V697" s="65">
        <v>2688</v>
      </c>
      <c r="W697" s="65">
        <v>1280</v>
      </c>
      <c r="X697" s="115">
        <v>432000</v>
      </c>
      <c r="Y697" s="87"/>
      <c r="Z697" s="141"/>
      <c r="AA697" s="371">
        <f t="shared" si="309"/>
        <v>615.234375</v>
      </c>
      <c r="AB697" s="54"/>
      <c r="AC697" s="281">
        <f t="shared" si="310"/>
        <v>0.25148809523809523</v>
      </c>
      <c r="AD697" s="191">
        <f t="shared" si="311"/>
        <v>476.57779199999999</v>
      </c>
      <c r="AE697" s="197">
        <v>906.54700800000001</v>
      </c>
      <c r="AF697" s="1049">
        <f t="shared" si="287"/>
        <v>38.939842592592591</v>
      </c>
      <c r="AG697" s="492"/>
    </row>
    <row r="698" spans="1:33" x14ac:dyDescent="0.2">
      <c r="A698" s="188"/>
      <c r="B698" s="41"/>
      <c r="C698" s="227"/>
      <c r="D698" s="229"/>
      <c r="E698" s="41" t="s">
        <v>1914</v>
      </c>
      <c r="F698" s="143"/>
      <c r="G698" s="128"/>
      <c r="H698" s="128">
        <v>45</v>
      </c>
      <c r="I698" s="430">
        <v>208</v>
      </c>
      <c r="J698" s="138"/>
      <c r="K698" s="44"/>
      <c r="L698" s="456">
        <f t="shared" si="307"/>
        <v>439.68</v>
      </c>
      <c r="M698" s="457">
        <f t="shared" si="306"/>
        <v>961.8</v>
      </c>
      <c r="N698" s="65" t="str">
        <f t="shared" si="308"/>
        <v/>
      </c>
      <c r="O698" s="65"/>
      <c r="P698" s="65"/>
      <c r="Q698" s="282">
        <v>2880</v>
      </c>
      <c r="R698" s="65">
        <v>16</v>
      </c>
      <c r="S698" s="65">
        <v>32</v>
      </c>
      <c r="T698" s="449">
        <v>208</v>
      </c>
      <c r="U698" s="65">
        <v>4</v>
      </c>
      <c r="V698" s="65">
        <v>640</v>
      </c>
      <c r="W698" s="65">
        <v>306</v>
      </c>
      <c r="X698" s="115">
        <v>54960</v>
      </c>
      <c r="Y698" s="87"/>
      <c r="Z698" s="141"/>
      <c r="AA698" s="371">
        <f t="shared" si="309"/>
        <v>333.95833333333331</v>
      </c>
      <c r="AB698" s="54"/>
      <c r="AC698" s="281">
        <f t="shared" si="310"/>
        <v>0.32500000000000001</v>
      </c>
      <c r="AD698" s="191">
        <f t="shared" si="311"/>
        <v>113.836032</v>
      </c>
      <c r="AE698" s="197">
        <v>226.63292799999999</v>
      </c>
      <c r="AF698" s="1049">
        <f t="shared" si="287"/>
        <v>76.965053372149441</v>
      </c>
      <c r="AG698" s="492" t="s">
        <v>2199</v>
      </c>
    </row>
    <row r="699" spans="1:33" x14ac:dyDescent="0.2">
      <c r="A699" s="188"/>
      <c r="B699" s="41"/>
      <c r="C699" s="227"/>
      <c r="D699" s="229"/>
      <c r="E699" s="41" t="s">
        <v>1915</v>
      </c>
      <c r="F699" s="143"/>
      <c r="G699" s="128"/>
      <c r="H699" s="128">
        <v>47.5</v>
      </c>
      <c r="I699" s="430">
        <v>208</v>
      </c>
      <c r="J699" s="138"/>
      <c r="K699" s="44"/>
      <c r="L699" s="456">
        <f t="shared" si="307"/>
        <v>439.68</v>
      </c>
      <c r="M699" s="457">
        <f t="shared" si="306"/>
        <v>961.8</v>
      </c>
      <c r="N699" s="65" t="str">
        <f t="shared" si="308"/>
        <v/>
      </c>
      <c r="O699" s="65"/>
      <c r="P699" s="65"/>
      <c r="Q699" s="282">
        <v>2880</v>
      </c>
      <c r="R699" s="65">
        <v>16</v>
      </c>
      <c r="S699" s="65">
        <v>32</v>
      </c>
      <c r="T699" s="449">
        <v>208</v>
      </c>
      <c r="U699" s="65">
        <v>4</v>
      </c>
      <c r="V699" s="65">
        <v>640</v>
      </c>
      <c r="W699" s="65">
        <v>306</v>
      </c>
      <c r="X699" s="115">
        <v>54960</v>
      </c>
      <c r="Y699" s="87"/>
      <c r="Z699" s="141"/>
      <c r="AA699" s="371">
        <f t="shared" si="309"/>
        <v>333.95833333333331</v>
      </c>
      <c r="AB699" s="54"/>
      <c r="AC699" s="281">
        <f t="shared" si="310"/>
        <v>0.32500000000000001</v>
      </c>
      <c r="AD699" s="191">
        <f t="shared" si="311"/>
        <v>113.836032</v>
      </c>
      <c r="AE699" s="197">
        <v>226.63292799999999</v>
      </c>
      <c r="AF699" s="1049">
        <f t="shared" si="287"/>
        <v>76.965053372149441</v>
      </c>
      <c r="AG699" s="492" t="s">
        <v>2200</v>
      </c>
    </row>
    <row r="700" spans="1:33" x14ac:dyDescent="0.2">
      <c r="A700" s="188"/>
      <c r="B700" s="41"/>
      <c r="C700" s="227"/>
      <c r="D700" s="229"/>
      <c r="E700" s="41" t="s">
        <v>1916</v>
      </c>
      <c r="F700" s="143"/>
      <c r="G700" s="128"/>
      <c r="H700" s="128">
        <v>47.5</v>
      </c>
      <c r="I700" s="430">
        <v>416</v>
      </c>
      <c r="J700" s="138"/>
      <c r="K700" s="44"/>
      <c r="L700" s="456">
        <f>8*X700/1000</f>
        <v>871.68</v>
      </c>
      <c r="M700" s="457">
        <f>17.5*X700/1000</f>
        <v>1906.8</v>
      </c>
      <c r="N700" s="65" t="str">
        <f>IF(AND(G700&lt;&gt;"",M700&lt;&gt;""),1000*M700/G700,"")</f>
        <v/>
      </c>
      <c r="O700" s="65"/>
      <c r="P700" s="65"/>
      <c r="Q700" s="282">
        <v>5952</v>
      </c>
      <c r="R700" s="65">
        <v>32</v>
      </c>
      <c r="S700" s="65">
        <v>64</v>
      </c>
      <c r="T700" s="449">
        <v>416</v>
      </c>
      <c r="U700" s="65">
        <v>5</v>
      </c>
      <c r="V700" s="65">
        <v>1344</v>
      </c>
      <c r="W700" s="65">
        <v>640</v>
      </c>
      <c r="X700" s="115">
        <v>108960</v>
      </c>
      <c r="Y700" s="87"/>
      <c r="Z700" s="141"/>
      <c r="AA700" s="371">
        <f>1000*M700/Q700</f>
        <v>320.36290322580646</v>
      </c>
      <c r="AB700" s="54"/>
      <c r="AC700" s="281">
        <f>T700/V700</f>
        <v>0.30952380952380953</v>
      </c>
      <c r="AD700" s="191">
        <f>(512*72*V700+4096*72*W700)/1000000</f>
        <v>238.28889599999999</v>
      </c>
      <c r="AE700" s="197">
        <v>453.27948800000001</v>
      </c>
      <c r="AF700" s="1049">
        <f t="shared" si="287"/>
        <v>77.194664708761621</v>
      </c>
      <c r="AG700" s="492" t="s">
        <v>2200</v>
      </c>
    </row>
    <row r="701" spans="1:33" x14ac:dyDescent="0.2">
      <c r="A701" s="188"/>
      <c r="B701" s="41"/>
      <c r="C701" s="227"/>
      <c r="D701" s="229"/>
      <c r="E701" s="41" t="s">
        <v>1917</v>
      </c>
      <c r="F701" s="143"/>
      <c r="G701" s="128"/>
      <c r="H701" s="128">
        <v>55</v>
      </c>
      <c r="I701" s="430">
        <v>624</v>
      </c>
      <c r="J701" s="138"/>
      <c r="K701" s="44"/>
      <c r="L701" s="456">
        <f>8*X701/1000</f>
        <v>1303.68</v>
      </c>
      <c r="M701" s="457">
        <f>17.5*X701/1000</f>
        <v>2851.8</v>
      </c>
      <c r="N701" s="65" t="str">
        <f>IF(AND(G701&lt;&gt;"",M701&lt;&gt;""),1000*M701/G701,"")</f>
        <v/>
      </c>
      <c r="O701" s="65"/>
      <c r="P701" s="65"/>
      <c r="Q701" s="282">
        <v>9024</v>
      </c>
      <c r="R701" s="65">
        <v>48</v>
      </c>
      <c r="S701" s="65">
        <v>96</v>
      </c>
      <c r="T701" s="449">
        <v>624</v>
      </c>
      <c r="U701" s="65">
        <v>6</v>
      </c>
      <c r="V701" s="65">
        <v>2016</v>
      </c>
      <c r="W701" s="65">
        <v>960</v>
      </c>
      <c r="X701" s="115">
        <v>162960</v>
      </c>
      <c r="Y701" s="87"/>
      <c r="Z701" s="141"/>
      <c r="AA701" s="371">
        <f>1000*M701/Q701</f>
        <v>316.02393617021278</v>
      </c>
      <c r="AB701" s="54"/>
      <c r="AC701" s="281">
        <f>T701/V701</f>
        <v>0.30952380952380953</v>
      </c>
      <c r="AD701" s="191">
        <f>(512*72*V701+4096*72*W701)/1000000</f>
        <v>357.43334399999998</v>
      </c>
      <c r="AE701" s="197">
        <v>679.91324799999995</v>
      </c>
      <c r="AF701" s="1049">
        <f t="shared" si="287"/>
        <v>77.421277205040099</v>
      </c>
      <c r="AG701" s="492" t="s">
        <v>2200</v>
      </c>
    </row>
    <row r="702" spans="1:33" x14ac:dyDescent="0.2">
      <c r="A702" s="188"/>
      <c r="B702" s="41"/>
      <c r="C702" s="227"/>
      <c r="D702" s="229"/>
      <c r="E702" s="41" t="s">
        <v>2195</v>
      </c>
      <c r="F702" s="143"/>
      <c r="G702" s="128"/>
      <c r="H702" s="128">
        <v>47.5</v>
      </c>
      <c r="I702" s="430">
        <v>416</v>
      </c>
      <c r="J702" s="138"/>
      <c r="K702" s="44"/>
      <c r="L702" s="456">
        <f>8*X702/1000</f>
        <v>871.84</v>
      </c>
      <c r="M702" s="457">
        <f>17.5*X702/1000</f>
        <v>1907.15</v>
      </c>
      <c r="N702" s="65" t="str">
        <f>IF(AND(G702&lt;&gt;"",M702&lt;&gt;""),1000*M702/G702,"")</f>
        <v/>
      </c>
      <c r="O702" s="65"/>
      <c r="P702" s="65"/>
      <c r="Q702" s="282">
        <v>5952</v>
      </c>
      <c r="R702" s="65">
        <v>32</v>
      </c>
      <c r="S702" s="65">
        <v>64</v>
      </c>
      <c r="T702" s="449">
        <v>416</v>
      </c>
      <c r="U702" s="65">
        <v>5</v>
      </c>
      <c r="V702" s="65">
        <v>1344</v>
      </c>
      <c r="W702" s="65">
        <v>640</v>
      </c>
      <c r="X702" s="115">
        <v>108980</v>
      </c>
      <c r="Y702" s="87"/>
      <c r="Z702" s="141"/>
      <c r="AA702" s="371">
        <f>1000*M702/Q702</f>
        <v>320.4217069892473</v>
      </c>
      <c r="AB702" s="54"/>
      <c r="AC702" s="281">
        <f>T702/V702</f>
        <v>0.30952380952380953</v>
      </c>
      <c r="AD702" s="191">
        <f>(512*72*V702+4096*72*W702)/1000000</f>
        <v>238.28889599999999</v>
      </c>
      <c r="AE702" s="197">
        <v>453.27948800000001</v>
      </c>
      <c r="AF702" s="1049">
        <f t="shared" si="287"/>
        <v>77.180497950694317</v>
      </c>
      <c r="AG702" s="492" t="s">
        <v>2198</v>
      </c>
    </row>
    <row r="703" spans="1:33" ht="13.5" thickBot="1" x14ac:dyDescent="0.25">
      <c r="A703" s="188"/>
      <c r="B703" s="33"/>
      <c r="C703" s="228"/>
      <c r="D703" s="231"/>
      <c r="E703" s="33" t="s">
        <v>2196</v>
      </c>
      <c r="F703" s="144"/>
      <c r="G703" s="130"/>
      <c r="H703" s="130">
        <v>55</v>
      </c>
      <c r="I703" s="418">
        <v>624</v>
      </c>
      <c r="J703" s="150"/>
      <c r="K703" s="35"/>
      <c r="L703" s="458">
        <f t="shared" si="307"/>
        <v>1304</v>
      </c>
      <c r="M703" s="459">
        <f t="shared" si="306"/>
        <v>2852.5</v>
      </c>
      <c r="N703" s="68" t="str">
        <f t="shared" si="308"/>
        <v/>
      </c>
      <c r="O703" s="68"/>
      <c r="P703" s="68"/>
      <c r="Q703" s="295">
        <v>9024</v>
      </c>
      <c r="R703" s="68">
        <v>48</v>
      </c>
      <c r="S703" s="68">
        <v>96</v>
      </c>
      <c r="T703" s="450">
        <v>624</v>
      </c>
      <c r="U703" s="68">
        <v>6</v>
      </c>
      <c r="V703" s="68">
        <v>2016</v>
      </c>
      <c r="W703" s="68">
        <v>960</v>
      </c>
      <c r="X703" s="116">
        <v>163000</v>
      </c>
      <c r="Y703" s="205"/>
      <c r="Z703" s="142"/>
      <c r="AA703" s="374">
        <f t="shared" si="309"/>
        <v>316.10150709219857</v>
      </c>
      <c r="AB703" s="55"/>
      <c r="AC703" s="294">
        <f t="shared" si="310"/>
        <v>0.30952380952380953</v>
      </c>
      <c r="AD703" s="192">
        <f t="shared" si="311"/>
        <v>357.43334399999998</v>
      </c>
      <c r="AE703" s="199">
        <v>679.91324799999995</v>
      </c>
      <c r="AF703" s="1049">
        <f t="shared" si="287"/>
        <v>77.402278118609402</v>
      </c>
      <c r="AG703" s="492" t="s">
        <v>2198</v>
      </c>
    </row>
    <row r="704" spans="1:33" x14ac:dyDescent="0.2">
      <c r="A704" s="182"/>
      <c r="B704" s="48" t="s">
        <v>715</v>
      </c>
      <c r="C704" s="226"/>
      <c r="D704" s="212"/>
      <c r="E704" s="12" t="s">
        <v>2064</v>
      </c>
      <c r="F704" s="466" t="s">
        <v>2063</v>
      </c>
      <c r="G704" s="14" t="s">
        <v>22</v>
      </c>
      <c r="H704" s="497" t="s">
        <v>2091</v>
      </c>
      <c r="I704" s="132" t="s">
        <v>1879</v>
      </c>
      <c r="J704" s="15"/>
      <c r="K704" s="16" t="s">
        <v>22</v>
      </c>
      <c r="L704" s="248" t="s">
        <v>665</v>
      </c>
      <c r="M704" s="383" t="s">
        <v>1704</v>
      </c>
      <c r="N704" s="380">
        <f>AVERAGE(N705:N734)</f>
        <v>90.777990995066801</v>
      </c>
      <c r="O704" s="382">
        <f>AVERAGE(O705:O834)</f>
        <v>248.26007448528011</v>
      </c>
      <c r="P704" s="60" t="s">
        <v>1171</v>
      </c>
      <c r="Q704" s="399" t="s">
        <v>2085</v>
      </c>
      <c r="R704" s="61" t="s">
        <v>2084</v>
      </c>
      <c r="S704" s="399" t="s">
        <v>2083</v>
      </c>
      <c r="T704" s="1310" t="s">
        <v>11</v>
      </c>
      <c r="U704" s="61" t="s">
        <v>2070</v>
      </c>
      <c r="V704" s="74" t="s">
        <v>433</v>
      </c>
      <c r="W704" s="491" t="s">
        <v>1638</v>
      </c>
      <c r="X704" s="109" t="s">
        <v>2106</v>
      </c>
      <c r="Y704" s="80" t="s">
        <v>695</v>
      </c>
      <c r="Z704" s="206"/>
      <c r="AA704" s="370">
        <f>AVERAGE(AA705:AA734)</f>
        <v>703.53329714246399</v>
      </c>
      <c r="AB704" s="92">
        <f>AVERAGE(AB705:AB834)</f>
        <v>514.92444444444448</v>
      </c>
      <c r="AC704" s="1452">
        <f>AVERAGE(AC705:AC734)</f>
        <v>1.5523847422321431</v>
      </c>
      <c r="AD704" s="109" t="s">
        <v>650</v>
      </c>
      <c r="AE704" s="195"/>
      <c r="AF704" s="196" t="e">
        <f>AVERAGE(#REF!)</f>
        <v>#REF!</v>
      </c>
      <c r="AG704" s="492" t="s">
        <v>2082</v>
      </c>
    </row>
    <row r="705" spans="1:33" s="493" customFormat="1" x14ac:dyDescent="0.2">
      <c r="A705" s="188"/>
      <c r="B705" s="41"/>
      <c r="C705" s="230"/>
      <c r="D705" s="229"/>
      <c r="E705" s="41" t="s">
        <v>2065</v>
      </c>
      <c r="F705" s="143"/>
      <c r="G705" s="1038"/>
      <c r="H705" s="1038">
        <v>31</v>
      </c>
      <c r="I705" s="1039">
        <v>486</v>
      </c>
      <c r="J705" s="1040"/>
      <c r="K705" s="1041"/>
      <c r="L705" s="896">
        <v>246.78399999999999</v>
      </c>
      <c r="M705" s="457">
        <f>17.5*L705/8</f>
        <v>539.84</v>
      </c>
      <c r="N705" s="469"/>
      <c r="O705" s="469"/>
      <c r="P705" s="469">
        <v>4</v>
      </c>
      <c r="Q705" s="469">
        <v>928</v>
      </c>
      <c r="R705" s="469">
        <v>1</v>
      </c>
      <c r="S705" s="469">
        <v>1</v>
      </c>
      <c r="T705" s="1043">
        <v>508</v>
      </c>
      <c r="U705" s="469">
        <v>128</v>
      </c>
      <c r="V705" s="469">
        <v>488</v>
      </c>
      <c r="W705" s="1004">
        <v>142</v>
      </c>
      <c r="X705" s="1044">
        <f>1000*L705/32</f>
        <v>7712</v>
      </c>
      <c r="Y705" s="87"/>
      <c r="Z705" s="1045"/>
      <c r="AA705" s="371">
        <f t="shared" si="309"/>
        <v>581.72413793103453</v>
      </c>
      <c r="AB705" s="93"/>
      <c r="AC705" s="281">
        <f t="shared" si="310"/>
        <v>1.040983606557377</v>
      </c>
      <c r="AD705" s="191">
        <f>(U705*256*1024+V705*1024*36+W705*4096*72)/1000000</f>
        <v>93.421567999999994</v>
      </c>
      <c r="AE705" s="1048"/>
      <c r="AF705" s="1049"/>
      <c r="AG705" s="492" t="s">
        <v>2081</v>
      </c>
    </row>
    <row r="706" spans="1:33" x14ac:dyDescent="0.2">
      <c r="A706" s="188"/>
      <c r="B706" s="41"/>
      <c r="C706" s="227"/>
      <c r="D706" s="229"/>
      <c r="E706" s="41" t="s">
        <v>2066</v>
      </c>
      <c r="F706" s="143"/>
      <c r="G706" s="128"/>
      <c r="H706" s="128">
        <v>31</v>
      </c>
      <c r="I706" s="430">
        <v>486</v>
      </c>
      <c r="J706" s="138"/>
      <c r="K706" s="44"/>
      <c r="L706" s="456">
        <v>364.54399999999998</v>
      </c>
      <c r="M706" s="457">
        <f t="shared" ref="M706:M741" si="312">17.5*L706/8</f>
        <v>797.43999999999994</v>
      </c>
      <c r="N706" s="65"/>
      <c r="O706" s="65"/>
      <c r="P706" s="65">
        <v>4</v>
      </c>
      <c r="Q706" s="282">
        <v>1312</v>
      </c>
      <c r="R706" s="65">
        <v>4</v>
      </c>
      <c r="S706" s="65">
        <v>4</v>
      </c>
      <c r="T706" s="449">
        <v>544</v>
      </c>
      <c r="U706" s="65">
        <v>217</v>
      </c>
      <c r="V706" s="65">
        <v>515</v>
      </c>
      <c r="W706" s="71">
        <v>203</v>
      </c>
      <c r="X706" s="1044">
        <f t="shared" ref="X706:X741" si="313">1000*L706/32</f>
        <v>11392</v>
      </c>
      <c r="Y706" s="87"/>
      <c r="Z706" s="141"/>
      <c r="AA706" s="371">
        <f t="shared" si="309"/>
        <v>607.80487804878044</v>
      </c>
      <c r="AB706" s="54"/>
      <c r="AC706" s="281">
        <f t="shared" si="310"/>
        <v>1.0563106796116506</v>
      </c>
      <c r="AD706" s="191">
        <f t="shared" ref="AD706:AD711" si="314">(U706*32*1024+V706*1024*36+W706*4096*72)/1000000</f>
        <v>85.962751999999995</v>
      </c>
      <c r="AE706" s="446"/>
      <c r="AF706" s="198"/>
      <c r="AG706" s="492" t="s">
        <v>2092</v>
      </c>
    </row>
    <row r="707" spans="1:33" x14ac:dyDescent="0.2">
      <c r="A707" s="188"/>
      <c r="B707" s="41"/>
      <c r="C707" s="227"/>
      <c r="D707" s="229"/>
      <c r="E707" s="41" t="s">
        <v>2067</v>
      </c>
      <c r="F707" s="143"/>
      <c r="G707" s="128"/>
      <c r="H707" s="128">
        <v>35</v>
      </c>
      <c r="I707" s="430">
        <v>516</v>
      </c>
      <c r="J707" s="138"/>
      <c r="K707" s="44"/>
      <c r="L707" s="456">
        <v>466.68799999999999</v>
      </c>
      <c r="M707" s="457">
        <f t="shared" si="312"/>
        <v>1020.88</v>
      </c>
      <c r="N707" s="65"/>
      <c r="O707" s="65"/>
      <c r="P707" s="65">
        <v>4</v>
      </c>
      <c r="Q707" s="282">
        <v>1272</v>
      </c>
      <c r="R707" s="65">
        <v>3</v>
      </c>
      <c r="S707" s="65">
        <v>1</v>
      </c>
      <c r="T707" s="449">
        <v>524</v>
      </c>
      <c r="U707" s="65">
        <v>310</v>
      </c>
      <c r="V707" s="65">
        <v>787</v>
      </c>
      <c r="W707" s="71">
        <v>113</v>
      </c>
      <c r="X707" s="1044">
        <f t="shared" si="313"/>
        <v>14584</v>
      </c>
      <c r="Y707" s="87"/>
      <c r="Z707" s="141"/>
      <c r="AA707" s="371">
        <f t="shared" si="309"/>
        <v>802.57861635220127</v>
      </c>
      <c r="AB707" s="54"/>
      <c r="AC707" s="281">
        <f t="shared" si="310"/>
        <v>0.66581956797966968</v>
      </c>
      <c r="AD707" s="191">
        <f t="shared" si="314"/>
        <v>72.495103999999998</v>
      </c>
      <c r="AE707" s="446"/>
      <c r="AF707" s="198"/>
      <c r="AG707" s="492" t="s">
        <v>2090</v>
      </c>
    </row>
    <row r="708" spans="1:33" x14ac:dyDescent="0.2">
      <c r="A708" s="188"/>
      <c r="B708" s="41"/>
      <c r="C708" s="227"/>
      <c r="D708" s="229"/>
      <c r="E708" s="41" t="s">
        <v>2068</v>
      </c>
      <c r="F708" s="143"/>
      <c r="G708" s="128"/>
      <c r="H708" s="128">
        <v>40</v>
      </c>
      <c r="I708" s="430">
        <v>532</v>
      </c>
      <c r="J708" s="138"/>
      <c r="K708" s="44"/>
      <c r="L708" s="456">
        <v>725</v>
      </c>
      <c r="M708" s="457">
        <f t="shared" si="312"/>
        <v>1585.9375</v>
      </c>
      <c r="N708" s="65"/>
      <c r="O708" s="65"/>
      <c r="P708" s="65">
        <v>4</v>
      </c>
      <c r="Q708" s="282">
        <v>1600</v>
      </c>
      <c r="R708" s="65">
        <v>4</v>
      </c>
      <c r="S708" s="65">
        <v>4</v>
      </c>
      <c r="T708" s="449">
        <v>844</v>
      </c>
      <c r="U708" s="65">
        <v>300</v>
      </c>
      <c r="V708" s="65">
        <v>760</v>
      </c>
      <c r="W708" s="71">
        <v>383</v>
      </c>
      <c r="X708" s="1044">
        <f t="shared" si="313"/>
        <v>22656.25</v>
      </c>
      <c r="Y708" s="87"/>
      <c r="Z708" s="141"/>
      <c r="AA708" s="371">
        <f t="shared" si="309"/>
        <v>991.2109375</v>
      </c>
      <c r="AB708" s="54"/>
      <c r="AC708" s="281">
        <f t="shared" si="310"/>
        <v>1.1105263157894736</v>
      </c>
      <c r="AD708" s="191">
        <f t="shared" si="314"/>
        <v>150.79833600000001</v>
      </c>
      <c r="AE708" s="446"/>
      <c r="AF708" s="198"/>
      <c r="AG708" s="492" t="s">
        <v>2089</v>
      </c>
    </row>
    <row r="709" spans="1:33" x14ac:dyDescent="0.2">
      <c r="A709" s="188"/>
      <c r="B709" s="41"/>
      <c r="C709" s="227"/>
      <c r="D709" s="229" t="s">
        <v>703</v>
      </c>
      <c r="E709" s="41" t="s">
        <v>2069</v>
      </c>
      <c r="F709" s="143" t="s">
        <v>2529</v>
      </c>
      <c r="G709" s="128">
        <v>21683.67</v>
      </c>
      <c r="H709" s="128">
        <v>40</v>
      </c>
      <c r="I709" s="430">
        <v>532</v>
      </c>
      <c r="J709" s="138"/>
      <c r="K709" s="44"/>
      <c r="L709" s="456">
        <v>899.84</v>
      </c>
      <c r="M709" s="457">
        <f t="shared" si="312"/>
        <v>1968.4</v>
      </c>
      <c r="N709" s="65">
        <f>IF(AND(G709&lt;&gt;"",M709&lt;&gt;""),1000*M709/G709,"")</f>
        <v>90.777990995066801</v>
      </c>
      <c r="O709" s="65"/>
      <c r="P709" s="65">
        <v>4</v>
      </c>
      <c r="Q709" s="282">
        <v>1968</v>
      </c>
      <c r="R709" s="65">
        <v>4</v>
      </c>
      <c r="S709" s="65">
        <v>4</v>
      </c>
      <c r="T709" s="449">
        <v>844</v>
      </c>
      <c r="U709" s="65">
        <v>400</v>
      </c>
      <c r="V709" s="65">
        <v>922</v>
      </c>
      <c r="W709" s="71">
        <v>441</v>
      </c>
      <c r="X709" s="1044">
        <f t="shared" si="313"/>
        <v>28120</v>
      </c>
      <c r="Y709" s="87"/>
      <c r="Z709" s="141"/>
      <c r="AA709" s="371">
        <f t="shared" si="309"/>
        <v>1000.2032520325204</v>
      </c>
      <c r="AB709" s="54"/>
      <c r="AC709" s="281">
        <f t="shared" si="310"/>
        <v>0.91540130151843813</v>
      </c>
      <c r="AD709" s="191">
        <f t="shared" si="314"/>
        <v>177.15199999999999</v>
      </c>
      <c r="AE709" s="422"/>
      <c r="AF709" s="220"/>
      <c r="AG709" s="492" t="s">
        <v>2096</v>
      </c>
    </row>
    <row r="710" spans="1:33" x14ac:dyDescent="0.2">
      <c r="A710" s="188"/>
      <c r="B710" s="36"/>
      <c r="C710" s="296"/>
      <c r="D710" s="470"/>
      <c r="E710" s="41" t="s">
        <v>2498</v>
      </c>
      <c r="F710" s="440"/>
      <c r="G710" s="129"/>
      <c r="H710" s="128"/>
      <c r="I710" s="435"/>
      <c r="J710" s="140"/>
      <c r="K710" s="46"/>
      <c r="L710" s="1244">
        <v>375</v>
      </c>
      <c r="M710" s="1245">
        <f t="shared" si="312"/>
        <v>820.3125</v>
      </c>
      <c r="N710" s="71"/>
      <c r="O710" s="71"/>
      <c r="P710" s="65">
        <v>4</v>
      </c>
      <c r="Q710" s="299">
        <v>984</v>
      </c>
      <c r="R710" s="71"/>
      <c r="S710" s="71"/>
      <c r="T710" s="1246"/>
      <c r="U710" s="71">
        <v>152</v>
      </c>
      <c r="V710" s="71">
        <v>460</v>
      </c>
      <c r="W710" s="71">
        <v>214</v>
      </c>
      <c r="X710" s="1044">
        <f t="shared" si="313"/>
        <v>11718.75</v>
      </c>
      <c r="Y710" s="86"/>
      <c r="Z710" s="172"/>
      <c r="AA710" s="375">
        <f t="shared" si="309"/>
        <v>833.65091463414637</v>
      </c>
      <c r="AB710" s="56"/>
      <c r="AC710" s="281"/>
      <c r="AD710" s="191">
        <f t="shared" si="314"/>
        <v>85.049344000000005</v>
      </c>
      <c r="AE710" s="422"/>
      <c r="AF710" s="220"/>
      <c r="AG710" s="492" t="s">
        <v>2497</v>
      </c>
    </row>
    <row r="711" spans="1:33" x14ac:dyDescent="0.2">
      <c r="A711" s="188"/>
      <c r="B711" s="36"/>
      <c r="C711" s="296"/>
      <c r="D711" s="470"/>
      <c r="E711" s="41" t="s">
        <v>2499</v>
      </c>
      <c r="F711" s="440"/>
      <c r="G711" s="129"/>
      <c r="H711" s="128"/>
      <c r="I711" s="435"/>
      <c r="J711" s="140"/>
      <c r="K711" s="46"/>
      <c r="L711" s="1244">
        <v>520.70399999999995</v>
      </c>
      <c r="M711" s="1245">
        <f t="shared" si="312"/>
        <v>1139.04</v>
      </c>
      <c r="N711" s="71"/>
      <c r="O711" s="71"/>
      <c r="P711" s="65">
        <v>4</v>
      </c>
      <c r="Q711" s="299">
        <v>1312</v>
      </c>
      <c r="R711" s="71"/>
      <c r="S711" s="71"/>
      <c r="T711" s="1246"/>
      <c r="U711" s="71">
        <v>304</v>
      </c>
      <c r="V711" s="71">
        <v>570</v>
      </c>
      <c r="W711" s="71">
        <v>250</v>
      </c>
      <c r="X711" s="1044">
        <f t="shared" si="313"/>
        <v>16271.999999999998</v>
      </c>
      <c r="Y711" s="86"/>
      <c r="Z711" s="172"/>
      <c r="AA711" s="375">
        <f t="shared" si="309"/>
        <v>868.17073170731703</v>
      </c>
      <c r="AB711" s="56"/>
      <c r="AC711" s="281"/>
      <c r="AD711" s="191">
        <f t="shared" si="314"/>
        <v>104.70195200000001</v>
      </c>
      <c r="AE711" s="422"/>
      <c r="AF711" s="220"/>
      <c r="AG711" s="492" t="s">
        <v>2497</v>
      </c>
    </row>
    <row r="712" spans="1:33" x14ac:dyDescent="0.2">
      <c r="A712" s="188"/>
      <c r="B712" s="36"/>
      <c r="C712" s="296"/>
      <c r="D712" s="470"/>
      <c r="E712" s="41" t="s">
        <v>2489</v>
      </c>
      <c r="F712" s="440"/>
      <c r="G712" s="129"/>
      <c r="H712" s="128">
        <v>19</v>
      </c>
      <c r="I712" s="435"/>
      <c r="J712" s="140"/>
      <c r="K712" s="46"/>
      <c r="L712" s="1244">
        <v>20</v>
      </c>
      <c r="M712" s="1245">
        <f t="shared" si="312"/>
        <v>43.75</v>
      </c>
      <c r="N712" s="71"/>
      <c r="O712" s="71"/>
      <c r="P712" s="65">
        <v>4</v>
      </c>
      <c r="Q712" s="299">
        <v>90</v>
      </c>
      <c r="R712" s="71"/>
      <c r="S712" s="71"/>
      <c r="T712" s="1246">
        <v>294</v>
      </c>
      <c r="U712" s="71">
        <v>8</v>
      </c>
      <c r="V712" s="71">
        <v>22</v>
      </c>
      <c r="W712" s="71">
        <v>23</v>
      </c>
      <c r="X712" s="1044">
        <f t="shared" si="313"/>
        <v>625</v>
      </c>
      <c r="Y712" s="86"/>
      <c r="Z712" s="172"/>
      <c r="AA712" s="375">
        <f t="shared" si="309"/>
        <v>486.11111111111109</v>
      </c>
      <c r="AB712" s="56"/>
      <c r="AC712" s="281">
        <f t="shared" ref="AC712:AC718" si="315">T712/V712</f>
        <v>13.363636363636363</v>
      </c>
      <c r="AD712" s="191">
        <f t="shared" ref="AD712:AD718" si="316">(U712*32*1024+V712*1024*36+W712*4096*72)/1000000</f>
        <v>7.856128</v>
      </c>
      <c r="AE712" s="422"/>
      <c r="AF712" s="220"/>
      <c r="AG712" s="492" t="s">
        <v>2496</v>
      </c>
    </row>
    <row r="713" spans="1:33" x14ac:dyDescent="0.2">
      <c r="A713" s="188"/>
      <c r="B713" s="36"/>
      <c r="C713" s="296"/>
      <c r="D713" s="470"/>
      <c r="E713" s="41" t="s">
        <v>2491</v>
      </c>
      <c r="F713" s="440"/>
      <c r="G713" s="129"/>
      <c r="H713" s="128">
        <v>19</v>
      </c>
      <c r="I713" s="435"/>
      <c r="J713" s="140"/>
      <c r="K713" s="46"/>
      <c r="L713" s="1244">
        <v>36.607999999999997</v>
      </c>
      <c r="M713" s="1245">
        <f t="shared" si="312"/>
        <v>80.08</v>
      </c>
      <c r="N713" s="71"/>
      <c r="O713" s="71"/>
      <c r="P713" s="65">
        <v>4</v>
      </c>
      <c r="Q713" s="299">
        <v>176</v>
      </c>
      <c r="R713" s="71"/>
      <c r="S713" s="71"/>
      <c r="T713" s="1246">
        <v>294</v>
      </c>
      <c r="U713" s="71">
        <v>12</v>
      </c>
      <c r="V713" s="71">
        <v>46</v>
      </c>
      <c r="W713" s="71">
        <v>45</v>
      </c>
      <c r="X713" s="1044">
        <f t="shared" si="313"/>
        <v>1144</v>
      </c>
      <c r="Y713" s="86"/>
      <c r="Z713" s="172"/>
      <c r="AA713" s="375">
        <f t="shared" si="309"/>
        <v>455</v>
      </c>
      <c r="AB713" s="56"/>
      <c r="AC713" s="281">
        <f t="shared" si="315"/>
        <v>6.3913043478260869</v>
      </c>
      <c r="AD713" s="191">
        <f t="shared" si="316"/>
        <v>15.36</v>
      </c>
      <c r="AE713" s="422"/>
      <c r="AF713" s="220"/>
      <c r="AG713" s="492" t="s">
        <v>2496</v>
      </c>
    </row>
    <row r="714" spans="1:33" x14ac:dyDescent="0.2">
      <c r="A714" s="188"/>
      <c r="B714" s="36"/>
      <c r="C714" s="296"/>
      <c r="D714" s="470"/>
      <c r="E714" s="41" t="s">
        <v>2490</v>
      </c>
      <c r="F714" s="440"/>
      <c r="G714" s="129"/>
      <c r="H714" s="128">
        <v>23</v>
      </c>
      <c r="I714" s="435"/>
      <c r="J714" s="140"/>
      <c r="K714" s="46"/>
      <c r="L714" s="1244">
        <v>105</v>
      </c>
      <c r="M714" s="1245">
        <f t="shared" si="312"/>
        <v>229.6875</v>
      </c>
      <c r="N714" s="71"/>
      <c r="O714" s="71"/>
      <c r="P714" s="65">
        <v>4</v>
      </c>
      <c r="Q714" s="299">
        <v>324</v>
      </c>
      <c r="R714" s="71"/>
      <c r="S714" s="71"/>
      <c r="T714" s="1246">
        <v>316</v>
      </c>
      <c r="U714" s="71">
        <v>24</v>
      </c>
      <c r="V714" s="71">
        <v>104</v>
      </c>
      <c r="W714" s="71">
        <v>103</v>
      </c>
      <c r="X714" s="1044">
        <f t="shared" si="313"/>
        <v>3281.25</v>
      </c>
      <c r="Y714" s="86"/>
      <c r="Z714" s="172"/>
      <c r="AA714" s="375">
        <f t="shared" si="309"/>
        <v>708.91203703703707</v>
      </c>
      <c r="AB714" s="56"/>
      <c r="AC714" s="281">
        <f t="shared" si="315"/>
        <v>3.0384615384615383</v>
      </c>
      <c r="AD714" s="191">
        <f t="shared" si="316"/>
        <v>34.996223999999998</v>
      </c>
      <c r="AE714" s="422"/>
      <c r="AF714" s="220"/>
      <c r="AG714" s="492" t="s">
        <v>2496</v>
      </c>
    </row>
    <row r="715" spans="1:33" x14ac:dyDescent="0.2">
      <c r="A715" s="188"/>
      <c r="B715" s="36"/>
      <c r="C715" s="296"/>
      <c r="D715" s="470"/>
      <c r="E715" s="41" t="s">
        <v>2492</v>
      </c>
      <c r="F715" s="440"/>
      <c r="G715" s="129"/>
      <c r="H715" s="128">
        <v>23</v>
      </c>
      <c r="I715" s="435"/>
      <c r="J715" s="140"/>
      <c r="K715" s="46"/>
      <c r="L715" s="1244">
        <v>150.27199999999999</v>
      </c>
      <c r="M715" s="1245">
        <f t="shared" si="312"/>
        <v>328.71999999999997</v>
      </c>
      <c r="N715" s="71"/>
      <c r="O715" s="71"/>
      <c r="P715" s="65">
        <v>4</v>
      </c>
      <c r="Q715" s="299">
        <v>464</v>
      </c>
      <c r="R715" s="71"/>
      <c r="S715" s="71"/>
      <c r="T715" s="1246">
        <v>316</v>
      </c>
      <c r="U715" s="71">
        <v>34</v>
      </c>
      <c r="V715" s="71">
        <v>146</v>
      </c>
      <c r="W715" s="71">
        <v>148</v>
      </c>
      <c r="X715" s="1044">
        <f t="shared" si="313"/>
        <v>4696</v>
      </c>
      <c r="Y715" s="86"/>
      <c r="Z715" s="172"/>
      <c r="AA715" s="375">
        <f t="shared" si="309"/>
        <v>708.44827586206884</v>
      </c>
      <c r="AB715" s="56"/>
      <c r="AC715" s="281">
        <f t="shared" si="315"/>
        <v>2.1643835616438358</v>
      </c>
      <c r="AD715" s="191">
        <f t="shared" si="316"/>
        <v>50.143231999999998</v>
      </c>
      <c r="AE715" s="422"/>
      <c r="AF715" s="220"/>
      <c r="AG715" s="492" t="s">
        <v>2496</v>
      </c>
    </row>
    <row r="716" spans="1:33" x14ac:dyDescent="0.2">
      <c r="A716" s="188"/>
      <c r="B716" s="36"/>
      <c r="C716" s="296"/>
      <c r="D716" s="470"/>
      <c r="E716" s="41" t="s">
        <v>2493</v>
      </c>
      <c r="F716" s="440"/>
      <c r="G716" s="129"/>
      <c r="H716" s="128">
        <v>35</v>
      </c>
      <c r="I716" s="435"/>
      <c r="J716" s="140"/>
      <c r="K716" s="46"/>
      <c r="L716" s="1244">
        <v>448.512</v>
      </c>
      <c r="M716" s="1245">
        <f t="shared" si="312"/>
        <v>981.12</v>
      </c>
      <c r="N716" s="71"/>
      <c r="O716" s="71"/>
      <c r="P716" s="65">
        <v>4</v>
      </c>
      <c r="Q716" s="299">
        <v>1312</v>
      </c>
      <c r="R716" s="71"/>
      <c r="S716" s="71"/>
      <c r="T716" s="1246">
        <v>500</v>
      </c>
      <c r="U716" s="71">
        <v>304</v>
      </c>
      <c r="V716" s="71">
        <v>908</v>
      </c>
      <c r="W716" s="71">
        <v>440</v>
      </c>
      <c r="X716" s="1044">
        <f t="shared" si="313"/>
        <v>14016</v>
      </c>
      <c r="Y716" s="86"/>
      <c r="Z716" s="172"/>
      <c r="AA716" s="375">
        <f t="shared" si="309"/>
        <v>747.80487804878044</v>
      </c>
      <c r="AB716" s="56"/>
      <c r="AC716" s="281">
        <f t="shared" si="315"/>
        <v>0.5506607929515418</v>
      </c>
      <c r="AD716" s="191">
        <f t="shared" si="316"/>
        <v>173.19526400000001</v>
      </c>
      <c r="AE716" s="422"/>
      <c r="AF716" s="220"/>
      <c r="AG716" s="492" t="s">
        <v>2497</v>
      </c>
    </row>
    <row r="717" spans="1:33" x14ac:dyDescent="0.2">
      <c r="A717" s="188"/>
      <c r="B717" s="36"/>
      <c r="C717" s="296"/>
      <c r="D717" s="470"/>
      <c r="E717" s="41" t="s">
        <v>2494</v>
      </c>
      <c r="F717" s="440"/>
      <c r="G717" s="129"/>
      <c r="H717" s="128">
        <v>35</v>
      </c>
      <c r="I717" s="435"/>
      <c r="J717" s="140"/>
      <c r="K717" s="46"/>
      <c r="L717" s="1244">
        <v>375</v>
      </c>
      <c r="M717" s="1245">
        <f t="shared" si="312"/>
        <v>820.3125</v>
      </c>
      <c r="N717" s="71"/>
      <c r="O717" s="71"/>
      <c r="P717" s="65">
        <v>4</v>
      </c>
      <c r="Q717" s="299">
        <v>984</v>
      </c>
      <c r="R717" s="71"/>
      <c r="S717" s="71"/>
      <c r="T717" s="1246">
        <v>608</v>
      </c>
      <c r="U717" s="71">
        <v>152</v>
      </c>
      <c r="V717" s="71">
        <v>454</v>
      </c>
      <c r="W717" s="71">
        <v>214</v>
      </c>
      <c r="X717" s="1044">
        <f t="shared" si="313"/>
        <v>11718.75</v>
      </c>
      <c r="Y717" s="86"/>
      <c r="Z717" s="172"/>
      <c r="AA717" s="375">
        <f t="shared" si="309"/>
        <v>833.65091463414637</v>
      </c>
      <c r="AB717" s="56"/>
      <c r="AC717" s="281">
        <f t="shared" si="315"/>
        <v>1.3392070484581498</v>
      </c>
      <c r="AD717" s="191">
        <f t="shared" si="316"/>
        <v>84.828159999999997</v>
      </c>
      <c r="AE717" s="422"/>
      <c r="AF717" s="220"/>
      <c r="AG717" s="492" t="s">
        <v>2496</v>
      </c>
    </row>
    <row r="718" spans="1:33" x14ac:dyDescent="0.2">
      <c r="A718" s="188"/>
      <c r="B718" s="36"/>
      <c r="C718" s="296"/>
      <c r="D718" s="470"/>
      <c r="E718" s="41" t="s">
        <v>2495</v>
      </c>
      <c r="F718" s="440"/>
      <c r="G718" s="129"/>
      <c r="H718" s="128">
        <v>35</v>
      </c>
      <c r="I718" s="435"/>
      <c r="J718" s="140"/>
      <c r="K718" s="46"/>
      <c r="L718" s="1244">
        <v>520.70399999999995</v>
      </c>
      <c r="M718" s="1245">
        <f t="shared" si="312"/>
        <v>1139.04</v>
      </c>
      <c r="N718" s="71"/>
      <c r="O718" s="71"/>
      <c r="P718" s="65">
        <v>4</v>
      </c>
      <c r="Q718" s="299">
        <v>1312</v>
      </c>
      <c r="R718" s="71"/>
      <c r="S718" s="71"/>
      <c r="T718" s="1246">
        <v>608</v>
      </c>
      <c r="U718" s="71">
        <v>304</v>
      </c>
      <c r="V718" s="71">
        <v>572</v>
      </c>
      <c r="W718" s="71">
        <v>252</v>
      </c>
      <c r="X718" s="1044">
        <f t="shared" si="313"/>
        <v>16271.999999999998</v>
      </c>
      <c r="Y718" s="86"/>
      <c r="Z718" s="172"/>
      <c r="AA718" s="375">
        <f t="shared" si="309"/>
        <v>868.17073170731703</v>
      </c>
      <c r="AB718" s="56"/>
      <c r="AC718" s="281">
        <f t="shared" si="315"/>
        <v>1.0629370629370629</v>
      </c>
      <c r="AD718" s="191">
        <f t="shared" si="316"/>
        <v>105.365504</v>
      </c>
      <c r="AE718" s="422"/>
      <c r="AF718" s="220"/>
      <c r="AG718" s="492" t="s">
        <v>2496</v>
      </c>
    </row>
    <row r="719" spans="1:33" x14ac:dyDescent="0.2">
      <c r="A719" s="188"/>
      <c r="B719" s="36"/>
      <c r="C719" s="296"/>
      <c r="D719" s="470"/>
      <c r="E719" s="41" t="s">
        <v>2500</v>
      </c>
      <c r="F719" s="440"/>
      <c r="G719" s="129"/>
      <c r="H719" s="435">
        <v>57.5</v>
      </c>
      <c r="I719" s="435">
        <v>780</v>
      </c>
      <c r="J719" s="140"/>
      <c r="K719" s="46"/>
      <c r="L719" s="1244">
        <v>1753.9839999999999</v>
      </c>
      <c r="M719" s="1245">
        <f t="shared" si="312"/>
        <v>3836.8399999999997</v>
      </c>
      <c r="N719" s="71"/>
      <c r="O719" s="71"/>
      <c r="P719" s="65">
        <v>4</v>
      </c>
      <c r="Q719" s="299">
        <v>7392</v>
      </c>
      <c r="R719" s="71"/>
      <c r="S719" s="71"/>
      <c r="T719" s="1246">
        <v>780</v>
      </c>
      <c r="U719" s="71"/>
      <c r="V719" s="71">
        <v>2414</v>
      </c>
      <c r="W719" s="71">
        <v>1242</v>
      </c>
      <c r="X719" s="1044">
        <f t="shared" si="313"/>
        <v>54812</v>
      </c>
      <c r="Y719" s="86"/>
      <c r="Z719" s="172"/>
      <c r="AA719" s="375">
        <f t="shared" si="309"/>
        <v>519.05303030303025</v>
      </c>
      <c r="AB719" s="56"/>
      <c r="AC719" s="281">
        <f>T719/V719</f>
        <v>0.3231151615575808</v>
      </c>
      <c r="AD719" s="191">
        <f>(U719*32*1024+V719*1024*36+W719*4096*72)/1000000</f>
        <v>455.2704</v>
      </c>
      <c r="AE719" s="422"/>
      <c r="AF719" s="220"/>
      <c r="AG719" s="492" t="s">
        <v>2505</v>
      </c>
    </row>
    <row r="720" spans="1:33" x14ac:dyDescent="0.2">
      <c r="A720" s="188"/>
      <c r="B720" s="36"/>
      <c r="C720" s="296"/>
      <c r="D720" s="470"/>
      <c r="E720" s="41" t="s">
        <v>2501</v>
      </c>
      <c r="F720" s="440"/>
      <c r="G720" s="129"/>
      <c r="H720" s="435">
        <v>57.5</v>
      </c>
      <c r="I720" s="435">
        <v>780</v>
      </c>
      <c r="J720" s="140"/>
      <c r="K720" s="46"/>
      <c r="L720" s="1244">
        <v>1753.9839999999999</v>
      </c>
      <c r="M720" s="1245">
        <f>17.5*L720/8</f>
        <v>3836.8399999999997</v>
      </c>
      <c r="N720" s="71"/>
      <c r="O720" s="71"/>
      <c r="P720" s="65">
        <v>4</v>
      </c>
      <c r="Q720" s="299">
        <v>7392</v>
      </c>
      <c r="R720" s="71"/>
      <c r="S720" s="71"/>
      <c r="T720" s="1246">
        <v>780</v>
      </c>
      <c r="U720" s="71"/>
      <c r="V720" s="71">
        <v>2414</v>
      </c>
      <c r="W720" s="71">
        <v>1242</v>
      </c>
      <c r="X720" s="1044">
        <f>1000*L720/32</f>
        <v>54812</v>
      </c>
      <c r="Y720" s="86"/>
      <c r="Z720" s="172"/>
      <c r="AA720" s="375">
        <f t="shared" si="309"/>
        <v>519.05303030303025</v>
      </c>
      <c r="AB720" s="56"/>
      <c r="AC720" s="281">
        <f>T720/V720</f>
        <v>0.3231151615575808</v>
      </c>
      <c r="AD720" s="191">
        <f>(U720*32*1024+V720*1024*36+W720*4096*72)/1000000</f>
        <v>455.2704</v>
      </c>
      <c r="AE720" s="422"/>
      <c r="AF720" s="220"/>
      <c r="AG720" s="492" t="s">
        <v>2506</v>
      </c>
    </row>
    <row r="721" spans="1:33" x14ac:dyDescent="0.2">
      <c r="A721" s="188"/>
      <c r="B721" s="36"/>
      <c r="C721" s="296"/>
      <c r="D721" s="470"/>
      <c r="E721" s="41" t="s">
        <v>2502</v>
      </c>
      <c r="F721" s="440"/>
      <c r="G721" s="129"/>
      <c r="H721" s="435">
        <v>57.5</v>
      </c>
      <c r="I721" s="435">
        <v>780</v>
      </c>
      <c r="J721" s="140"/>
      <c r="K721" s="46"/>
      <c r="L721" s="1244">
        <v>1753.9839999999999</v>
      </c>
      <c r="M721" s="1245">
        <f>17.5*L721/8</f>
        <v>3836.8399999999997</v>
      </c>
      <c r="N721" s="71"/>
      <c r="O721" s="71"/>
      <c r="P721" s="65">
        <v>4</v>
      </c>
      <c r="Q721" s="299">
        <v>7392</v>
      </c>
      <c r="R721" s="71"/>
      <c r="S721" s="71"/>
      <c r="T721" s="1246">
        <v>780</v>
      </c>
      <c r="U721" s="71"/>
      <c r="V721" s="71">
        <v>2414</v>
      </c>
      <c r="W721" s="71">
        <v>1242</v>
      </c>
      <c r="X721" s="1044">
        <f>1000*L721/32</f>
        <v>54812</v>
      </c>
      <c r="Y721" s="86"/>
      <c r="Z721" s="172"/>
      <c r="AA721" s="375">
        <f t="shared" si="309"/>
        <v>519.05303030303025</v>
      </c>
      <c r="AB721" s="56"/>
      <c r="AC721" s="281">
        <f>T721/V721</f>
        <v>0.3231151615575808</v>
      </c>
      <c r="AD721" s="191">
        <f>(U721*32*1024+V721*1024*36+W721*4096*72)/1000000</f>
        <v>455.2704</v>
      </c>
      <c r="AE721" s="422"/>
      <c r="AF721" s="220"/>
      <c r="AG721" s="492" t="s">
        <v>2507</v>
      </c>
    </row>
    <row r="722" spans="1:33" x14ac:dyDescent="0.2">
      <c r="A722" s="188"/>
      <c r="B722" s="36"/>
      <c r="C722" s="296"/>
      <c r="D722" s="470"/>
      <c r="E722" s="41" t="s">
        <v>2503</v>
      </c>
      <c r="F722" s="440"/>
      <c r="G722" s="129"/>
      <c r="H722" s="435">
        <v>70</v>
      </c>
      <c r="I722" s="435">
        <v>780</v>
      </c>
      <c r="J722" s="140"/>
      <c r="K722" s="46"/>
      <c r="L722" s="1244">
        <v>2574.2080000000001</v>
      </c>
      <c r="M722" s="1245">
        <f>17.5*L722/8</f>
        <v>5631.08</v>
      </c>
      <c r="N722" s="71"/>
      <c r="O722" s="71"/>
      <c r="P722" s="65">
        <v>4</v>
      </c>
      <c r="Q722" s="299">
        <v>10848</v>
      </c>
      <c r="R722" s="71"/>
      <c r="S722" s="71"/>
      <c r="T722" s="1246">
        <v>780</v>
      </c>
      <c r="U722" s="71"/>
      <c r="V722" s="71">
        <v>3580</v>
      </c>
      <c r="W722" s="71">
        <v>1834</v>
      </c>
      <c r="X722" s="1044">
        <f>1000*L722/32</f>
        <v>80444</v>
      </c>
      <c r="Y722" s="86"/>
      <c r="Z722" s="172"/>
      <c r="AA722" s="375">
        <f t="shared" si="309"/>
        <v>519.08923303834808</v>
      </c>
      <c r="AB722" s="56"/>
      <c r="AC722" s="281">
        <f>T722/V722</f>
        <v>0.21787709497206703</v>
      </c>
      <c r="AD722" s="191">
        <f>(U722*32*1024+V722*1024*36+W722*4096*72)/1000000</f>
        <v>672.84172799999999</v>
      </c>
      <c r="AE722" s="422"/>
      <c r="AF722" s="220"/>
      <c r="AG722" s="492" t="s">
        <v>2506</v>
      </c>
    </row>
    <row r="723" spans="1:33" x14ac:dyDescent="0.2">
      <c r="A723" s="188"/>
      <c r="B723" s="36"/>
      <c r="C723" s="296"/>
      <c r="D723" s="470"/>
      <c r="E723" s="41" t="s">
        <v>2504</v>
      </c>
      <c r="F723" s="440"/>
      <c r="G723" s="129"/>
      <c r="H723" s="435">
        <v>70</v>
      </c>
      <c r="I723" s="435">
        <v>780</v>
      </c>
      <c r="J723" s="140"/>
      <c r="K723" s="46"/>
      <c r="L723" s="1244">
        <v>2574.2080000000001</v>
      </c>
      <c r="M723" s="1245">
        <f>17.5*L723/8</f>
        <v>5631.08</v>
      </c>
      <c r="N723" s="71"/>
      <c r="O723" s="71"/>
      <c r="P723" s="65">
        <v>4</v>
      </c>
      <c r="Q723" s="299">
        <v>10848</v>
      </c>
      <c r="R723" s="71"/>
      <c r="S723" s="71"/>
      <c r="T723" s="1246">
        <v>780</v>
      </c>
      <c r="U723" s="71"/>
      <c r="V723" s="71">
        <v>3580</v>
      </c>
      <c r="W723" s="71">
        <v>1834</v>
      </c>
      <c r="X723" s="1044">
        <f>1000*L723/32</f>
        <v>80444</v>
      </c>
      <c r="Y723" s="86"/>
      <c r="Z723" s="172"/>
      <c r="AA723" s="375">
        <f t="shared" si="309"/>
        <v>519.08923303834808</v>
      </c>
      <c r="AB723" s="56"/>
      <c r="AC723" s="281">
        <f>T723/V723</f>
        <v>0.21787709497206703</v>
      </c>
      <c r="AD723" s="191">
        <f>(U723*32*1024+V723*1024*36+W723*4096*72)/1000000</f>
        <v>672.84172799999999</v>
      </c>
      <c r="AE723" s="422"/>
      <c r="AF723" s="220"/>
      <c r="AG723" s="492" t="s">
        <v>2507</v>
      </c>
    </row>
    <row r="724" spans="1:33" x14ac:dyDescent="0.2">
      <c r="A724" s="188"/>
      <c r="B724" s="36"/>
      <c r="C724" s="296"/>
      <c r="D724" s="470"/>
      <c r="E724" s="41" t="s">
        <v>2071</v>
      </c>
      <c r="F724" s="440"/>
      <c r="G724" s="129"/>
      <c r="H724" s="128">
        <v>21</v>
      </c>
      <c r="I724" s="435">
        <v>320</v>
      </c>
      <c r="J724" s="140"/>
      <c r="K724" s="46"/>
      <c r="L724" s="1244">
        <v>150.27199999999999</v>
      </c>
      <c r="M724" s="1245">
        <f t="shared" si="312"/>
        <v>328.71999999999997</v>
      </c>
      <c r="N724" s="71"/>
      <c r="O724" s="71"/>
      <c r="P724" s="65">
        <v>4</v>
      </c>
      <c r="Q724" s="299">
        <v>464</v>
      </c>
      <c r="R724" s="71">
        <v>1</v>
      </c>
      <c r="S724" s="71">
        <v>1</v>
      </c>
      <c r="T724" s="1246">
        <v>328</v>
      </c>
      <c r="U724" s="71"/>
      <c r="V724" s="71">
        <v>217</v>
      </c>
      <c r="W724" s="71">
        <v>92</v>
      </c>
      <c r="X724" s="1044">
        <f t="shared" si="313"/>
        <v>4696</v>
      </c>
      <c r="Y724" s="86"/>
      <c r="Z724" s="172"/>
      <c r="AA724" s="375">
        <f t="shared" si="309"/>
        <v>708.44827586206884</v>
      </c>
      <c r="AB724" s="56"/>
      <c r="AC724" s="281">
        <f t="shared" ref="AC724:AC741" si="317">T724/V724</f>
        <v>1.5115207373271888</v>
      </c>
      <c r="AD724" s="191">
        <f t="shared" ref="AD724:AD741" si="318">(U724*32*1024+V724*1024*36+W724*4096*72)/1000000</f>
        <v>35.131391999999998</v>
      </c>
      <c r="AE724" s="422"/>
      <c r="AF724" s="220"/>
      <c r="AG724" s="492" t="s">
        <v>2086</v>
      </c>
    </row>
    <row r="725" spans="1:33" x14ac:dyDescent="0.2">
      <c r="A725" s="188"/>
      <c r="B725" s="36"/>
      <c r="C725" s="296"/>
      <c r="D725" s="470"/>
      <c r="E725" s="41" t="s">
        <v>2072</v>
      </c>
      <c r="F725" s="440"/>
      <c r="G725" s="129"/>
      <c r="H725" s="128">
        <v>31</v>
      </c>
      <c r="I725" s="435">
        <v>462</v>
      </c>
      <c r="J725" s="140"/>
      <c r="K725" s="46"/>
      <c r="L725" s="1244">
        <v>316.928</v>
      </c>
      <c r="M725" s="1245">
        <f t="shared" si="312"/>
        <v>693.28</v>
      </c>
      <c r="N725" s="71"/>
      <c r="O725" s="71"/>
      <c r="P725" s="65">
        <v>4</v>
      </c>
      <c r="Q725" s="299">
        <v>832</v>
      </c>
      <c r="R725" s="71">
        <v>2</v>
      </c>
      <c r="S725" s="71">
        <v>2</v>
      </c>
      <c r="T725" s="1246">
        <v>578</v>
      </c>
      <c r="U725" s="71"/>
      <c r="V725" s="71">
        <v>434</v>
      </c>
      <c r="W725" s="71">
        <v>159</v>
      </c>
      <c r="X725" s="1044">
        <f t="shared" si="313"/>
        <v>9904</v>
      </c>
      <c r="Y725" s="86"/>
      <c r="Z725" s="172"/>
      <c r="AA725" s="375">
        <f t="shared" si="309"/>
        <v>833.26923076923072</v>
      </c>
      <c r="AB725" s="56"/>
      <c r="AC725" s="281">
        <f t="shared" si="317"/>
        <v>1.3317972350230414</v>
      </c>
      <c r="AD725" s="191">
        <f t="shared" si="318"/>
        <v>62.889983999999998</v>
      </c>
      <c r="AE725" s="422"/>
      <c r="AF725" s="220"/>
      <c r="AG725" s="492" t="s">
        <v>2088</v>
      </c>
    </row>
    <row r="726" spans="1:33" x14ac:dyDescent="0.2">
      <c r="A726" s="188"/>
      <c r="B726" s="36"/>
      <c r="C726" s="296"/>
      <c r="D726" s="470"/>
      <c r="E726" s="36" t="s">
        <v>2073</v>
      </c>
      <c r="F726" s="440"/>
      <c r="G726" s="129"/>
      <c r="H726" s="129">
        <v>31</v>
      </c>
      <c r="I726" s="435">
        <v>462</v>
      </c>
      <c r="J726" s="140"/>
      <c r="K726" s="46"/>
      <c r="L726" s="1244">
        <v>565.76</v>
      </c>
      <c r="M726" s="1245">
        <f t="shared" si="312"/>
        <v>1237.5999999999999</v>
      </c>
      <c r="N726" s="71"/>
      <c r="O726" s="71"/>
      <c r="P726" s="65">
        <v>4</v>
      </c>
      <c r="Q726" s="299">
        <v>1696</v>
      </c>
      <c r="R726" s="71">
        <v>2</v>
      </c>
      <c r="S726" s="71">
        <v>2</v>
      </c>
      <c r="T726" s="1246">
        <v>578</v>
      </c>
      <c r="U726" s="71"/>
      <c r="V726" s="71">
        <v>1085</v>
      </c>
      <c r="W726" s="71">
        <v>159</v>
      </c>
      <c r="X726" s="1044">
        <f t="shared" si="313"/>
        <v>17680</v>
      </c>
      <c r="Y726" s="86"/>
      <c r="Z726" s="172"/>
      <c r="AA726" s="375">
        <f t="shared" si="309"/>
        <v>729.71698113207549</v>
      </c>
      <c r="AB726" s="56"/>
      <c r="AC726" s="281">
        <f t="shared" si="317"/>
        <v>0.53271889400921657</v>
      </c>
      <c r="AD726" s="191">
        <f t="shared" si="318"/>
        <v>86.888447999999997</v>
      </c>
      <c r="AE726" s="197"/>
      <c r="AF726" s="198"/>
      <c r="AG726" s="492" t="s">
        <v>2087</v>
      </c>
    </row>
    <row r="727" spans="1:33" x14ac:dyDescent="0.2">
      <c r="A727" s="188"/>
      <c r="B727" s="36"/>
      <c r="C727" s="296"/>
      <c r="D727" s="470"/>
      <c r="E727" s="36" t="s">
        <v>2074</v>
      </c>
      <c r="F727" s="440"/>
      <c r="G727" s="129"/>
      <c r="H727" s="129">
        <v>35</v>
      </c>
      <c r="I727" s="435">
        <v>470</v>
      </c>
      <c r="J727" s="140"/>
      <c r="K727" s="46"/>
      <c r="L727" s="1244">
        <v>448.512</v>
      </c>
      <c r="M727" s="1245">
        <f t="shared" si="312"/>
        <v>981.12</v>
      </c>
      <c r="N727" s="71"/>
      <c r="O727" s="71"/>
      <c r="P727" s="65">
        <v>4</v>
      </c>
      <c r="Q727" s="299">
        <v>1312</v>
      </c>
      <c r="R727" s="71">
        <v>4</v>
      </c>
      <c r="S727" s="71">
        <v>4</v>
      </c>
      <c r="T727" s="1246">
        <v>544</v>
      </c>
      <c r="U727" s="71"/>
      <c r="V727" s="71">
        <v>380</v>
      </c>
      <c r="W727" s="71">
        <v>203</v>
      </c>
      <c r="X727" s="1044">
        <f t="shared" si="313"/>
        <v>14016</v>
      </c>
      <c r="Y727" s="86"/>
      <c r="Z727" s="172"/>
      <c r="AA727" s="375">
        <f t="shared" si="309"/>
        <v>747.80487804878044</v>
      </c>
      <c r="AB727" s="56"/>
      <c r="AC727" s="281">
        <f t="shared" si="317"/>
        <v>1.4315789473684211</v>
      </c>
      <c r="AD727" s="191">
        <f t="shared" si="318"/>
        <v>73.875456</v>
      </c>
      <c r="AE727" s="197"/>
      <c r="AF727" s="198"/>
      <c r="AG727" s="492" t="s">
        <v>2093</v>
      </c>
    </row>
    <row r="728" spans="1:33" x14ac:dyDescent="0.2">
      <c r="A728" s="188"/>
      <c r="B728" s="36"/>
      <c r="C728" s="296"/>
      <c r="D728" s="470"/>
      <c r="E728" s="36" t="s">
        <v>2075</v>
      </c>
      <c r="F728" s="440"/>
      <c r="G728" s="129"/>
      <c r="H728" s="129">
        <v>40</v>
      </c>
      <c r="I728" s="435">
        <v>544</v>
      </c>
      <c r="J728" s="140"/>
      <c r="K728" s="46"/>
      <c r="L728" s="1244">
        <v>520.70399999999995</v>
      </c>
      <c r="M728" s="1245">
        <f t="shared" si="312"/>
        <v>1139.04</v>
      </c>
      <c r="N728" s="71"/>
      <c r="O728" s="71"/>
      <c r="P728" s="65">
        <v>4</v>
      </c>
      <c r="Q728" s="299">
        <v>1968</v>
      </c>
      <c r="R728" s="71">
        <v>4</v>
      </c>
      <c r="S728" s="71">
        <v>4</v>
      </c>
      <c r="T728" s="1246">
        <v>816</v>
      </c>
      <c r="U728" s="71"/>
      <c r="V728" s="71">
        <v>922</v>
      </c>
      <c r="W728" s="71">
        <v>441</v>
      </c>
      <c r="X728" s="1044">
        <f t="shared" si="313"/>
        <v>16271.999999999998</v>
      </c>
      <c r="Y728" s="86"/>
      <c r="Z728" s="172"/>
      <c r="AA728" s="375">
        <f t="shared" si="309"/>
        <v>578.78048780487802</v>
      </c>
      <c r="AB728" s="56"/>
      <c r="AC728" s="281">
        <f t="shared" si="317"/>
        <v>0.88503253796095449</v>
      </c>
      <c r="AD728" s="191">
        <f t="shared" si="318"/>
        <v>164.04480000000001</v>
      </c>
      <c r="AE728" s="197"/>
      <c r="AF728" s="198"/>
      <c r="AG728" s="492" t="s">
        <v>2080</v>
      </c>
    </row>
    <row r="729" spans="1:33" x14ac:dyDescent="0.2">
      <c r="A729" s="188"/>
      <c r="B729" s="36"/>
      <c r="C729" s="296"/>
      <c r="D729" s="470"/>
      <c r="E729" s="36" t="s">
        <v>2487</v>
      </c>
      <c r="F729" s="440"/>
      <c r="G729" s="129"/>
      <c r="H729" s="129">
        <v>45</v>
      </c>
      <c r="I729" s="435">
        <v>608</v>
      </c>
      <c r="J729" s="140"/>
      <c r="K729" s="46"/>
      <c r="L729" s="1244">
        <v>520.70399999999995</v>
      </c>
      <c r="M729" s="1245">
        <f t="shared" si="312"/>
        <v>1139.04</v>
      </c>
      <c r="N729" s="71"/>
      <c r="O729" s="71"/>
      <c r="P729" s="65">
        <v>4</v>
      </c>
      <c r="Q729" s="299">
        <v>1312</v>
      </c>
      <c r="R729" s="71"/>
      <c r="S729" s="71">
        <v>4</v>
      </c>
      <c r="T729" s="1246">
        <v>608</v>
      </c>
      <c r="U729" s="71"/>
      <c r="V729" s="71">
        <v>570</v>
      </c>
      <c r="W729" s="71">
        <v>490</v>
      </c>
      <c r="X729" s="1044">
        <f t="shared" si="313"/>
        <v>16271.999999999998</v>
      </c>
      <c r="Y729" s="86"/>
      <c r="Z729" s="172"/>
      <c r="AA729" s="375">
        <f t="shared" si="309"/>
        <v>868.17073170731703</v>
      </c>
      <c r="AB729" s="56"/>
      <c r="AC729" s="281">
        <f t="shared" si="317"/>
        <v>1.0666666666666667</v>
      </c>
      <c r="AD729" s="191">
        <f t="shared" si="318"/>
        <v>165.51936000000001</v>
      </c>
      <c r="AE729" s="422"/>
      <c r="AF729" s="220"/>
      <c r="AG729" s="492"/>
    </row>
    <row r="730" spans="1:33" x14ac:dyDescent="0.2">
      <c r="A730" s="188"/>
      <c r="B730" s="36"/>
      <c r="C730" s="296"/>
      <c r="D730" s="470"/>
      <c r="E730" s="36" t="s">
        <v>2488</v>
      </c>
      <c r="F730" s="440"/>
      <c r="G730" s="129"/>
      <c r="H730" s="129">
        <v>40</v>
      </c>
      <c r="I730" s="435">
        <v>586</v>
      </c>
      <c r="J730" s="140"/>
      <c r="K730" s="46"/>
      <c r="L730" s="1244">
        <v>719.87199999999996</v>
      </c>
      <c r="M730" s="1245">
        <f t="shared" si="312"/>
        <v>1574.7199999999998</v>
      </c>
      <c r="N730" s="71"/>
      <c r="O730" s="71"/>
      <c r="P730" s="65">
        <v>4</v>
      </c>
      <c r="Q730" s="299">
        <v>1904</v>
      </c>
      <c r="R730" s="71"/>
      <c r="S730" s="71">
        <v>4</v>
      </c>
      <c r="T730" s="1246">
        <v>586</v>
      </c>
      <c r="U730" s="71"/>
      <c r="V730" s="71">
        <v>1330</v>
      </c>
      <c r="W730" s="71">
        <v>430</v>
      </c>
      <c r="X730" s="1044">
        <f t="shared" si="313"/>
        <v>22496</v>
      </c>
      <c r="Y730" s="86"/>
      <c r="Z730" s="172"/>
      <c r="AA730" s="375">
        <f t="shared" si="309"/>
        <v>827.0588235294116</v>
      </c>
      <c r="AB730" s="56"/>
      <c r="AC730" s="281">
        <f t="shared" si="317"/>
        <v>0.44060150375939849</v>
      </c>
      <c r="AD730" s="191">
        <f t="shared" si="318"/>
        <v>175.84128000000001</v>
      </c>
      <c r="AE730" s="422"/>
      <c r="AF730" s="220"/>
      <c r="AG730" s="492"/>
    </row>
    <row r="731" spans="1:33" x14ac:dyDescent="0.2">
      <c r="A731" s="188"/>
      <c r="B731" s="36"/>
      <c r="C731" s="296"/>
      <c r="D731" s="470"/>
      <c r="E731" s="36" t="s">
        <v>2076</v>
      </c>
      <c r="F731" s="440"/>
      <c r="G731" s="129"/>
      <c r="H731" s="129">
        <v>45</v>
      </c>
      <c r="I731" s="435">
        <v>802</v>
      </c>
      <c r="J731" s="140"/>
      <c r="K731" s="46"/>
      <c r="L731" s="1244">
        <v>900.22400000000005</v>
      </c>
      <c r="M731" s="1245">
        <f t="shared" si="312"/>
        <v>1969.24</v>
      </c>
      <c r="N731" s="71"/>
      <c r="O731" s="71"/>
      <c r="P731" s="65">
        <v>4</v>
      </c>
      <c r="Q731" s="299">
        <v>3984</v>
      </c>
      <c r="R731" s="71">
        <v>1</v>
      </c>
      <c r="S731" s="71">
        <v>1</v>
      </c>
      <c r="T731" s="1246">
        <v>868</v>
      </c>
      <c r="U731" s="71"/>
      <c r="V731" s="71">
        <v>1302</v>
      </c>
      <c r="W731" s="71">
        <v>668</v>
      </c>
      <c r="X731" s="1044">
        <f t="shared" si="313"/>
        <v>28132</v>
      </c>
      <c r="Y731" s="86"/>
      <c r="Z731" s="172"/>
      <c r="AA731" s="375">
        <f t="shared" si="309"/>
        <v>494.28714859437753</v>
      </c>
      <c r="AB731" s="56"/>
      <c r="AC731" s="281">
        <f t="shared" si="317"/>
        <v>0.66666666666666663</v>
      </c>
      <c r="AD731" s="191">
        <f t="shared" si="318"/>
        <v>244.998144</v>
      </c>
      <c r="AE731" s="422"/>
      <c r="AF731" s="220"/>
      <c r="AG731" s="492" t="s">
        <v>2095</v>
      </c>
    </row>
    <row r="732" spans="1:33" s="751" customFormat="1" x14ac:dyDescent="0.2">
      <c r="A732" s="749"/>
      <c r="B732" s="552"/>
      <c r="C732" s="553"/>
      <c r="D732" s="575"/>
      <c r="E732" s="552" t="s">
        <v>2077</v>
      </c>
      <c r="F732" s="1700"/>
      <c r="G732" s="826"/>
      <c r="H732" s="826">
        <v>40</v>
      </c>
      <c r="I732" s="1701">
        <v>530</v>
      </c>
      <c r="J732" s="1071"/>
      <c r="K732" s="1702"/>
      <c r="L732" s="1703">
        <v>577.53599999999994</v>
      </c>
      <c r="M732" s="1704">
        <f t="shared" si="312"/>
        <v>1263.3599999999999</v>
      </c>
      <c r="N732" s="586"/>
      <c r="O732" s="586"/>
      <c r="P732" s="564">
        <v>4</v>
      </c>
      <c r="Q732" s="584">
        <v>1880</v>
      </c>
      <c r="R732" s="586">
        <v>2</v>
      </c>
      <c r="S732" s="586">
        <v>1</v>
      </c>
      <c r="T732" s="1705">
        <v>854</v>
      </c>
      <c r="U732" s="586"/>
      <c r="V732" s="586">
        <v>1492</v>
      </c>
      <c r="W732" s="586">
        <v>404</v>
      </c>
      <c r="X732" s="599">
        <f t="shared" si="313"/>
        <v>18048</v>
      </c>
      <c r="Y732" s="1706"/>
      <c r="Z732" s="830"/>
      <c r="AA732" s="831">
        <f t="shared" si="309"/>
        <v>672</v>
      </c>
      <c r="AB732" s="570"/>
      <c r="AC732" s="1453">
        <f t="shared" si="317"/>
        <v>0.57238605898123329</v>
      </c>
      <c r="AD732" s="572">
        <f t="shared" si="318"/>
        <v>174.14553599999999</v>
      </c>
      <c r="AE732" s="1094"/>
      <c r="AF732" s="1095"/>
      <c r="AG732" s="756" t="s">
        <v>2267</v>
      </c>
    </row>
    <row r="733" spans="1:33" s="751" customFormat="1" x14ac:dyDescent="0.2">
      <c r="A733" s="749"/>
      <c r="B733" s="552"/>
      <c r="C733" s="553"/>
      <c r="D733" s="575"/>
      <c r="E733" s="552" t="s">
        <v>2078</v>
      </c>
      <c r="F733" s="1700"/>
      <c r="G733" s="826"/>
      <c r="H733" s="826">
        <v>45</v>
      </c>
      <c r="I733" s="1701">
        <v>556</v>
      </c>
      <c r="J733" s="1071"/>
      <c r="K733" s="1702"/>
      <c r="L733" s="1703">
        <v>825</v>
      </c>
      <c r="M733" s="1704">
        <f t="shared" si="312"/>
        <v>1804.6875</v>
      </c>
      <c r="N733" s="586"/>
      <c r="O733" s="586"/>
      <c r="P733" s="564">
        <v>4</v>
      </c>
      <c r="Q733" s="584">
        <v>2500</v>
      </c>
      <c r="R733" s="586">
        <v>2</v>
      </c>
      <c r="S733" s="586">
        <v>2</v>
      </c>
      <c r="T733" s="1705">
        <v>884</v>
      </c>
      <c r="U733" s="586"/>
      <c r="V733" s="586">
        <v>2007</v>
      </c>
      <c r="W733" s="586">
        <v>573</v>
      </c>
      <c r="X733" s="599">
        <f t="shared" si="313"/>
        <v>25781.25</v>
      </c>
      <c r="Y733" s="1706"/>
      <c r="Z733" s="830"/>
      <c r="AA733" s="831">
        <f t="shared" si="309"/>
        <v>721.875</v>
      </c>
      <c r="AB733" s="570"/>
      <c r="AC733" s="1453">
        <f t="shared" si="317"/>
        <v>0.44045839561534628</v>
      </c>
      <c r="AD733" s="572">
        <f t="shared" si="318"/>
        <v>242.97062399999999</v>
      </c>
      <c r="AE733" s="1094"/>
      <c r="AF733" s="1095"/>
      <c r="AG733" s="756" t="s">
        <v>2097</v>
      </c>
    </row>
    <row r="734" spans="1:33" x14ac:dyDescent="0.2">
      <c r="A734" s="188"/>
      <c r="B734" s="36"/>
      <c r="C734" s="296"/>
      <c r="D734" s="470"/>
      <c r="E734" s="36" t="s">
        <v>2079</v>
      </c>
      <c r="F734" s="440"/>
      <c r="G734" s="129"/>
      <c r="H734" s="129">
        <v>45</v>
      </c>
      <c r="I734" s="435">
        <v>556</v>
      </c>
      <c r="J734" s="140"/>
      <c r="K734" s="46"/>
      <c r="L734" s="1244">
        <v>1020.928</v>
      </c>
      <c r="M734" s="1245">
        <f t="shared" si="312"/>
        <v>2233.2800000000002</v>
      </c>
      <c r="N734" s="71"/>
      <c r="O734" s="71"/>
      <c r="P734" s="65">
        <v>4</v>
      </c>
      <c r="Q734" s="299">
        <v>2672</v>
      </c>
      <c r="R734" s="71">
        <v>2</v>
      </c>
      <c r="S734" s="71">
        <v>2</v>
      </c>
      <c r="T734" s="1246">
        <v>916</v>
      </c>
      <c r="U734" s="71"/>
      <c r="V734" s="71">
        <v>1898</v>
      </c>
      <c r="W734" s="71">
        <v>614</v>
      </c>
      <c r="X734" s="1044">
        <f t="shared" si="313"/>
        <v>31904</v>
      </c>
      <c r="Y734" s="86"/>
      <c r="Z734" s="172"/>
      <c r="AA734" s="375">
        <f t="shared" si="309"/>
        <v>835.80838323353294</v>
      </c>
      <c r="AB734" s="56"/>
      <c r="AC734" s="281">
        <f t="shared" si="317"/>
        <v>0.48261327713382507</v>
      </c>
      <c r="AD734" s="191">
        <f t="shared" si="318"/>
        <v>251.04383999999999</v>
      </c>
      <c r="AE734" s="197"/>
      <c r="AF734" s="198"/>
      <c r="AG734" s="492" t="s">
        <v>2094</v>
      </c>
    </row>
    <row r="735" spans="1:33" x14ac:dyDescent="0.2">
      <c r="A735" s="188"/>
      <c r="B735" s="36"/>
      <c r="C735" s="296"/>
      <c r="D735" s="470"/>
      <c r="E735" s="36" t="s">
        <v>2260</v>
      </c>
      <c r="F735" s="440"/>
      <c r="G735" s="129"/>
      <c r="H735" s="129">
        <v>40</v>
      </c>
      <c r="I735" s="435">
        <v>486</v>
      </c>
      <c r="J735" s="140"/>
      <c r="K735" s="46"/>
      <c r="L735" s="1244">
        <v>719.87199999999996</v>
      </c>
      <c r="M735" s="1245">
        <f t="shared" si="312"/>
        <v>1574.7199999999998</v>
      </c>
      <c r="N735" s="71"/>
      <c r="O735" s="71"/>
      <c r="P735" s="71">
        <v>4</v>
      </c>
      <c r="Q735" s="299">
        <v>1904</v>
      </c>
      <c r="R735" s="71"/>
      <c r="S735" s="71">
        <v>72</v>
      </c>
      <c r="T735" s="1246">
        <v>586</v>
      </c>
      <c r="U735" s="71"/>
      <c r="V735" s="71">
        <v>1405</v>
      </c>
      <c r="W735" s="71">
        <v>453</v>
      </c>
      <c r="X735" s="1153">
        <f t="shared" si="313"/>
        <v>22496</v>
      </c>
      <c r="Y735" s="86"/>
      <c r="Z735" s="172"/>
      <c r="AA735" s="375">
        <f t="shared" si="309"/>
        <v>827.0588235294116</v>
      </c>
      <c r="AB735" s="56"/>
      <c r="AC735" s="281">
        <f t="shared" si="317"/>
        <v>0.41708185053380781</v>
      </c>
      <c r="AD735" s="194">
        <f t="shared" si="318"/>
        <v>185.38905600000001</v>
      </c>
      <c r="AE735" s="197"/>
      <c r="AF735" s="198"/>
      <c r="AG735" s="492"/>
    </row>
    <row r="736" spans="1:33" x14ac:dyDescent="0.2">
      <c r="A736" s="188"/>
      <c r="B736" s="36"/>
      <c r="C736" s="296"/>
      <c r="D736" s="470"/>
      <c r="E736" s="36" t="s">
        <v>2261</v>
      </c>
      <c r="F736" s="440"/>
      <c r="G736" s="129"/>
      <c r="H736" s="129">
        <v>45</v>
      </c>
      <c r="I736" s="435">
        <v>648</v>
      </c>
      <c r="J736" s="140"/>
      <c r="K736" s="46"/>
      <c r="L736" s="1244">
        <v>900.22400000000005</v>
      </c>
      <c r="M736" s="1245">
        <f t="shared" si="312"/>
        <v>1969.24</v>
      </c>
      <c r="N736" s="71"/>
      <c r="O736" s="71"/>
      <c r="P736" s="71">
        <v>4</v>
      </c>
      <c r="Q736" s="299">
        <v>3984</v>
      </c>
      <c r="R736" s="71"/>
      <c r="S736" s="71">
        <v>48</v>
      </c>
      <c r="T736" s="1246">
        <v>726</v>
      </c>
      <c r="U736" s="71"/>
      <c r="V736" s="71">
        <v>1341</v>
      </c>
      <c r="W736" s="71">
        <v>677</v>
      </c>
      <c r="X736" s="1153">
        <f t="shared" si="313"/>
        <v>28132</v>
      </c>
      <c r="Y736" s="86"/>
      <c r="Z736" s="172"/>
      <c r="AA736" s="375">
        <f t="shared" si="309"/>
        <v>494.28714859437753</v>
      </c>
      <c r="AB736" s="56"/>
      <c r="AC736" s="281">
        <f t="shared" si="317"/>
        <v>0.54138702460850108</v>
      </c>
      <c r="AD736" s="194">
        <f t="shared" si="318"/>
        <v>249.090048</v>
      </c>
      <c r="AE736" s="197"/>
      <c r="AF736" s="198"/>
      <c r="AG736" s="492"/>
    </row>
    <row r="737" spans="1:33" x14ac:dyDescent="0.2">
      <c r="A737" s="188"/>
      <c r="B737" s="36"/>
      <c r="C737" s="296"/>
      <c r="D737" s="470"/>
      <c r="E737" s="36" t="s">
        <v>2262</v>
      </c>
      <c r="F737" s="440"/>
      <c r="G737" s="129"/>
      <c r="H737" s="129">
        <v>40</v>
      </c>
      <c r="I737" s="435">
        <v>486</v>
      </c>
      <c r="J737" s="140"/>
      <c r="K737" s="46"/>
      <c r="L737" s="1244">
        <v>1020.928</v>
      </c>
      <c r="M737" s="1245">
        <f t="shared" si="312"/>
        <v>2233.2800000000002</v>
      </c>
      <c r="N737" s="71"/>
      <c r="O737" s="71"/>
      <c r="P737" s="71">
        <v>4</v>
      </c>
      <c r="Q737" s="299">
        <v>2672</v>
      </c>
      <c r="R737" s="71"/>
      <c r="S737" s="71">
        <v>104</v>
      </c>
      <c r="T737" s="1246">
        <v>608</v>
      </c>
      <c r="U737" s="71"/>
      <c r="V737" s="71">
        <v>1981</v>
      </c>
      <c r="W737" s="71">
        <v>645</v>
      </c>
      <c r="X737" s="1153">
        <f t="shared" si="313"/>
        <v>31904</v>
      </c>
      <c r="Y737" s="86"/>
      <c r="Z737" s="172"/>
      <c r="AA737" s="375">
        <f t="shared" si="309"/>
        <v>835.80838323353294</v>
      </c>
      <c r="AB737" s="56"/>
      <c r="AC737" s="281">
        <f t="shared" si="317"/>
        <v>0.30691569914184758</v>
      </c>
      <c r="AD737" s="194">
        <f t="shared" si="318"/>
        <v>263.24582400000003</v>
      </c>
      <c r="AE737" s="197"/>
      <c r="AF737" s="198"/>
      <c r="AG737" s="492"/>
    </row>
    <row r="738" spans="1:33" x14ac:dyDescent="0.2">
      <c r="A738" s="188"/>
      <c r="B738" s="36"/>
      <c r="C738" s="296"/>
      <c r="D738" s="470"/>
      <c r="E738" s="36" t="s">
        <v>2263</v>
      </c>
      <c r="F738" s="440"/>
      <c r="G738" s="129"/>
      <c r="H738" s="129">
        <v>50</v>
      </c>
      <c r="I738" s="435">
        <v>486</v>
      </c>
      <c r="J738" s="140"/>
      <c r="K738" s="46"/>
      <c r="L738" s="1244">
        <v>1720.4480000000001</v>
      </c>
      <c r="M738" s="1245">
        <f t="shared" si="312"/>
        <v>3763.48</v>
      </c>
      <c r="N738" s="71"/>
      <c r="O738" s="71"/>
      <c r="P738" s="71">
        <v>4</v>
      </c>
      <c r="Q738" s="299">
        <v>7440</v>
      </c>
      <c r="R738" s="71"/>
      <c r="S738" s="71">
        <v>88</v>
      </c>
      <c r="T738" s="1246">
        <v>564</v>
      </c>
      <c r="U738" s="71"/>
      <c r="V738" s="71">
        <v>2541</v>
      </c>
      <c r="W738" s="71">
        <v>1301</v>
      </c>
      <c r="X738" s="1153">
        <f t="shared" si="313"/>
        <v>53764</v>
      </c>
      <c r="Y738" s="86"/>
      <c r="Z738" s="172"/>
      <c r="AA738" s="375">
        <f t="shared" si="309"/>
        <v>505.8440860215054</v>
      </c>
      <c r="AB738" s="56"/>
      <c r="AC738" s="281">
        <f t="shared" si="317"/>
        <v>0.22195985832349469</v>
      </c>
      <c r="AD738" s="194">
        <f t="shared" si="318"/>
        <v>477.35193600000002</v>
      </c>
      <c r="AE738" s="197"/>
      <c r="AF738" s="198"/>
      <c r="AG738" s="492"/>
    </row>
    <row r="739" spans="1:33" x14ac:dyDescent="0.2">
      <c r="A739" s="188"/>
      <c r="B739" s="36"/>
      <c r="C739" s="296"/>
      <c r="D739" s="470"/>
      <c r="E739" s="36" t="s">
        <v>2264</v>
      </c>
      <c r="F739" s="440"/>
      <c r="G739" s="129"/>
      <c r="H739" s="129">
        <v>50</v>
      </c>
      <c r="I739" s="435">
        <v>702</v>
      </c>
      <c r="J739" s="140"/>
      <c r="K739" s="46"/>
      <c r="L739" s="1244">
        <v>1753.4480000000001</v>
      </c>
      <c r="M739" s="1245">
        <f t="shared" si="312"/>
        <v>3835.6675</v>
      </c>
      <c r="N739" s="71"/>
      <c r="O739" s="71"/>
      <c r="P739" s="71">
        <v>4</v>
      </c>
      <c r="Q739" s="299">
        <v>7392</v>
      </c>
      <c r="R739" s="71"/>
      <c r="S739" s="71">
        <v>88</v>
      </c>
      <c r="T739" s="1246">
        <v>564</v>
      </c>
      <c r="U739" s="71"/>
      <c r="V739" s="71">
        <v>2541</v>
      </c>
      <c r="W739" s="71">
        <v>1301</v>
      </c>
      <c r="X739" s="1153">
        <f t="shared" si="313"/>
        <v>54795.25</v>
      </c>
      <c r="Y739" s="86"/>
      <c r="Z739" s="172"/>
      <c r="AA739" s="375">
        <f t="shared" si="309"/>
        <v>518.89441287878788</v>
      </c>
      <c r="AB739" s="56"/>
      <c r="AC739" s="281">
        <f t="shared" si="317"/>
        <v>0.22195985832349469</v>
      </c>
      <c r="AD739" s="194">
        <f t="shared" si="318"/>
        <v>477.35193600000002</v>
      </c>
      <c r="AE739" s="197"/>
      <c r="AF739" s="198"/>
      <c r="AG739" s="492"/>
    </row>
    <row r="740" spans="1:33" x14ac:dyDescent="0.2">
      <c r="A740" s="188"/>
      <c r="B740" s="36"/>
      <c r="C740" s="296"/>
      <c r="D740" s="470"/>
      <c r="E740" s="36" t="s">
        <v>2265</v>
      </c>
      <c r="F740" s="440"/>
      <c r="G740" s="129"/>
      <c r="H740" s="129">
        <v>50</v>
      </c>
      <c r="I740" s="435">
        <v>486</v>
      </c>
      <c r="J740" s="140"/>
      <c r="K740" s="46"/>
      <c r="L740" s="1244">
        <v>2540.672</v>
      </c>
      <c r="M740" s="1245">
        <f t="shared" si="312"/>
        <v>5557.72</v>
      </c>
      <c r="N740" s="71"/>
      <c r="O740" s="71"/>
      <c r="P740" s="71">
        <v>4</v>
      </c>
      <c r="Q740" s="299">
        <v>10896</v>
      </c>
      <c r="R740" s="71"/>
      <c r="S740" s="71">
        <v>128</v>
      </c>
      <c r="T740" s="1246">
        <v>564</v>
      </c>
      <c r="U740" s="71"/>
      <c r="V740" s="71">
        <v>3741</v>
      </c>
      <c r="W740" s="71">
        <v>1925</v>
      </c>
      <c r="X740" s="1153">
        <f t="shared" si="313"/>
        <v>79396</v>
      </c>
      <c r="Y740" s="86"/>
      <c r="Z740" s="172"/>
      <c r="AA740" s="375">
        <f t="shared" si="309"/>
        <v>510.06975036710719</v>
      </c>
      <c r="AB740" s="56"/>
      <c r="AC740" s="281">
        <f t="shared" si="317"/>
        <v>0.15076182838813151</v>
      </c>
      <c r="AD740" s="194">
        <f t="shared" si="318"/>
        <v>705.61382400000002</v>
      </c>
      <c r="AE740" s="197"/>
      <c r="AF740" s="198"/>
      <c r="AG740" s="492"/>
    </row>
    <row r="741" spans="1:33" ht="13.5" thickBot="1" x14ac:dyDescent="0.25">
      <c r="A741" s="188"/>
      <c r="B741" s="36"/>
      <c r="C741" s="296"/>
      <c r="D741" s="470"/>
      <c r="E741" s="36" t="s">
        <v>2266</v>
      </c>
      <c r="F741" s="440"/>
      <c r="G741" s="129"/>
      <c r="H741" s="129">
        <v>65</v>
      </c>
      <c r="I741" s="435">
        <v>702</v>
      </c>
      <c r="J741" s="140"/>
      <c r="K741" s="46"/>
      <c r="L741" s="1244">
        <v>3360.8960000000002</v>
      </c>
      <c r="M741" s="1245">
        <f t="shared" si="312"/>
        <v>7351.96</v>
      </c>
      <c r="N741" s="71"/>
      <c r="O741" s="71"/>
      <c r="P741" s="71">
        <v>4</v>
      </c>
      <c r="Q741" s="299">
        <v>14352</v>
      </c>
      <c r="R741" s="71"/>
      <c r="S741" s="71">
        <v>168</v>
      </c>
      <c r="T741" s="1246">
        <v>780</v>
      </c>
      <c r="U741" s="71"/>
      <c r="V741" s="71">
        <v>4941</v>
      </c>
      <c r="W741" s="71">
        <v>2549</v>
      </c>
      <c r="X741" s="1153">
        <f t="shared" si="313"/>
        <v>105028</v>
      </c>
      <c r="Y741" s="86"/>
      <c r="Z741" s="172"/>
      <c r="AA741" s="375">
        <f t="shared" si="309"/>
        <v>512.26031215161652</v>
      </c>
      <c r="AB741" s="56"/>
      <c r="AC741" s="281">
        <f t="shared" si="317"/>
        <v>0.15786278081360047</v>
      </c>
      <c r="AD741" s="194">
        <f t="shared" si="318"/>
        <v>933.87571200000002</v>
      </c>
      <c r="AE741" s="199"/>
      <c r="AF741" s="200"/>
      <c r="AG741" s="492"/>
    </row>
    <row r="742" spans="1:33" x14ac:dyDescent="0.2">
      <c r="A742" s="188"/>
      <c r="B742" s="241" t="s">
        <v>362</v>
      </c>
      <c r="C742" s="226"/>
      <c r="D742" s="212"/>
      <c r="E742" s="48" t="s">
        <v>649</v>
      </c>
      <c r="F742" s="497" t="s">
        <v>648</v>
      </c>
      <c r="G742" s="14"/>
      <c r="H742" s="123"/>
      <c r="I742" s="161"/>
      <c r="J742" s="277"/>
      <c r="K742" s="498"/>
      <c r="L742" s="248" t="s">
        <v>305</v>
      </c>
      <c r="M742" s="61"/>
      <c r="N742" s="61"/>
      <c r="O742" s="61"/>
      <c r="P742" s="61"/>
      <c r="Q742" s="61"/>
      <c r="R742" s="61"/>
      <c r="S742" s="61"/>
      <c r="T742" s="61"/>
      <c r="U742" s="61"/>
      <c r="V742" s="61" t="s">
        <v>647</v>
      </c>
      <c r="W742" s="61"/>
      <c r="X742" s="109"/>
      <c r="Y742" s="266"/>
      <c r="Z742" s="164"/>
      <c r="AA742" s="377"/>
      <c r="AB742" s="53"/>
      <c r="AC742" s="105"/>
      <c r="AD742" s="113"/>
      <c r="AG742" s="236"/>
    </row>
    <row r="743" spans="1:33" x14ac:dyDescent="0.2">
      <c r="A743" s="188"/>
      <c r="B743" s="17"/>
      <c r="C743" s="227"/>
      <c r="D743" s="213" t="s">
        <v>703</v>
      </c>
      <c r="E743" s="41" t="s">
        <v>768</v>
      </c>
      <c r="F743" s="143"/>
      <c r="G743" s="43"/>
      <c r="H743" s="128"/>
      <c r="I743" s="167"/>
      <c r="J743" s="140"/>
      <c r="K743" s="46"/>
      <c r="L743" s="249">
        <v>2816</v>
      </c>
      <c r="M743" s="64">
        <f t="shared" ref="M743:M748" si="319">0.4*L743</f>
        <v>1126.4000000000001</v>
      </c>
      <c r="N743" s="65"/>
      <c r="O743" s="65"/>
      <c r="P743" s="65"/>
      <c r="Q743" s="65"/>
      <c r="R743" s="65">
        <v>4</v>
      </c>
      <c r="S743" s="65"/>
      <c r="T743" s="65">
        <v>248</v>
      </c>
      <c r="U743" s="65"/>
      <c r="V743" s="65">
        <v>12</v>
      </c>
      <c r="W743" s="65"/>
      <c r="X743" s="115"/>
      <c r="Y743" s="262"/>
      <c r="Z743" s="141"/>
      <c r="AA743" s="378"/>
      <c r="AB743" s="54">
        <f t="shared" ref="AB743:AB748" si="320">L743/V743</f>
        <v>234.66666666666666</v>
      </c>
      <c r="AC743" s="99">
        <f t="shared" ref="AC743:AC751" si="321">T743/V743</f>
        <v>20.666666666666668</v>
      </c>
      <c r="AD743" s="110">
        <f t="shared" ref="AD743:AD748" si="322">V743*256*18</f>
        <v>55296</v>
      </c>
      <c r="AG743" s="236"/>
    </row>
    <row r="744" spans="1:33" x14ac:dyDescent="0.2">
      <c r="A744" s="188"/>
      <c r="B744" s="17"/>
      <c r="C744" s="227"/>
      <c r="D744" s="213" t="s">
        <v>703</v>
      </c>
      <c r="E744" s="41" t="s">
        <v>769</v>
      </c>
      <c r="F744" s="143"/>
      <c r="G744" s="43"/>
      <c r="H744" s="128"/>
      <c r="I744" s="167"/>
      <c r="J744" s="140"/>
      <c r="K744" s="46"/>
      <c r="L744" s="249">
        <v>12096</v>
      </c>
      <c r="M744" s="64">
        <f t="shared" si="319"/>
        <v>4838.4000000000005</v>
      </c>
      <c r="N744" s="65"/>
      <c r="O744" s="65"/>
      <c r="P744" s="65"/>
      <c r="Q744" s="65"/>
      <c r="R744" s="65">
        <v>4</v>
      </c>
      <c r="S744" s="65"/>
      <c r="T744" s="65">
        <v>516</v>
      </c>
      <c r="U744" s="65"/>
      <c r="V744" s="65">
        <v>36</v>
      </c>
      <c r="W744" s="65"/>
      <c r="X744" s="115"/>
      <c r="Y744" s="262"/>
      <c r="Z744" s="141"/>
      <c r="AA744" s="378"/>
      <c r="AB744" s="54">
        <f t="shared" si="320"/>
        <v>336</v>
      </c>
      <c r="AC744" s="99">
        <f t="shared" si="321"/>
        <v>14.333333333333334</v>
      </c>
      <c r="AD744" s="110">
        <f t="shared" si="322"/>
        <v>165888</v>
      </c>
      <c r="AG744" s="236"/>
    </row>
    <row r="745" spans="1:33" x14ac:dyDescent="0.2">
      <c r="A745" s="188"/>
      <c r="B745" s="17"/>
      <c r="C745" s="227"/>
      <c r="D745" s="213" t="s">
        <v>703</v>
      </c>
      <c r="E745" s="41" t="s">
        <v>770</v>
      </c>
      <c r="F745" s="143"/>
      <c r="G745" s="43"/>
      <c r="H745" s="128"/>
      <c r="I745" s="167"/>
      <c r="J745" s="140"/>
      <c r="K745" s="46"/>
      <c r="L745" s="249">
        <v>21504</v>
      </c>
      <c r="M745" s="64">
        <f t="shared" si="319"/>
        <v>8601.6</v>
      </c>
      <c r="N745" s="65"/>
      <c r="O745" s="65"/>
      <c r="P745" s="65"/>
      <c r="Q745" s="65"/>
      <c r="R745" s="65">
        <v>4</v>
      </c>
      <c r="S745" s="65"/>
      <c r="T745" s="65">
        <v>684</v>
      </c>
      <c r="U745" s="65"/>
      <c r="V745" s="65">
        <v>64</v>
      </c>
      <c r="W745" s="65"/>
      <c r="X745" s="115"/>
      <c r="Y745" s="262"/>
      <c r="Z745" s="141"/>
      <c r="AA745" s="378"/>
      <c r="AB745" s="54">
        <f t="shared" si="320"/>
        <v>336</v>
      </c>
      <c r="AC745" s="99">
        <f t="shared" si="321"/>
        <v>10.6875</v>
      </c>
      <c r="AD745" s="110">
        <f t="shared" si="322"/>
        <v>294912</v>
      </c>
      <c r="AG745" s="236"/>
    </row>
    <row r="746" spans="1:33" x14ac:dyDescent="0.2">
      <c r="A746" s="188"/>
      <c r="B746" s="17"/>
      <c r="C746" s="227"/>
      <c r="D746" s="213" t="s">
        <v>703</v>
      </c>
      <c r="E746" s="41" t="s">
        <v>771</v>
      </c>
      <c r="F746" s="143"/>
      <c r="G746" s="43"/>
      <c r="H746" s="128"/>
      <c r="I746" s="167"/>
      <c r="J746" s="140"/>
      <c r="K746" s="46"/>
      <c r="L746" s="249">
        <v>19712</v>
      </c>
      <c r="M746" s="64">
        <f t="shared" si="319"/>
        <v>7884.8</v>
      </c>
      <c r="N746" s="65"/>
      <c r="O746" s="65"/>
      <c r="P746" s="65"/>
      <c r="Q746" s="65">
        <v>64</v>
      </c>
      <c r="R746" s="65">
        <v>4</v>
      </c>
      <c r="S746" s="65"/>
      <c r="T746" s="65">
        <v>684</v>
      </c>
      <c r="U746" s="65"/>
      <c r="V746" s="65">
        <v>64</v>
      </c>
      <c r="W746" s="65"/>
      <c r="X746" s="115"/>
      <c r="Y746" s="262"/>
      <c r="Z746" s="141"/>
      <c r="AA746" s="378"/>
      <c r="AB746" s="54">
        <f t="shared" si="320"/>
        <v>308</v>
      </c>
      <c r="AC746" s="99">
        <f t="shared" si="321"/>
        <v>10.6875</v>
      </c>
      <c r="AD746" s="110">
        <f t="shared" si="322"/>
        <v>294912</v>
      </c>
      <c r="AG746" s="236"/>
    </row>
    <row r="747" spans="1:33" x14ac:dyDescent="0.2">
      <c r="A747" s="188"/>
      <c r="B747" s="17"/>
      <c r="C747" s="227"/>
      <c r="D747" s="213" t="s">
        <v>703</v>
      </c>
      <c r="E747" s="41" t="s">
        <v>772</v>
      </c>
      <c r="F747" s="143"/>
      <c r="G747" s="43"/>
      <c r="H747" s="128"/>
      <c r="I747" s="167"/>
      <c r="J747" s="140"/>
      <c r="K747" s="46"/>
      <c r="L747" s="249">
        <v>40320</v>
      </c>
      <c r="M747" s="64">
        <f t="shared" si="319"/>
        <v>16128</v>
      </c>
      <c r="N747" s="65"/>
      <c r="O747" s="65"/>
      <c r="P747" s="65"/>
      <c r="Q747" s="65"/>
      <c r="R747" s="65">
        <v>4</v>
      </c>
      <c r="S747" s="65"/>
      <c r="T747" s="65">
        <v>840</v>
      </c>
      <c r="U747" s="65"/>
      <c r="V747" s="65">
        <v>120</v>
      </c>
      <c r="W747" s="65"/>
      <c r="X747" s="115"/>
      <c r="Y747" s="262"/>
      <c r="Z747" s="141"/>
      <c r="AA747" s="378"/>
      <c r="AB747" s="54">
        <f t="shared" si="320"/>
        <v>336</v>
      </c>
      <c r="AC747" s="99">
        <f t="shared" si="321"/>
        <v>7</v>
      </c>
      <c r="AD747" s="110">
        <f t="shared" si="322"/>
        <v>552960</v>
      </c>
      <c r="AG747" s="236"/>
    </row>
    <row r="748" spans="1:33" ht="13.5" thickBot="1" x14ac:dyDescent="0.25">
      <c r="A748" s="188"/>
      <c r="B748" s="21"/>
      <c r="C748" s="228"/>
      <c r="D748" s="214" t="s">
        <v>703</v>
      </c>
      <c r="E748" s="33" t="s">
        <v>773</v>
      </c>
      <c r="F748" s="144"/>
      <c r="G748" s="34"/>
      <c r="H748" s="130"/>
      <c r="I748" s="169"/>
      <c r="J748" s="140"/>
      <c r="K748" s="46"/>
      <c r="L748" s="250">
        <v>36960</v>
      </c>
      <c r="M748" s="64">
        <f t="shared" si="319"/>
        <v>14784</v>
      </c>
      <c r="N748" s="68"/>
      <c r="O748" s="68"/>
      <c r="P748" s="68"/>
      <c r="Q748" s="68">
        <v>120</v>
      </c>
      <c r="R748" s="68">
        <v>4</v>
      </c>
      <c r="S748" s="68"/>
      <c r="T748" s="68">
        <v>840</v>
      </c>
      <c r="U748" s="68"/>
      <c r="V748" s="68">
        <v>120</v>
      </c>
      <c r="W748" s="68"/>
      <c r="X748" s="116"/>
      <c r="Y748" s="263"/>
      <c r="Z748" s="142"/>
      <c r="AA748" s="379"/>
      <c r="AB748" s="55">
        <f t="shared" si="320"/>
        <v>308</v>
      </c>
      <c r="AC748" s="100">
        <f t="shared" si="321"/>
        <v>7</v>
      </c>
      <c r="AD748" s="111">
        <f t="shared" si="322"/>
        <v>552960</v>
      </c>
      <c r="AG748" s="236"/>
    </row>
    <row r="749" spans="1:33" x14ac:dyDescent="0.2">
      <c r="A749" s="188"/>
      <c r="B749" s="241" t="s">
        <v>362</v>
      </c>
      <c r="C749" s="226"/>
      <c r="D749" s="212"/>
      <c r="E749" s="48" t="s">
        <v>1663</v>
      </c>
      <c r="F749" s="466" t="s">
        <v>1012</v>
      </c>
      <c r="G749" s="14"/>
      <c r="H749" s="123"/>
      <c r="I749" s="161"/>
      <c r="J749" s="277"/>
      <c r="K749" s="498"/>
      <c r="L749" s="667" t="s">
        <v>1316</v>
      </c>
      <c r="M749" s="622"/>
      <c r="N749" s="633" t="e">
        <f>AVERAGE(N750:O751)</f>
        <v>#DIV/0!</v>
      </c>
      <c r="O749" s="623"/>
      <c r="P749" s="623"/>
      <c r="Q749" s="623" t="s">
        <v>92</v>
      </c>
      <c r="R749" s="623"/>
      <c r="S749" s="623" t="s">
        <v>1325</v>
      </c>
      <c r="T749" s="623"/>
      <c r="U749" s="623" t="s">
        <v>1664</v>
      </c>
      <c r="V749" s="624" t="s">
        <v>1665</v>
      </c>
      <c r="W749" s="623" t="s">
        <v>1329</v>
      </c>
      <c r="X749" s="636"/>
      <c r="Y749" s="86"/>
      <c r="Z749" s="172"/>
      <c r="AA749" s="299">
        <f>AVERAGE(AA750:AA751)</f>
        <v>337.77597402597405</v>
      </c>
      <c r="AB749" s="56"/>
      <c r="AC749" s="102">
        <f>AVERAGE(AC750:AC751)</f>
        <v>4.1008664166558901</v>
      </c>
      <c r="AD749" s="1059" t="s">
        <v>650</v>
      </c>
      <c r="AG749" s="516" t="s">
        <v>1662</v>
      </c>
    </row>
    <row r="750" spans="1:33" x14ac:dyDescent="0.2">
      <c r="A750" s="188"/>
      <c r="B750" s="41" t="s">
        <v>701</v>
      </c>
      <c r="C750" s="227"/>
      <c r="D750" s="229" t="s">
        <v>703</v>
      </c>
      <c r="E750" s="41" t="s">
        <v>1658</v>
      </c>
      <c r="F750" s="1037" t="s">
        <v>1660</v>
      </c>
      <c r="G750" s="1037"/>
      <c r="H750" s="128">
        <v>40</v>
      </c>
      <c r="I750" s="167">
        <v>528</v>
      </c>
      <c r="J750" s="138"/>
      <c r="K750" s="44"/>
      <c r="L750" s="253">
        <v>77.712000000000003</v>
      </c>
      <c r="M750" s="65">
        <f>L750</f>
        <v>77.712000000000003</v>
      </c>
      <c r="N750" s="65"/>
      <c r="O750" s="65"/>
      <c r="P750" s="65"/>
      <c r="Q750" s="65">
        <v>224</v>
      </c>
      <c r="R750" s="65">
        <v>8</v>
      </c>
      <c r="S750" s="65">
        <v>16</v>
      </c>
      <c r="T750" s="65">
        <v>528</v>
      </c>
      <c r="U750" s="65">
        <v>112</v>
      </c>
      <c r="V750" s="65">
        <v>111</v>
      </c>
      <c r="W750" s="65">
        <v>32</v>
      </c>
      <c r="X750" s="115"/>
      <c r="Y750" s="87"/>
      <c r="Z750" s="141"/>
      <c r="AA750" s="378">
        <f>1000*M750/Q750</f>
        <v>346.92857142857144</v>
      </c>
      <c r="AB750" s="54"/>
      <c r="AC750" s="99">
        <f t="shared" si="321"/>
        <v>4.756756756756757</v>
      </c>
      <c r="AD750" s="191">
        <f>(U750*128*12+V750*2048*12)/1000000</f>
        <v>2.8999679999999999</v>
      </c>
      <c r="AG750" s="236"/>
    </row>
    <row r="751" spans="1:33" ht="13.5" thickBot="1" x14ac:dyDescent="0.25">
      <c r="A751" s="188"/>
      <c r="B751" s="33" t="s">
        <v>701</v>
      </c>
      <c r="C751" s="228"/>
      <c r="D751" s="231" t="s">
        <v>703</v>
      </c>
      <c r="E751" s="33" t="s">
        <v>1659</v>
      </c>
      <c r="F751" s="1190" t="s">
        <v>1661</v>
      </c>
      <c r="G751" s="1190"/>
      <c r="H751" s="130">
        <v>42</v>
      </c>
      <c r="I751" s="169">
        <v>720</v>
      </c>
      <c r="J751" s="150"/>
      <c r="K751" s="35"/>
      <c r="L751" s="387">
        <v>151.82400000000001</v>
      </c>
      <c r="M751" s="65">
        <f>L751</f>
        <v>151.82400000000001</v>
      </c>
      <c r="N751" s="68"/>
      <c r="O751" s="68"/>
      <c r="P751" s="68"/>
      <c r="Q751" s="68">
        <v>462</v>
      </c>
      <c r="R751" s="68">
        <v>8</v>
      </c>
      <c r="S751" s="68">
        <v>24</v>
      </c>
      <c r="T751" s="68">
        <v>720</v>
      </c>
      <c r="U751" s="68">
        <v>210</v>
      </c>
      <c r="V751" s="68">
        <v>209</v>
      </c>
      <c r="W751" s="68">
        <v>48</v>
      </c>
      <c r="X751" s="116"/>
      <c r="Y751" s="205"/>
      <c r="Z751" s="142"/>
      <c r="AA751" s="378">
        <f>1000*M751/Q751</f>
        <v>328.6233766233766</v>
      </c>
      <c r="AB751" s="55"/>
      <c r="AC751" s="99">
        <f t="shared" si="321"/>
        <v>3.4449760765550241</v>
      </c>
      <c r="AD751" s="191">
        <f>(U751*128*12+V751*2048*12)/1000000</f>
        <v>5.4589439999999998</v>
      </c>
      <c r="AG751" s="236"/>
    </row>
    <row r="752" spans="1:33" ht="13.5" customHeight="1" x14ac:dyDescent="0.2">
      <c r="A752" s="188"/>
      <c r="B752" s="48" t="s">
        <v>362</v>
      </c>
      <c r="C752" s="226"/>
      <c r="D752" s="212"/>
      <c r="E752" s="48" t="s">
        <v>455</v>
      </c>
      <c r="F752" s="15"/>
      <c r="G752" s="49" t="s">
        <v>456</v>
      </c>
      <c r="H752" s="131" t="s">
        <v>533</v>
      </c>
      <c r="I752" s="165"/>
      <c r="J752" s="136"/>
      <c r="K752" s="50"/>
      <c r="L752" s="244" t="s">
        <v>365</v>
      </c>
      <c r="M752" s="61"/>
      <c r="N752" s="61"/>
      <c r="O752" s="61"/>
      <c r="P752" s="61"/>
      <c r="Q752" s="61"/>
      <c r="R752" s="61"/>
      <c r="S752" s="61"/>
      <c r="T752" s="61"/>
      <c r="U752" s="61"/>
      <c r="V752" s="61" t="s">
        <v>306</v>
      </c>
      <c r="W752" s="61"/>
      <c r="X752" s="113"/>
      <c r="Y752" s="171"/>
      <c r="Z752" s="164"/>
      <c r="AA752" s="373"/>
      <c r="AB752" s="53"/>
      <c r="AC752" s="105"/>
      <c r="AD752" s="113"/>
      <c r="AG752" s="236"/>
    </row>
    <row r="753" spans="1:33" x14ac:dyDescent="0.2">
      <c r="A753" s="182" t="s">
        <v>189</v>
      </c>
      <c r="B753" s="17"/>
      <c r="C753" s="227"/>
      <c r="D753" s="213"/>
      <c r="E753" s="118" t="s">
        <v>307</v>
      </c>
      <c r="F753" s="18" t="s">
        <v>572</v>
      </c>
      <c r="G753" s="19">
        <v>20.305</v>
      </c>
      <c r="H753" s="124">
        <v>7</v>
      </c>
      <c r="I753" s="162">
        <v>24</v>
      </c>
      <c r="J753" s="138" t="s">
        <v>458</v>
      </c>
      <c r="K753" s="20">
        <v>62.04</v>
      </c>
      <c r="L753" s="245">
        <v>3072</v>
      </c>
      <c r="M753" s="64">
        <f t="shared" ref="M753:M759" si="323">0.4*L753</f>
        <v>1228.8000000000002</v>
      </c>
      <c r="N753" s="65">
        <f t="shared" ref="N753:N759" si="324">IF(AND(G753&lt;&gt;"",M753&lt;&gt;""),M753/G753,"")</f>
        <v>60.517114011327266</v>
      </c>
      <c r="O753" s="65">
        <f t="shared" ref="O753:O759" si="325">IF(AND(G753&lt;&gt;"",L753&lt;&gt;""),L753/G753,"")</f>
        <v>151.29278502831815</v>
      </c>
      <c r="P753" s="65"/>
      <c r="Q753" s="65"/>
      <c r="R753" s="65">
        <v>2</v>
      </c>
      <c r="S753" s="65"/>
      <c r="T753" s="65">
        <v>158</v>
      </c>
      <c r="U753" s="65"/>
      <c r="V753" s="65">
        <v>12</v>
      </c>
      <c r="W753" s="65"/>
      <c r="X753" s="110"/>
      <c r="Y753" s="81"/>
      <c r="Z753" s="141"/>
      <c r="AA753" s="371"/>
      <c r="AB753" s="54">
        <f t="shared" ref="AB753:AB759" si="326">L753/V753</f>
        <v>256</v>
      </c>
      <c r="AC753" s="99">
        <f t="shared" ref="AC753:AC759" si="327">T753/V753</f>
        <v>13.166666666666666</v>
      </c>
      <c r="AD753" s="110">
        <f t="shared" ref="AD753:AD759" si="328">9*256*V753</f>
        <v>27648</v>
      </c>
      <c r="AG753" s="236"/>
    </row>
    <row r="754" spans="1:33" x14ac:dyDescent="0.2">
      <c r="A754" s="182" t="s">
        <v>189</v>
      </c>
      <c r="B754" s="17"/>
      <c r="C754" s="227"/>
      <c r="D754" s="213"/>
      <c r="E754" s="118" t="s">
        <v>308</v>
      </c>
      <c r="F754" s="18" t="s">
        <v>568</v>
      </c>
      <c r="G754" s="19">
        <v>34.875</v>
      </c>
      <c r="H754" s="124">
        <v>13</v>
      </c>
      <c r="I754" s="162">
        <v>100</v>
      </c>
      <c r="J754" s="138" t="s">
        <v>457</v>
      </c>
      <c r="K754" s="20">
        <v>92.73</v>
      </c>
      <c r="L754" s="245">
        <v>6144</v>
      </c>
      <c r="M754" s="64">
        <f t="shared" si="323"/>
        <v>2457.6000000000004</v>
      </c>
      <c r="N754" s="65">
        <f t="shared" si="324"/>
        <v>70.468817204301089</v>
      </c>
      <c r="O754" s="65">
        <f t="shared" si="325"/>
        <v>176.1720430107527</v>
      </c>
      <c r="P754" s="65"/>
      <c r="Q754" s="65"/>
      <c r="R754" s="65">
        <v>2</v>
      </c>
      <c r="S754" s="65"/>
      <c r="T754" s="65">
        <v>242</v>
      </c>
      <c r="U754" s="65"/>
      <c r="V754" s="65">
        <v>16</v>
      </c>
      <c r="W754" s="65"/>
      <c r="X754" s="110"/>
      <c r="Y754" s="81"/>
      <c r="Z754" s="141"/>
      <c r="AA754" s="371"/>
      <c r="AB754" s="54">
        <f t="shared" si="326"/>
        <v>384</v>
      </c>
      <c r="AC754" s="99">
        <f t="shared" si="327"/>
        <v>15.125</v>
      </c>
      <c r="AD754" s="110">
        <f t="shared" si="328"/>
        <v>36864</v>
      </c>
      <c r="AG754" s="236"/>
    </row>
    <row r="755" spans="1:33" x14ac:dyDescent="0.2">
      <c r="A755" s="182" t="s">
        <v>189</v>
      </c>
      <c r="B755" s="17"/>
      <c r="C755" s="227"/>
      <c r="D755" s="213" t="s">
        <v>704</v>
      </c>
      <c r="E755" s="118" t="s">
        <v>774</v>
      </c>
      <c r="F755" s="18" t="s">
        <v>573</v>
      </c>
      <c r="G755" s="19">
        <v>62</v>
      </c>
      <c r="H755" s="124">
        <v>13</v>
      </c>
      <c r="I755" s="162">
        <v>100</v>
      </c>
      <c r="J755" s="138" t="s">
        <v>457</v>
      </c>
      <c r="K755" s="20">
        <v>128.69999999999999</v>
      </c>
      <c r="L755" s="245">
        <v>8192</v>
      </c>
      <c r="M755" s="64">
        <f t="shared" si="323"/>
        <v>3276.8</v>
      </c>
      <c r="N755" s="65">
        <f t="shared" si="324"/>
        <v>52.851612903225806</v>
      </c>
      <c r="O755" s="65">
        <f t="shared" si="325"/>
        <v>132.12903225806451</v>
      </c>
      <c r="P755" s="65"/>
      <c r="Q755" s="65"/>
      <c r="R755" s="65">
        <v>2</v>
      </c>
      <c r="S755" s="65"/>
      <c r="T755" s="65">
        <v>290</v>
      </c>
      <c r="U755" s="65"/>
      <c r="V755" s="65">
        <v>32</v>
      </c>
      <c r="W755" s="65"/>
      <c r="X755" s="110"/>
      <c r="Y755" s="81"/>
      <c r="Z755" s="141"/>
      <c r="AA755" s="371"/>
      <c r="AB755" s="54">
        <f t="shared" si="326"/>
        <v>256</v>
      </c>
      <c r="AC755" s="99">
        <f t="shared" si="327"/>
        <v>9.0625</v>
      </c>
      <c r="AD755" s="110">
        <f t="shared" si="328"/>
        <v>73728</v>
      </c>
      <c r="AG755" s="236"/>
    </row>
    <row r="756" spans="1:33" x14ac:dyDescent="0.2">
      <c r="A756" s="182" t="s">
        <v>189</v>
      </c>
      <c r="B756" s="17"/>
      <c r="C756" s="227"/>
      <c r="D756" s="213"/>
      <c r="E756" s="17" t="s">
        <v>309</v>
      </c>
      <c r="F756" s="18" t="s">
        <v>573</v>
      </c>
      <c r="G756" s="19">
        <v>108.5</v>
      </c>
      <c r="H756" s="124">
        <v>13</v>
      </c>
      <c r="I756" s="162">
        <v>100</v>
      </c>
      <c r="J756" s="138" t="s">
        <v>460</v>
      </c>
      <c r="K756" s="20">
        <v>217.8</v>
      </c>
      <c r="L756" s="245">
        <v>12288</v>
      </c>
      <c r="M756" s="64">
        <f t="shared" si="323"/>
        <v>4915.2000000000007</v>
      </c>
      <c r="N756" s="65">
        <f t="shared" si="324"/>
        <v>45.30138248847927</v>
      </c>
      <c r="O756" s="65">
        <f t="shared" si="325"/>
        <v>113.25345622119816</v>
      </c>
      <c r="P756" s="65"/>
      <c r="Q756" s="65"/>
      <c r="R756" s="65">
        <v>2</v>
      </c>
      <c r="S756" s="65"/>
      <c r="T756" s="65">
        <v>344</v>
      </c>
      <c r="U756" s="65"/>
      <c r="V756" s="65">
        <v>48</v>
      </c>
      <c r="W756" s="65"/>
      <c r="X756" s="110"/>
      <c r="Y756" s="81"/>
      <c r="Z756" s="141"/>
      <c r="AA756" s="371"/>
      <c r="AB756" s="54">
        <f t="shared" si="326"/>
        <v>256</v>
      </c>
      <c r="AC756" s="99">
        <f t="shared" si="327"/>
        <v>7.166666666666667</v>
      </c>
      <c r="AD756" s="110">
        <f t="shared" si="328"/>
        <v>110592</v>
      </c>
      <c r="AG756" s="236"/>
    </row>
    <row r="757" spans="1:33" x14ac:dyDescent="0.2">
      <c r="A757" s="182" t="s">
        <v>189</v>
      </c>
      <c r="B757" s="17"/>
      <c r="C757" s="227"/>
      <c r="D757" s="213" t="s">
        <v>704</v>
      </c>
      <c r="E757" s="17" t="s">
        <v>775</v>
      </c>
      <c r="F757" s="18" t="s">
        <v>568</v>
      </c>
      <c r="G757" s="19">
        <v>234.67</v>
      </c>
      <c r="H757" s="124">
        <v>17</v>
      </c>
      <c r="I757" s="162">
        <v>186</v>
      </c>
      <c r="J757" s="138" t="s">
        <v>461</v>
      </c>
      <c r="K757" s="20">
        <v>398.31</v>
      </c>
      <c r="L757" s="245">
        <v>21504</v>
      </c>
      <c r="M757" s="64">
        <f t="shared" si="323"/>
        <v>8601.6</v>
      </c>
      <c r="N757" s="65">
        <f t="shared" si="324"/>
        <v>36.654024800784086</v>
      </c>
      <c r="O757" s="65">
        <f t="shared" si="325"/>
        <v>91.635062001960208</v>
      </c>
      <c r="P757" s="65"/>
      <c r="Q757" s="65"/>
      <c r="R757" s="65">
        <v>2</v>
      </c>
      <c r="S757" s="65"/>
      <c r="T757" s="65">
        <v>454</v>
      </c>
      <c r="U757" s="65"/>
      <c r="V757" s="65">
        <v>56</v>
      </c>
      <c r="W757" s="65"/>
      <c r="X757" s="110"/>
      <c r="Y757" s="81"/>
      <c r="Z757" s="141"/>
      <c r="AA757" s="371"/>
      <c r="AB757" s="54">
        <f t="shared" si="326"/>
        <v>384</v>
      </c>
      <c r="AC757" s="99">
        <f t="shared" si="327"/>
        <v>8.1071428571428577</v>
      </c>
      <c r="AD757" s="110">
        <f t="shared" si="328"/>
        <v>129024</v>
      </c>
      <c r="AG757" s="236"/>
    </row>
    <row r="758" spans="1:33" x14ac:dyDescent="0.2">
      <c r="A758" s="182" t="s">
        <v>189</v>
      </c>
      <c r="B758" s="17"/>
      <c r="C758" s="227"/>
      <c r="D758" s="213"/>
      <c r="E758" s="17" t="s">
        <v>310</v>
      </c>
      <c r="F758" s="18" t="s">
        <v>574</v>
      </c>
      <c r="G758" s="19">
        <v>423.77</v>
      </c>
      <c r="H758" s="124">
        <v>27</v>
      </c>
      <c r="I758" s="162">
        <v>454</v>
      </c>
      <c r="J758" s="138" t="s">
        <v>462</v>
      </c>
      <c r="K758" s="20">
        <v>647.13</v>
      </c>
      <c r="L758" s="245">
        <v>32768</v>
      </c>
      <c r="M758" s="64">
        <f t="shared" si="323"/>
        <v>13107.2</v>
      </c>
      <c r="N758" s="65">
        <f t="shared" si="324"/>
        <v>30.929985605399157</v>
      </c>
      <c r="O758" s="65">
        <f t="shared" si="325"/>
        <v>77.32496401349789</v>
      </c>
      <c r="P758" s="65"/>
      <c r="Q758" s="65"/>
      <c r="R758" s="65">
        <v>2</v>
      </c>
      <c r="S758" s="65"/>
      <c r="T758" s="65">
        <v>562</v>
      </c>
      <c r="U758" s="65"/>
      <c r="V758" s="65">
        <v>64</v>
      </c>
      <c r="W758" s="65"/>
      <c r="X758" s="110"/>
      <c r="Y758" s="81"/>
      <c r="Z758" s="141"/>
      <c r="AA758" s="371"/>
      <c r="AB758" s="54">
        <f t="shared" si="326"/>
        <v>512</v>
      </c>
      <c r="AC758" s="99">
        <f t="shared" si="327"/>
        <v>8.78125</v>
      </c>
      <c r="AD758" s="110">
        <f t="shared" si="328"/>
        <v>147456</v>
      </c>
      <c r="AG758" s="236"/>
    </row>
    <row r="759" spans="1:33" ht="13.5" thickBot="1" x14ac:dyDescent="0.25">
      <c r="A759" s="182" t="s">
        <v>189</v>
      </c>
      <c r="B759" s="21"/>
      <c r="C759" s="228"/>
      <c r="D759" s="214" t="s">
        <v>704</v>
      </c>
      <c r="E759" s="21" t="s">
        <v>776</v>
      </c>
      <c r="F759" s="22" t="s">
        <v>575</v>
      </c>
      <c r="G759" s="23">
        <v>957.745</v>
      </c>
      <c r="H759" s="125">
        <v>31</v>
      </c>
      <c r="I759" s="163">
        <v>642</v>
      </c>
      <c r="J759" s="150" t="s">
        <v>459</v>
      </c>
      <c r="K759" s="24">
        <v>1448.04</v>
      </c>
      <c r="L759" s="246">
        <v>56320</v>
      </c>
      <c r="M759" s="64">
        <f t="shared" si="323"/>
        <v>22528</v>
      </c>
      <c r="N759" s="65">
        <f t="shared" si="324"/>
        <v>23.521918673550893</v>
      </c>
      <c r="O759" s="68">
        <f t="shared" si="325"/>
        <v>58.804796683877235</v>
      </c>
      <c r="P759" s="68"/>
      <c r="Q759" s="68"/>
      <c r="R759" s="68">
        <v>2</v>
      </c>
      <c r="S759" s="68"/>
      <c r="T759" s="68">
        <v>712</v>
      </c>
      <c r="U759" s="68"/>
      <c r="V759" s="68">
        <v>88</v>
      </c>
      <c r="W759" s="68"/>
      <c r="X759" s="111"/>
      <c r="Y759" s="82"/>
      <c r="Z759" s="142"/>
      <c r="AA759" s="374"/>
      <c r="AB759" s="55">
        <f t="shared" si="326"/>
        <v>640</v>
      </c>
      <c r="AC759" s="100">
        <f t="shared" si="327"/>
        <v>8.0909090909090917</v>
      </c>
      <c r="AD759" s="111">
        <f t="shared" si="328"/>
        <v>202752</v>
      </c>
      <c r="AG759" s="236"/>
    </row>
    <row r="760" spans="1:33" x14ac:dyDescent="0.2">
      <c r="A760" s="182"/>
      <c r="B760" s="241" t="s">
        <v>362</v>
      </c>
      <c r="C760" s="226"/>
      <c r="D760" s="212"/>
      <c r="E760" s="12" t="s">
        <v>311</v>
      </c>
      <c r="G760" s="14" t="s">
        <v>798</v>
      </c>
      <c r="H760" s="132" t="s">
        <v>532</v>
      </c>
      <c r="I760" s="161"/>
      <c r="J760" s="136"/>
      <c r="K760" s="16"/>
      <c r="L760" s="244" t="s">
        <v>365</v>
      </c>
      <c r="M760" s="60"/>
      <c r="N760" s="380">
        <f>AVERAGE(N761:N774)</f>
        <v>125.78113581577185</v>
      </c>
      <c r="O760" s="61"/>
      <c r="P760" s="61" t="s">
        <v>502</v>
      </c>
      <c r="Q760" s="61"/>
      <c r="R760" s="61"/>
      <c r="S760" s="61"/>
      <c r="T760" s="61"/>
      <c r="U760" s="61"/>
      <c r="V760" s="62" t="s">
        <v>182</v>
      </c>
      <c r="W760" s="61" t="s">
        <v>797</v>
      </c>
      <c r="X760" s="109"/>
      <c r="Y760" s="80"/>
      <c r="Z760" s="164"/>
      <c r="AA760" s="373"/>
      <c r="AB760" s="92">
        <f>AVERAGE(AB764:AB773)</f>
        <v>615.11111111111109</v>
      </c>
      <c r="AC760" s="98">
        <f>AVERAGE(AC764:AC773)</f>
        <v>13.21574074074074</v>
      </c>
      <c r="AD760" s="109" t="s">
        <v>650</v>
      </c>
      <c r="AG760" s="236"/>
    </row>
    <row r="761" spans="1:33" x14ac:dyDescent="0.2">
      <c r="A761" s="182" t="s">
        <v>189</v>
      </c>
      <c r="B761" s="41" t="s">
        <v>701</v>
      </c>
      <c r="C761" s="227"/>
      <c r="D761" s="213"/>
      <c r="E761" s="118" t="s">
        <v>661</v>
      </c>
      <c r="F761" s="18" t="s">
        <v>657</v>
      </c>
      <c r="G761" s="19"/>
      <c r="H761" s="124">
        <v>6</v>
      </c>
      <c r="I761" s="162">
        <v>34</v>
      </c>
      <c r="J761" s="138"/>
      <c r="K761" s="20"/>
      <c r="L761" s="245">
        <v>260</v>
      </c>
      <c r="M761" s="64">
        <f>0.4*L761</f>
        <v>104</v>
      </c>
      <c r="N761" s="65" t="str">
        <f t="shared" ref="N761:N774" si="329">IF(AND(G761&lt;&gt;"",M761&lt;&gt;""),M761/G761,"")</f>
        <v/>
      </c>
      <c r="O761" s="65" t="str">
        <f>IF(AND(G761&lt;&gt;"",L761&lt;&gt;""),L761/G761,"")</f>
        <v/>
      </c>
      <c r="P761" s="65"/>
      <c r="Q761" s="65"/>
      <c r="R761" s="65"/>
      <c r="S761" s="65"/>
      <c r="T761" s="65">
        <v>49</v>
      </c>
      <c r="U761" s="65"/>
      <c r="V761" s="65">
        <v>0</v>
      </c>
      <c r="W761" s="65">
        <v>1</v>
      </c>
      <c r="X761" s="110"/>
      <c r="Y761" s="81"/>
      <c r="Z761" s="141" t="str">
        <f>IF(AND(L761&lt;&gt;"",Y761&lt;&gt;""),L761/Y761,"")</f>
        <v/>
      </c>
      <c r="AA761" s="371"/>
      <c r="AB761" s="54"/>
      <c r="AC761" s="99"/>
      <c r="AD761" s="191">
        <f>256*18*V761/1000000</f>
        <v>0</v>
      </c>
      <c r="AG761" s="236"/>
    </row>
    <row r="762" spans="1:33" x14ac:dyDescent="0.2">
      <c r="A762" s="182" t="s">
        <v>189</v>
      </c>
      <c r="B762" s="41" t="s">
        <v>701</v>
      </c>
      <c r="C762" s="227"/>
      <c r="D762" s="213"/>
      <c r="E762" s="118" t="s">
        <v>660</v>
      </c>
      <c r="F762" s="18" t="s">
        <v>658</v>
      </c>
      <c r="G762" s="19">
        <v>3.71</v>
      </c>
      <c r="H762" s="124">
        <v>8</v>
      </c>
      <c r="I762" s="162">
        <v>49</v>
      </c>
      <c r="J762" s="138"/>
      <c r="K762" s="20"/>
      <c r="L762" s="245">
        <v>384</v>
      </c>
      <c r="M762" s="64">
        <f t="shared" ref="M762:M774" si="330">0.4*L762</f>
        <v>153.60000000000002</v>
      </c>
      <c r="N762" s="65">
        <f t="shared" si="329"/>
        <v>41.401617250673858</v>
      </c>
      <c r="O762" s="65">
        <f>IF(AND(G762&lt;&gt;"",L762&lt;&gt;""),L762/G762,"")</f>
        <v>103.50404312668464</v>
      </c>
      <c r="P762" s="65"/>
      <c r="Q762" s="65"/>
      <c r="R762" s="65"/>
      <c r="S762" s="65"/>
      <c r="T762" s="65">
        <v>49</v>
      </c>
      <c r="U762" s="65"/>
      <c r="V762" s="65">
        <v>0</v>
      </c>
      <c r="W762" s="65">
        <v>1</v>
      </c>
      <c r="X762" s="110"/>
      <c r="Y762" s="81"/>
      <c r="Z762" s="141" t="str">
        <f>IF(AND(L762&lt;&gt;"",Y762&lt;&gt;""),L762/Y762,"")</f>
        <v/>
      </c>
      <c r="AA762" s="371"/>
      <c r="AB762" s="54"/>
      <c r="AC762" s="99"/>
      <c r="AD762" s="191">
        <f>256*18*V762/1000000</f>
        <v>0</v>
      </c>
      <c r="AG762" s="236"/>
    </row>
    <row r="763" spans="1:33" x14ac:dyDescent="0.2">
      <c r="A763" s="182" t="s">
        <v>189</v>
      </c>
      <c r="B763" s="41" t="s">
        <v>701</v>
      </c>
      <c r="C763" s="227"/>
      <c r="D763" s="213"/>
      <c r="E763" s="118" t="s">
        <v>662</v>
      </c>
      <c r="F763" s="18" t="s">
        <v>658</v>
      </c>
      <c r="G763" s="19"/>
      <c r="H763" s="124">
        <v>8</v>
      </c>
      <c r="I763" s="162">
        <v>49</v>
      </c>
      <c r="J763" s="138"/>
      <c r="K763" s="20"/>
      <c r="L763" s="245">
        <v>520</v>
      </c>
      <c r="M763" s="64">
        <f t="shared" si="330"/>
        <v>208</v>
      </c>
      <c r="N763" s="65" t="str">
        <f t="shared" si="329"/>
        <v/>
      </c>
      <c r="O763" s="65" t="str">
        <f>IF(AND(G763&lt;&gt;"",L763&lt;&gt;""),L763/G763,"")</f>
        <v/>
      </c>
      <c r="P763" s="65"/>
      <c r="Q763" s="65"/>
      <c r="R763" s="65"/>
      <c r="S763" s="65"/>
      <c r="T763" s="65">
        <v>49</v>
      </c>
      <c r="U763" s="65"/>
      <c r="V763" s="65">
        <v>0</v>
      </c>
      <c r="W763" s="65">
        <v>1</v>
      </c>
      <c r="X763" s="110"/>
      <c r="Y763" s="81"/>
      <c r="Z763" s="141" t="str">
        <f>IF(AND(L763&lt;&gt;"",Y763&lt;&gt;""),L763/Y763,"")</f>
        <v/>
      </c>
      <c r="AA763" s="371"/>
      <c r="AB763" s="54"/>
      <c r="AC763" s="99"/>
      <c r="AD763" s="191">
        <f>256*18*V763/1000000</f>
        <v>0</v>
      </c>
      <c r="AG763" s="236"/>
    </row>
    <row r="764" spans="1:33" x14ac:dyDescent="0.2">
      <c r="A764" s="182" t="s">
        <v>189</v>
      </c>
      <c r="B764" s="41" t="s">
        <v>701</v>
      </c>
      <c r="C764" s="227"/>
      <c r="D764" s="213"/>
      <c r="E764" s="118" t="s">
        <v>800</v>
      </c>
      <c r="F764" s="18" t="s">
        <v>564</v>
      </c>
      <c r="G764" s="19">
        <v>3.29</v>
      </c>
      <c r="H764" s="124">
        <v>6</v>
      </c>
      <c r="I764" s="162">
        <v>71</v>
      </c>
      <c r="J764" s="138"/>
      <c r="K764" s="20"/>
      <c r="L764" s="245">
        <v>768</v>
      </c>
      <c r="M764" s="64">
        <f t="shared" si="330"/>
        <v>307.20000000000005</v>
      </c>
      <c r="N764" s="65">
        <f t="shared" si="329"/>
        <v>93.373860182370834</v>
      </c>
      <c r="O764" s="65">
        <f t="shared" ref="O764:O773" si="331">IF(AND(G764&lt;&gt;"",L764&lt;&gt;""),L764/G764,"")</f>
        <v>233.43465045592706</v>
      </c>
      <c r="P764" s="65"/>
      <c r="Q764" s="65"/>
      <c r="R764" s="65"/>
      <c r="S764" s="65"/>
      <c r="T764" s="65">
        <v>81</v>
      </c>
      <c r="U764" s="65"/>
      <c r="V764" s="65">
        <v>0</v>
      </c>
      <c r="W764" s="65">
        <v>1</v>
      </c>
      <c r="X764" s="110"/>
      <c r="Y764" s="81">
        <v>1.5</v>
      </c>
      <c r="Z764" s="141">
        <f>IF(AND(L764&lt;&gt;"",Y764&lt;&gt;""),L764/Y764,"")</f>
        <v>512</v>
      </c>
      <c r="AA764" s="371"/>
      <c r="AB764" s="54"/>
      <c r="AC764" s="99"/>
      <c r="AD764" s="191">
        <f>256*18*V764/1000000</f>
        <v>0</v>
      </c>
      <c r="AG764" s="236"/>
    </row>
    <row r="765" spans="1:33" x14ac:dyDescent="0.2">
      <c r="A765" s="182" t="s">
        <v>189</v>
      </c>
      <c r="B765" s="17" t="s">
        <v>711</v>
      </c>
      <c r="C765" s="227"/>
      <c r="D765" s="213"/>
      <c r="E765" s="118" t="s">
        <v>801</v>
      </c>
      <c r="F765" s="18" t="s">
        <v>564</v>
      </c>
      <c r="G765" s="19">
        <v>5.72</v>
      </c>
      <c r="H765" s="124">
        <v>8</v>
      </c>
      <c r="I765" s="162">
        <v>71</v>
      </c>
      <c r="J765" s="138" t="s">
        <v>463</v>
      </c>
      <c r="K765" s="20">
        <v>29.54</v>
      </c>
      <c r="L765" s="245">
        <v>1536</v>
      </c>
      <c r="M765" s="64">
        <f t="shared" si="330"/>
        <v>614.40000000000009</v>
      </c>
      <c r="N765" s="65">
        <f t="shared" si="329"/>
        <v>107.41258741258743</v>
      </c>
      <c r="O765" s="65">
        <f t="shared" si="331"/>
        <v>268.53146853146853</v>
      </c>
      <c r="P765" s="65"/>
      <c r="Q765" s="65"/>
      <c r="R765" s="65">
        <v>1</v>
      </c>
      <c r="S765" s="65"/>
      <c r="T765" s="65">
        <v>96</v>
      </c>
      <c r="U765" s="65"/>
      <c r="V765" s="65">
        <v>4</v>
      </c>
      <c r="W765" s="65">
        <v>1</v>
      </c>
      <c r="X765" s="110"/>
      <c r="Y765" s="81"/>
      <c r="Z765" s="141"/>
      <c r="AA765" s="371"/>
      <c r="AB765" s="54">
        <f t="shared" ref="AB765:AB773" si="332">L765/V765</f>
        <v>384</v>
      </c>
      <c r="AC765" s="99">
        <f t="shared" ref="AC765:AC773" si="333">T765/V765</f>
        <v>24</v>
      </c>
      <c r="AD765" s="191">
        <f t="shared" ref="AD765:AD774" si="334">256*18*V765/1000000</f>
        <v>1.8432E-2</v>
      </c>
      <c r="AG765" s="236"/>
    </row>
    <row r="766" spans="1:33" x14ac:dyDescent="0.2">
      <c r="A766" s="182" t="s">
        <v>189</v>
      </c>
      <c r="B766" s="17" t="s">
        <v>711</v>
      </c>
      <c r="C766" s="227"/>
      <c r="D766" s="213"/>
      <c r="E766" s="118" t="s">
        <v>802</v>
      </c>
      <c r="F766" s="18" t="s">
        <v>799</v>
      </c>
      <c r="G766" s="19">
        <v>7.87</v>
      </c>
      <c r="H766" s="124">
        <v>8</v>
      </c>
      <c r="I766" s="162">
        <v>68</v>
      </c>
      <c r="J766" s="138" t="s">
        <v>465</v>
      </c>
      <c r="K766" s="20">
        <v>53.63</v>
      </c>
      <c r="L766" s="245">
        <v>3072</v>
      </c>
      <c r="M766" s="64">
        <f t="shared" si="330"/>
        <v>1228.8000000000002</v>
      </c>
      <c r="N766" s="65">
        <f t="shared" si="329"/>
        <v>156.13722998729355</v>
      </c>
      <c r="O766" s="65">
        <f t="shared" si="331"/>
        <v>390.34307496823379</v>
      </c>
      <c r="P766" s="65"/>
      <c r="Q766" s="65"/>
      <c r="R766" s="65">
        <v>1</v>
      </c>
      <c r="S766" s="65"/>
      <c r="T766" s="65">
        <v>133</v>
      </c>
      <c r="U766" s="65"/>
      <c r="V766" s="65">
        <v>8</v>
      </c>
      <c r="W766" s="65">
        <v>1</v>
      </c>
      <c r="X766" s="110"/>
      <c r="Y766" s="81"/>
      <c r="Z766" s="141"/>
      <c r="AA766" s="371"/>
      <c r="AB766" s="54">
        <f t="shared" si="332"/>
        <v>384</v>
      </c>
      <c r="AC766" s="99">
        <f t="shared" si="333"/>
        <v>16.625</v>
      </c>
      <c r="AD766" s="191">
        <f t="shared" si="334"/>
        <v>3.6864000000000001E-2</v>
      </c>
      <c r="AG766" s="236"/>
    </row>
    <row r="767" spans="1:33" x14ac:dyDescent="0.2">
      <c r="A767" s="182" t="s">
        <v>189</v>
      </c>
      <c r="B767" s="17" t="s">
        <v>711</v>
      </c>
      <c r="C767" s="227"/>
      <c r="D767" s="213"/>
      <c r="E767" s="118" t="s">
        <v>803</v>
      </c>
      <c r="F767" s="18" t="s">
        <v>565</v>
      </c>
      <c r="G767" s="19">
        <v>9.7200000000000006</v>
      </c>
      <c r="H767" s="124">
        <v>8</v>
      </c>
      <c r="I767" s="162">
        <v>97</v>
      </c>
      <c r="J767" s="138" t="s">
        <v>466</v>
      </c>
      <c r="K767" s="20">
        <v>73.430000000000007</v>
      </c>
      <c r="L767" s="245">
        <v>6144</v>
      </c>
      <c r="M767" s="64">
        <f t="shared" si="330"/>
        <v>2457.6000000000004</v>
      </c>
      <c r="N767" s="65">
        <f t="shared" si="329"/>
        <v>252.83950617283952</v>
      </c>
      <c r="O767" s="65">
        <f t="shared" si="331"/>
        <v>632.09876543209873</v>
      </c>
      <c r="P767" s="65">
        <v>1</v>
      </c>
      <c r="Q767" s="65"/>
      <c r="R767" s="65">
        <v>1</v>
      </c>
      <c r="S767" s="65"/>
      <c r="T767" s="65">
        <v>157</v>
      </c>
      <c r="U767" s="65"/>
      <c r="V767" s="65">
        <v>8</v>
      </c>
      <c r="W767" s="65">
        <v>1</v>
      </c>
      <c r="X767" s="110"/>
      <c r="Y767" s="81">
        <v>3.95</v>
      </c>
      <c r="Z767" s="141">
        <f>IF(AND(L767&lt;&gt;"",Y767&lt;&gt;""),L767/Y767,"")</f>
        <v>1555.4430379746834</v>
      </c>
      <c r="AA767" s="371"/>
      <c r="AB767" s="54">
        <f t="shared" si="332"/>
        <v>768</v>
      </c>
      <c r="AC767" s="99">
        <f t="shared" si="333"/>
        <v>19.625</v>
      </c>
      <c r="AD767" s="191">
        <f t="shared" si="334"/>
        <v>3.6864000000000001E-2</v>
      </c>
      <c r="AE767" t="s">
        <v>1007</v>
      </c>
      <c r="AG767" s="236"/>
    </row>
    <row r="768" spans="1:33" x14ac:dyDescent="0.2">
      <c r="A768" s="182" t="s">
        <v>189</v>
      </c>
      <c r="B768" s="17" t="s">
        <v>711</v>
      </c>
      <c r="C768" s="227"/>
      <c r="D768" s="213"/>
      <c r="E768" s="118" t="s">
        <v>312</v>
      </c>
      <c r="F768" s="18" t="s">
        <v>566</v>
      </c>
      <c r="G768" s="19">
        <v>27</v>
      </c>
      <c r="H768" s="124">
        <v>13</v>
      </c>
      <c r="I768" s="162">
        <v>97</v>
      </c>
      <c r="J768" s="138" t="s">
        <v>464</v>
      </c>
      <c r="K768" s="20">
        <v>103.46</v>
      </c>
      <c r="L768" s="245">
        <v>9216</v>
      </c>
      <c r="M768" s="64">
        <f t="shared" si="330"/>
        <v>3686.4</v>
      </c>
      <c r="N768" s="65">
        <f t="shared" si="329"/>
        <v>136.53333333333333</v>
      </c>
      <c r="O768" s="65">
        <f t="shared" si="331"/>
        <v>341.33333333333331</v>
      </c>
      <c r="P768" s="65">
        <v>1</v>
      </c>
      <c r="Q768" s="65"/>
      <c r="R768" s="65">
        <v>1</v>
      </c>
      <c r="S768" s="65"/>
      <c r="T768" s="65">
        <v>194</v>
      </c>
      <c r="U768" s="65"/>
      <c r="V768" s="65">
        <v>12</v>
      </c>
      <c r="W768" s="65">
        <v>1</v>
      </c>
      <c r="X768" s="110"/>
      <c r="Y768" s="81"/>
      <c r="Z768" s="141"/>
      <c r="AA768" s="371"/>
      <c r="AB768" s="54">
        <f t="shared" si="332"/>
        <v>768</v>
      </c>
      <c r="AC768" s="99">
        <f t="shared" si="333"/>
        <v>16.166666666666668</v>
      </c>
      <c r="AD768" s="191">
        <f t="shared" si="334"/>
        <v>5.5295999999999998E-2</v>
      </c>
      <c r="AG768" s="236"/>
    </row>
    <row r="769" spans="1:33" x14ac:dyDescent="0.2">
      <c r="A769" s="182" t="s">
        <v>189</v>
      </c>
      <c r="B769" s="17" t="s">
        <v>711</v>
      </c>
      <c r="C769" s="227"/>
      <c r="D769" s="229" t="s">
        <v>703</v>
      </c>
      <c r="E769" s="118" t="s">
        <v>777</v>
      </c>
      <c r="F769" s="18" t="s">
        <v>567</v>
      </c>
      <c r="G769" s="19">
        <v>35.43</v>
      </c>
      <c r="H769" s="124">
        <v>13</v>
      </c>
      <c r="I769" s="162">
        <v>97</v>
      </c>
      <c r="J769" s="138"/>
      <c r="K769" s="20"/>
      <c r="L769" s="245">
        <v>13824</v>
      </c>
      <c r="M769" s="64">
        <f t="shared" si="330"/>
        <v>5529.6</v>
      </c>
      <c r="N769" s="65">
        <f t="shared" si="329"/>
        <v>156.07112616426758</v>
      </c>
      <c r="O769" s="65">
        <f t="shared" si="331"/>
        <v>390.17781541066893</v>
      </c>
      <c r="P769" s="65" t="s">
        <v>363</v>
      </c>
      <c r="Q769" s="65"/>
      <c r="R769" s="65">
        <v>1</v>
      </c>
      <c r="S769" s="65"/>
      <c r="T769" s="65">
        <v>227</v>
      </c>
      <c r="U769" s="65"/>
      <c r="V769" s="65">
        <v>24</v>
      </c>
      <c r="W769" s="65">
        <v>1</v>
      </c>
      <c r="X769" s="110"/>
      <c r="Y769" s="81"/>
      <c r="Z769" s="141"/>
      <c r="AA769" s="371"/>
      <c r="AB769" s="54">
        <f t="shared" si="332"/>
        <v>576</v>
      </c>
      <c r="AC769" s="99">
        <f t="shared" si="333"/>
        <v>9.4583333333333339</v>
      </c>
      <c r="AD769" s="191">
        <f t="shared" si="334"/>
        <v>0.110592</v>
      </c>
      <c r="AG769" s="236"/>
    </row>
    <row r="770" spans="1:33" x14ac:dyDescent="0.2">
      <c r="A770" s="182" t="s">
        <v>189</v>
      </c>
      <c r="B770" s="17" t="s">
        <v>711</v>
      </c>
      <c r="C770" s="227"/>
      <c r="D770" s="213"/>
      <c r="E770" s="118" t="s">
        <v>313</v>
      </c>
      <c r="F770" s="18" t="s">
        <v>568</v>
      </c>
      <c r="G770" s="19">
        <v>51.77</v>
      </c>
      <c r="H770" s="124">
        <v>17</v>
      </c>
      <c r="I770" s="162">
        <v>165</v>
      </c>
      <c r="J770" s="138" t="s">
        <v>464</v>
      </c>
      <c r="K770" s="20">
        <v>177.05</v>
      </c>
      <c r="L770" s="245">
        <v>13824</v>
      </c>
      <c r="M770" s="64">
        <f t="shared" si="330"/>
        <v>5529.6</v>
      </c>
      <c r="N770" s="65">
        <f t="shared" si="329"/>
        <v>106.81089434035155</v>
      </c>
      <c r="O770" s="65">
        <f t="shared" si="331"/>
        <v>267.02723585087887</v>
      </c>
      <c r="P770" s="65" t="s">
        <v>363</v>
      </c>
      <c r="Q770" s="65"/>
      <c r="R770" s="65">
        <v>6</v>
      </c>
      <c r="S770" s="65"/>
      <c r="T770" s="65">
        <v>270</v>
      </c>
      <c r="U770" s="65"/>
      <c r="V770" s="65">
        <v>24</v>
      </c>
      <c r="W770" s="65">
        <v>1</v>
      </c>
      <c r="X770" s="110"/>
      <c r="Y770" s="81">
        <v>10</v>
      </c>
      <c r="Z770" s="141">
        <f>IF(AND(L770&lt;&gt;"",Y770&lt;&gt;""),L770/Y770,"")</f>
        <v>1382.4</v>
      </c>
      <c r="AA770" s="371"/>
      <c r="AB770" s="54">
        <f t="shared" si="332"/>
        <v>576</v>
      </c>
      <c r="AC770" s="99">
        <f t="shared" si="333"/>
        <v>11.25</v>
      </c>
      <c r="AD770" s="191">
        <f t="shared" si="334"/>
        <v>0.110592</v>
      </c>
      <c r="AG770" s="236"/>
    </row>
    <row r="771" spans="1:33" x14ac:dyDescent="0.2">
      <c r="A771" s="182" t="s">
        <v>189</v>
      </c>
      <c r="B771" s="17" t="s">
        <v>711</v>
      </c>
      <c r="C771" s="227"/>
      <c r="D771" s="229" t="s">
        <v>704</v>
      </c>
      <c r="E771" s="118" t="s">
        <v>778</v>
      </c>
      <c r="F771" s="18" t="s">
        <v>569</v>
      </c>
      <c r="G771" s="19">
        <v>54.44</v>
      </c>
      <c r="H771" s="124">
        <v>13</v>
      </c>
      <c r="I771" s="162">
        <v>97</v>
      </c>
      <c r="J771" s="1" t="s">
        <v>464</v>
      </c>
      <c r="K771" s="4">
        <v>226.55</v>
      </c>
      <c r="L771" s="245">
        <v>24576</v>
      </c>
      <c r="M771" s="64">
        <f t="shared" si="330"/>
        <v>9830.4000000000015</v>
      </c>
      <c r="N771" s="65">
        <f t="shared" si="329"/>
        <v>180.57310800881709</v>
      </c>
      <c r="O771" s="65">
        <f t="shared" si="331"/>
        <v>451.43277002204263</v>
      </c>
      <c r="P771" s="135" t="s">
        <v>363</v>
      </c>
      <c r="Q771" s="65"/>
      <c r="R771" s="65">
        <v>1</v>
      </c>
      <c r="S771" s="65"/>
      <c r="T771" s="65">
        <v>288</v>
      </c>
      <c r="U771" s="65"/>
      <c r="V771" s="65">
        <v>32</v>
      </c>
      <c r="W771" s="65">
        <v>1</v>
      </c>
      <c r="X771" s="110"/>
      <c r="Y771" s="81"/>
      <c r="Z771" s="141"/>
      <c r="AA771" s="371"/>
      <c r="AB771" s="54">
        <f t="shared" si="332"/>
        <v>768</v>
      </c>
      <c r="AC771" s="99">
        <f t="shared" si="333"/>
        <v>9</v>
      </c>
      <c r="AD771" s="191">
        <f t="shared" si="334"/>
        <v>0.147456</v>
      </c>
      <c r="AG771" s="236"/>
    </row>
    <row r="772" spans="1:33" x14ac:dyDescent="0.2">
      <c r="A772" s="182" t="s">
        <v>189</v>
      </c>
      <c r="B772" s="17" t="s">
        <v>711</v>
      </c>
      <c r="C772" s="227"/>
      <c r="D772" s="213"/>
      <c r="E772" s="118" t="s">
        <v>314</v>
      </c>
      <c r="F772" s="18" t="s">
        <v>570</v>
      </c>
      <c r="G772" s="19">
        <v>137.78</v>
      </c>
      <c r="H772" s="124">
        <v>27</v>
      </c>
      <c r="I772" s="162">
        <v>280</v>
      </c>
      <c r="J772" s="138"/>
      <c r="K772" s="20"/>
      <c r="L772" s="245">
        <v>38400</v>
      </c>
      <c r="M772" s="64">
        <f t="shared" si="330"/>
        <v>15360</v>
      </c>
      <c r="N772" s="65">
        <f t="shared" si="329"/>
        <v>111.48207286979242</v>
      </c>
      <c r="O772" s="65">
        <f t="shared" si="331"/>
        <v>278.70518217448108</v>
      </c>
      <c r="P772" s="65" t="s">
        <v>363</v>
      </c>
      <c r="Q772" s="65"/>
      <c r="R772" s="65">
        <v>6</v>
      </c>
      <c r="S772" s="65"/>
      <c r="T772" s="65">
        <v>439</v>
      </c>
      <c r="U772" s="65"/>
      <c r="V772" s="65">
        <v>60</v>
      </c>
      <c r="W772" s="65">
        <v>1</v>
      </c>
      <c r="X772" s="110"/>
      <c r="Y772" s="81"/>
      <c r="Z772" s="141"/>
      <c r="AA772" s="371"/>
      <c r="AB772" s="54">
        <f t="shared" si="332"/>
        <v>640</v>
      </c>
      <c r="AC772" s="99">
        <f t="shared" si="333"/>
        <v>7.3166666666666664</v>
      </c>
      <c r="AD772" s="191">
        <f t="shared" si="334"/>
        <v>0.27648</v>
      </c>
      <c r="AG772" s="236"/>
    </row>
    <row r="773" spans="1:33" x14ac:dyDescent="0.2">
      <c r="A773" s="182" t="s">
        <v>189</v>
      </c>
      <c r="B773" s="17" t="s">
        <v>711</v>
      </c>
      <c r="C773" s="227"/>
      <c r="D773" s="229" t="s">
        <v>703</v>
      </c>
      <c r="E773" s="25" t="s">
        <v>779</v>
      </c>
      <c r="F773" s="26" t="s">
        <v>571</v>
      </c>
      <c r="G773" s="27">
        <v>374.32499999999999</v>
      </c>
      <c r="H773" s="127">
        <v>27</v>
      </c>
      <c r="I773" s="177">
        <v>280</v>
      </c>
      <c r="J773" s="139"/>
      <c r="K773" s="28"/>
      <c r="L773" s="252">
        <v>75264</v>
      </c>
      <c r="M773" s="64">
        <f t="shared" si="330"/>
        <v>30105.600000000002</v>
      </c>
      <c r="N773" s="65">
        <f t="shared" si="329"/>
        <v>80.426367461430587</v>
      </c>
      <c r="O773" s="73">
        <f t="shared" si="331"/>
        <v>201.06591865357643</v>
      </c>
      <c r="P773" s="73" t="s">
        <v>363</v>
      </c>
      <c r="Q773" s="73"/>
      <c r="R773" s="73">
        <v>6</v>
      </c>
      <c r="S773" s="73"/>
      <c r="T773" s="73">
        <v>616</v>
      </c>
      <c r="U773" s="73"/>
      <c r="V773" s="73">
        <v>112</v>
      </c>
      <c r="W773" s="65">
        <v>1</v>
      </c>
      <c r="X773" s="112"/>
      <c r="Y773" s="84"/>
      <c r="Z773" s="173"/>
      <c r="AA773" s="376"/>
      <c r="AB773" s="57">
        <f t="shared" si="332"/>
        <v>672</v>
      </c>
      <c r="AC773" s="101">
        <f t="shared" si="333"/>
        <v>5.5</v>
      </c>
      <c r="AD773" s="191">
        <f t="shared" si="334"/>
        <v>0.516096</v>
      </c>
      <c r="AG773" s="236"/>
    </row>
    <row r="774" spans="1:33" ht="13.5" thickBot="1" x14ac:dyDescent="0.25">
      <c r="A774" s="182" t="s">
        <v>189</v>
      </c>
      <c r="B774" s="17" t="s">
        <v>711</v>
      </c>
      <c r="C774" s="228"/>
      <c r="D774" s="214"/>
      <c r="E774" s="21" t="s">
        <v>646</v>
      </c>
      <c r="F774" s="22" t="s">
        <v>571</v>
      </c>
      <c r="G774" s="23">
        <v>348.8</v>
      </c>
      <c r="H774" s="125">
        <v>27</v>
      </c>
      <c r="I774" s="163">
        <v>280</v>
      </c>
      <c r="J774" s="150"/>
      <c r="K774" s="24"/>
      <c r="L774" s="246">
        <v>75264</v>
      </c>
      <c r="M774" s="64">
        <f t="shared" si="330"/>
        <v>30105.600000000002</v>
      </c>
      <c r="N774" s="65">
        <f t="shared" si="329"/>
        <v>86.311926605504595</v>
      </c>
      <c r="O774" s="68">
        <f>IF(AND(G774&lt;&gt;"",L774&lt;&gt;""),L774/G774,"")</f>
        <v>215.77981651376146</v>
      </c>
      <c r="P774" s="68" t="s">
        <v>363</v>
      </c>
      <c r="Q774" s="68"/>
      <c r="R774" s="68">
        <v>6</v>
      </c>
      <c r="S774" s="68"/>
      <c r="T774" s="68">
        <v>616</v>
      </c>
      <c r="U774" s="68"/>
      <c r="V774" s="68">
        <v>112</v>
      </c>
      <c r="W774" s="65">
        <v>1</v>
      </c>
      <c r="X774" s="111"/>
      <c r="Y774" s="82"/>
      <c r="Z774" s="142"/>
      <c r="AA774" s="374"/>
      <c r="AB774" s="55">
        <f>L774/V774</f>
        <v>672</v>
      </c>
      <c r="AC774" s="100">
        <f>T774/V774</f>
        <v>5.5</v>
      </c>
      <c r="AD774" s="191">
        <f t="shared" si="334"/>
        <v>0.516096</v>
      </c>
      <c r="AG774" s="236"/>
    </row>
    <row r="775" spans="1:33" x14ac:dyDescent="0.2">
      <c r="A775" s="182"/>
      <c r="B775" s="241" t="s">
        <v>362</v>
      </c>
      <c r="C775" s="226"/>
      <c r="D775" s="212"/>
      <c r="E775" s="12" t="s">
        <v>539</v>
      </c>
      <c r="F775" s="15"/>
      <c r="G775" s="14" t="s">
        <v>798</v>
      </c>
      <c r="H775" s="40" t="s">
        <v>530</v>
      </c>
      <c r="I775" s="161"/>
      <c r="J775" s="136"/>
      <c r="K775" s="16"/>
      <c r="L775" s="244" t="s">
        <v>365</v>
      </c>
      <c r="M775" s="60"/>
      <c r="N775" s="380">
        <f>AVERAGE(N776:N786)</f>
        <v>132.30508938356476</v>
      </c>
      <c r="O775" s="61"/>
      <c r="P775" s="61" t="s">
        <v>502</v>
      </c>
      <c r="Q775" s="61"/>
      <c r="R775" s="61"/>
      <c r="S775" s="61"/>
      <c r="T775" s="61"/>
      <c r="U775" s="61"/>
      <c r="V775" s="62" t="s">
        <v>182</v>
      </c>
      <c r="W775" s="61" t="s">
        <v>797</v>
      </c>
      <c r="X775" s="109"/>
      <c r="Y775" s="80" t="s">
        <v>2509</v>
      </c>
      <c r="Z775" s="164"/>
      <c r="AA775" s="373"/>
      <c r="AB775" s="92">
        <f>AVERAGE(AB779:AB798)</f>
        <v>555.20000000000005</v>
      </c>
      <c r="AC775" s="98">
        <f>AVERAGE(AC779:AC798)</f>
        <v>10.498896289775548</v>
      </c>
      <c r="AD775" s="109" t="s">
        <v>650</v>
      </c>
      <c r="AE775" s="193"/>
      <c r="AF775" s="212"/>
      <c r="AG775"/>
    </row>
    <row r="776" spans="1:33" x14ac:dyDescent="0.2">
      <c r="A776" s="188"/>
      <c r="B776" s="17" t="s">
        <v>701</v>
      </c>
      <c r="C776" s="227"/>
      <c r="D776" s="213"/>
      <c r="E776" s="134" t="s">
        <v>654</v>
      </c>
      <c r="F776" s="45" t="s">
        <v>656</v>
      </c>
      <c r="G776" s="38"/>
      <c r="H776" s="30">
        <v>3</v>
      </c>
      <c r="I776" s="170">
        <v>34</v>
      </c>
      <c r="J776" s="137"/>
      <c r="K776" s="39"/>
      <c r="L776" s="247">
        <v>260</v>
      </c>
      <c r="M776" s="64">
        <f t="shared" ref="M776:M803" si="335">0.4*L776</f>
        <v>104</v>
      </c>
      <c r="N776" s="65" t="str">
        <f t="shared" ref="N776:N803" si="336">IF(AND(G776&lt;&gt;"",M776&lt;&gt;""),M776/G776,"")</f>
        <v/>
      </c>
      <c r="O776" s="71"/>
      <c r="P776" s="71"/>
      <c r="Q776" s="71"/>
      <c r="R776" s="71"/>
      <c r="S776" s="71"/>
      <c r="T776" s="71">
        <v>34</v>
      </c>
      <c r="U776" s="71"/>
      <c r="V776" s="77">
        <v>0</v>
      </c>
      <c r="W776" s="65">
        <v>1</v>
      </c>
      <c r="X776" s="117"/>
      <c r="Y776" s="86">
        <v>0.69</v>
      </c>
      <c r="Z776" s="141">
        <f>IF(AND(L776&lt;&gt;"",Y776&lt;&gt;""),L776/Y776,"")</f>
        <v>376.81159420289856</v>
      </c>
      <c r="AA776" s="375"/>
      <c r="AB776" s="95"/>
      <c r="AC776" s="107"/>
      <c r="AD776" s="117"/>
      <c r="AE776" s="17"/>
      <c r="AF776" s="213"/>
      <c r="AG776"/>
    </row>
    <row r="777" spans="1:33" x14ac:dyDescent="0.2">
      <c r="A777" s="182" t="s">
        <v>740</v>
      </c>
      <c r="B777" s="17" t="s">
        <v>701</v>
      </c>
      <c r="C777" s="227"/>
      <c r="D777" s="213"/>
      <c r="E777" s="134" t="s">
        <v>547</v>
      </c>
      <c r="F777" s="45" t="s">
        <v>783</v>
      </c>
      <c r="G777" s="43"/>
      <c r="H777" s="18">
        <v>8</v>
      </c>
      <c r="I777" s="167">
        <v>49</v>
      </c>
      <c r="J777" s="137"/>
      <c r="K777" s="39"/>
      <c r="L777" s="247">
        <v>384</v>
      </c>
      <c r="M777" s="64">
        <f t="shared" si="335"/>
        <v>153.60000000000002</v>
      </c>
      <c r="N777" s="65" t="str">
        <f t="shared" si="336"/>
        <v/>
      </c>
      <c r="O777" s="65" t="str">
        <f t="shared" ref="O777:O786" si="337">IF(AND(G777&lt;&gt;"",L777&lt;&gt;""),L777/G777,"")</f>
        <v/>
      </c>
      <c r="P777" s="71"/>
      <c r="Q777" s="71"/>
      <c r="R777" s="71"/>
      <c r="S777" s="71"/>
      <c r="T777" s="71">
        <v>49</v>
      </c>
      <c r="U777" s="71"/>
      <c r="V777" s="77">
        <v>0</v>
      </c>
      <c r="W777" s="65">
        <v>1</v>
      </c>
      <c r="X777" s="117"/>
      <c r="Y777" s="86">
        <v>0.99</v>
      </c>
      <c r="Z777" s="141">
        <f>IF(AND(L777&lt;&gt;"",Y777&lt;&gt;""),L777/Y777,"")</f>
        <v>387.87878787878788</v>
      </c>
      <c r="AA777" s="375"/>
      <c r="AB777" s="95"/>
      <c r="AC777" s="107"/>
      <c r="AD777" s="191">
        <f t="shared" ref="AD777:AD786" si="338">256*18*V777/1000000</f>
        <v>0</v>
      </c>
      <c r="AE777" s="17"/>
      <c r="AF777" s="213"/>
      <c r="AG777"/>
    </row>
    <row r="778" spans="1:33" x14ac:dyDescent="0.2">
      <c r="A778" s="188"/>
      <c r="B778" s="17" t="s">
        <v>701</v>
      </c>
      <c r="C778" s="227"/>
      <c r="D778" s="213"/>
      <c r="E778" s="134" t="s">
        <v>655</v>
      </c>
      <c r="F778" s="45" t="s">
        <v>659</v>
      </c>
      <c r="G778" s="43"/>
      <c r="H778" s="18">
        <v>4</v>
      </c>
      <c r="I778" s="167">
        <v>52</v>
      </c>
      <c r="J778" s="138"/>
      <c r="K778" s="44"/>
      <c r="L778" s="245">
        <v>520</v>
      </c>
      <c r="M778" s="64">
        <f t="shared" si="335"/>
        <v>208</v>
      </c>
      <c r="N778" s="65" t="str">
        <f t="shared" si="336"/>
        <v/>
      </c>
      <c r="O778" s="65"/>
      <c r="P778" s="65"/>
      <c r="Q778" s="65"/>
      <c r="R778" s="65"/>
      <c r="S778" s="65"/>
      <c r="T778" s="65">
        <v>52</v>
      </c>
      <c r="U778" s="65"/>
      <c r="V778" s="75">
        <v>0</v>
      </c>
      <c r="W778" s="65">
        <v>1</v>
      </c>
      <c r="X778" s="115"/>
      <c r="Y778" s="87"/>
      <c r="Z778" s="141"/>
      <c r="AA778" s="371"/>
      <c r="AB778" s="270"/>
      <c r="AC778" s="271"/>
      <c r="AD778" s="191"/>
      <c r="AE778" s="17"/>
      <c r="AF778" s="213"/>
      <c r="AG778"/>
    </row>
    <row r="779" spans="1:33" x14ac:dyDescent="0.2">
      <c r="A779" s="182" t="s">
        <v>740</v>
      </c>
      <c r="B779" s="17" t="s">
        <v>701</v>
      </c>
      <c r="C779" s="227"/>
      <c r="D779" s="213"/>
      <c r="E779" s="134" t="s">
        <v>516</v>
      </c>
      <c r="F779" s="18" t="s">
        <v>782</v>
      </c>
      <c r="G779" s="1518">
        <v>1.46</v>
      </c>
      <c r="H779" s="124">
        <v>5</v>
      </c>
      <c r="I779" s="162">
        <v>66</v>
      </c>
      <c r="J779" s="138"/>
      <c r="K779" s="20"/>
      <c r="L779" s="245">
        <v>768</v>
      </c>
      <c r="M779" s="64">
        <f t="shared" si="335"/>
        <v>307.20000000000005</v>
      </c>
      <c r="N779" s="65">
        <f t="shared" si="336"/>
        <v>210.41095890410963</v>
      </c>
      <c r="O779" s="65">
        <f t="shared" si="337"/>
        <v>526.02739726027403</v>
      </c>
      <c r="P779" s="65"/>
      <c r="Q779" s="65"/>
      <c r="R779" s="65"/>
      <c r="S779" s="65"/>
      <c r="T779" s="65">
        <v>81</v>
      </c>
      <c r="U779" s="65"/>
      <c r="V779" s="65">
        <v>0</v>
      </c>
      <c r="W779" s="65">
        <v>1</v>
      </c>
      <c r="X779" s="110"/>
      <c r="Y779" s="81">
        <v>1.07</v>
      </c>
      <c r="Z779" s="141">
        <f>IF(AND(L779&lt;&gt;"",Y779&lt;&gt;""),L779/Y779,"")</f>
        <v>717.75700934579436</v>
      </c>
      <c r="AA779" s="371"/>
      <c r="AB779" s="54"/>
      <c r="AC779" s="99"/>
      <c r="AD779" s="191">
        <f t="shared" si="338"/>
        <v>0</v>
      </c>
      <c r="AE779" s="17"/>
      <c r="AF779" s="213"/>
      <c r="AG779"/>
    </row>
    <row r="780" spans="1:33" x14ac:dyDescent="0.2">
      <c r="A780" s="182" t="s">
        <v>740</v>
      </c>
      <c r="B780" s="17" t="s">
        <v>711</v>
      </c>
      <c r="C780" s="227"/>
      <c r="D780" s="213"/>
      <c r="E780" s="118" t="s">
        <v>517</v>
      </c>
      <c r="F780" s="18" t="s">
        <v>564</v>
      </c>
      <c r="G780" s="1518">
        <v>4.66</v>
      </c>
      <c r="H780" s="124">
        <v>5</v>
      </c>
      <c r="I780" s="162">
        <v>66</v>
      </c>
      <c r="J780" s="138"/>
      <c r="K780" s="20"/>
      <c r="L780" s="245">
        <v>1536</v>
      </c>
      <c r="M780" s="64">
        <f t="shared" si="335"/>
        <v>614.40000000000009</v>
      </c>
      <c r="N780" s="65">
        <f t="shared" si="336"/>
        <v>131.84549356223178</v>
      </c>
      <c r="O780" s="65">
        <f t="shared" si="337"/>
        <v>329.61373390557941</v>
      </c>
      <c r="P780" s="65"/>
      <c r="Q780" s="65"/>
      <c r="R780" s="65">
        <v>1</v>
      </c>
      <c r="S780" s="65"/>
      <c r="T780" s="65">
        <v>96</v>
      </c>
      <c r="U780" s="65"/>
      <c r="V780" s="65">
        <v>4</v>
      </c>
      <c r="W780" s="65">
        <v>1</v>
      </c>
      <c r="X780" s="110"/>
      <c r="Y780" s="81"/>
      <c r="Z780" s="141" t="str">
        <f>IF(AND(L780&lt;&gt;"",Y780&lt;&gt;""),L780/Y780,"")</f>
        <v/>
      </c>
      <c r="AA780" s="371"/>
      <c r="AB780" s="54">
        <f t="shared" ref="AB780:AB786" si="339">L780/V780</f>
        <v>384</v>
      </c>
      <c r="AC780" s="99">
        <f t="shared" ref="AC780:AC786" si="340">T780/V780</f>
        <v>24</v>
      </c>
      <c r="AD780" s="191">
        <f t="shared" si="338"/>
        <v>1.8432E-2</v>
      </c>
      <c r="AE780" s="17"/>
      <c r="AF780" s="213"/>
      <c r="AG780"/>
    </row>
    <row r="781" spans="1:33" x14ac:dyDescent="0.2">
      <c r="A781" s="182" t="s">
        <v>740</v>
      </c>
      <c r="B781" s="17" t="s">
        <v>711</v>
      </c>
      <c r="C781" s="227"/>
      <c r="D781" s="213"/>
      <c r="E781" s="118" t="s">
        <v>518</v>
      </c>
      <c r="F781" s="18" t="s">
        <v>784</v>
      </c>
      <c r="G781" s="1518">
        <v>8.5239999999999991</v>
      </c>
      <c r="H781" s="124">
        <v>5</v>
      </c>
      <c r="I781" s="162">
        <v>66</v>
      </c>
      <c r="J781" s="138"/>
      <c r="K781" s="20"/>
      <c r="L781" s="245">
        <v>3072</v>
      </c>
      <c r="M781" s="64">
        <f t="shared" si="335"/>
        <v>1228.8000000000002</v>
      </c>
      <c r="N781" s="65">
        <f t="shared" si="336"/>
        <v>144.15767245424686</v>
      </c>
      <c r="O781" s="65">
        <f t="shared" si="337"/>
        <v>360.39418113561715</v>
      </c>
      <c r="P781" s="65"/>
      <c r="Q781" s="65"/>
      <c r="R781" s="65">
        <v>1</v>
      </c>
      <c r="S781" s="65"/>
      <c r="T781" s="65">
        <v>133</v>
      </c>
      <c r="U781" s="65"/>
      <c r="V781" s="65">
        <v>8</v>
      </c>
      <c r="W781" s="65">
        <v>1</v>
      </c>
      <c r="X781" s="110"/>
      <c r="Y781" s="81"/>
      <c r="Z781" s="141"/>
      <c r="AA781" s="371"/>
      <c r="AB781" s="54">
        <f t="shared" si="339"/>
        <v>384</v>
      </c>
      <c r="AC781" s="99">
        <f t="shared" si="340"/>
        <v>16.625</v>
      </c>
      <c r="AD781" s="191">
        <f t="shared" si="338"/>
        <v>3.6864000000000001E-2</v>
      </c>
      <c r="AE781" s="17"/>
      <c r="AF781" s="213"/>
      <c r="AG781"/>
    </row>
    <row r="782" spans="1:33" x14ac:dyDescent="0.2">
      <c r="A782" s="182" t="s">
        <v>740</v>
      </c>
      <c r="B782" s="17" t="s">
        <v>711</v>
      </c>
      <c r="C782" s="227"/>
      <c r="D782" s="213"/>
      <c r="E782" s="118" t="s">
        <v>519</v>
      </c>
      <c r="F782" s="18" t="s">
        <v>785</v>
      </c>
      <c r="G782" s="19">
        <v>15.48</v>
      </c>
      <c r="H782" s="124">
        <v>5</v>
      </c>
      <c r="I782" s="162">
        <v>66</v>
      </c>
      <c r="J782" s="138"/>
      <c r="K782" s="20"/>
      <c r="L782" s="245">
        <v>6144</v>
      </c>
      <c r="M782" s="64">
        <f t="shared" si="335"/>
        <v>2457.6000000000004</v>
      </c>
      <c r="N782" s="65">
        <f t="shared" si="336"/>
        <v>158.75968992248065</v>
      </c>
      <c r="O782" s="65">
        <f t="shared" si="337"/>
        <v>396.89922480620152</v>
      </c>
      <c r="P782" s="65">
        <v>1</v>
      </c>
      <c r="Q782" s="65"/>
      <c r="R782" s="65">
        <v>1</v>
      </c>
      <c r="S782" s="65"/>
      <c r="T782" s="65">
        <v>143</v>
      </c>
      <c r="U782" s="65"/>
      <c r="V782" s="65">
        <v>8</v>
      </c>
      <c r="W782" s="65">
        <v>1</v>
      </c>
      <c r="X782" s="110"/>
      <c r="Y782" s="81">
        <v>3.7</v>
      </c>
      <c r="Z782" s="141">
        <f>IF(AND(L782&lt;&gt;"",Y782&lt;&gt;""),L782/Y782,"")</f>
        <v>1660.5405405405404</v>
      </c>
      <c r="AA782" s="371"/>
      <c r="AB782" s="54">
        <f t="shared" si="339"/>
        <v>768</v>
      </c>
      <c r="AC782" s="99">
        <f t="shared" si="340"/>
        <v>17.875</v>
      </c>
      <c r="AD782" s="191">
        <f t="shared" si="338"/>
        <v>3.6864000000000001E-2</v>
      </c>
      <c r="AE782" s="17"/>
      <c r="AF782" s="213"/>
      <c r="AG782" t="s">
        <v>1007</v>
      </c>
    </row>
    <row r="783" spans="1:33" x14ac:dyDescent="0.2">
      <c r="A783" s="182" t="s">
        <v>740</v>
      </c>
      <c r="B783" s="17" t="s">
        <v>701</v>
      </c>
      <c r="C783" s="227"/>
      <c r="D783" s="213"/>
      <c r="E783" s="118" t="s">
        <v>520</v>
      </c>
      <c r="F783" s="18" t="s">
        <v>786</v>
      </c>
      <c r="G783" s="19">
        <v>60.11</v>
      </c>
      <c r="H783" s="124">
        <v>13</v>
      </c>
      <c r="I783" s="162">
        <v>97</v>
      </c>
      <c r="J783" s="138"/>
      <c r="K783" s="20"/>
      <c r="L783" s="245">
        <v>13824</v>
      </c>
      <c r="M783" s="64">
        <f t="shared" si="335"/>
        <v>5529.6</v>
      </c>
      <c r="N783" s="65">
        <f t="shared" si="336"/>
        <v>91.991349193145908</v>
      </c>
      <c r="O783" s="65">
        <f t="shared" si="337"/>
        <v>229.97837298286476</v>
      </c>
      <c r="P783" s="65" t="s">
        <v>363</v>
      </c>
      <c r="Q783" s="65"/>
      <c r="R783" s="65">
        <v>1</v>
      </c>
      <c r="S783" s="65"/>
      <c r="T783" s="65">
        <v>227</v>
      </c>
      <c r="U783" s="65"/>
      <c r="V783" s="65">
        <v>24</v>
      </c>
      <c r="W783" s="65">
        <v>1</v>
      </c>
      <c r="X783" s="110"/>
      <c r="Y783" s="81"/>
      <c r="Z783" s="141"/>
      <c r="AA783" s="371"/>
      <c r="AB783" s="54">
        <f t="shared" si="339"/>
        <v>576</v>
      </c>
      <c r="AC783" s="99">
        <f t="shared" si="340"/>
        <v>9.4583333333333339</v>
      </c>
      <c r="AD783" s="191">
        <f t="shared" si="338"/>
        <v>0.110592</v>
      </c>
      <c r="AE783" s="17"/>
      <c r="AF783" s="213"/>
      <c r="AG783"/>
    </row>
    <row r="784" spans="1:33" ht="12" customHeight="1" x14ac:dyDescent="0.2">
      <c r="A784" s="182" t="s">
        <v>740</v>
      </c>
      <c r="B784" s="17" t="s">
        <v>701</v>
      </c>
      <c r="C784" s="227"/>
      <c r="D784" s="213"/>
      <c r="E784" s="118" t="s">
        <v>522</v>
      </c>
      <c r="F784" s="18" t="s">
        <v>787</v>
      </c>
      <c r="G784" s="19">
        <v>80</v>
      </c>
      <c r="H784" s="124">
        <v>17</v>
      </c>
      <c r="I784" s="162">
        <v>165</v>
      </c>
      <c r="J784" s="138"/>
      <c r="K784" s="20"/>
      <c r="L784" s="245">
        <v>13824</v>
      </c>
      <c r="M784" s="64">
        <f t="shared" si="335"/>
        <v>5529.6</v>
      </c>
      <c r="N784" s="65">
        <f t="shared" si="336"/>
        <v>69.12</v>
      </c>
      <c r="O784" s="65">
        <f>IF(AND(G784&lt;&gt;"",L784&lt;&gt;""),L784/G784,"")</f>
        <v>172.8</v>
      </c>
      <c r="P784" s="65" t="s">
        <v>363</v>
      </c>
      <c r="Q784" s="65"/>
      <c r="R784" s="65">
        <v>6</v>
      </c>
      <c r="S784" s="65"/>
      <c r="T784" s="65">
        <v>270</v>
      </c>
      <c r="U784" s="65"/>
      <c r="V784" s="65">
        <v>24</v>
      </c>
      <c r="W784" s="65">
        <v>1</v>
      </c>
      <c r="X784" s="110"/>
      <c r="Y784" s="81"/>
      <c r="Z784" s="141" t="str">
        <f>IF(AND(L784&lt;&gt;"",Y784&lt;&gt;""),L784/Y784,"")</f>
        <v/>
      </c>
      <c r="AA784" s="371"/>
      <c r="AB784" s="54">
        <f>L784/V784</f>
        <v>576</v>
      </c>
      <c r="AC784" s="99">
        <f>T784/V784</f>
        <v>11.25</v>
      </c>
      <c r="AD784" s="191">
        <f t="shared" si="338"/>
        <v>0.110592</v>
      </c>
      <c r="AE784" s="17"/>
      <c r="AF784" s="213"/>
      <c r="AG784"/>
    </row>
    <row r="785" spans="1:33" x14ac:dyDescent="0.2">
      <c r="A785" s="182" t="s">
        <v>740</v>
      </c>
      <c r="B785" s="17" t="s">
        <v>701</v>
      </c>
      <c r="C785" s="227"/>
      <c r="D785" s="213"/>
      <c r="E785" s="118" t="s">
        <v>521</v>
      </c>
      <c r="F785" s="18" t="s">
        <v>786</v>
      </c>
      <c r="G785" s="19">
        <v>50.91</v>
      </c>
      <c r="H785" s="124">
        <v>13</v>
      </c>
      <c r="I785" s="162">
        <v>97</v>
      </c>
      <c r="J785" s="138"/>
      <c r="K785" s="20"/>
      <c r="L785" s="245">
        <v>24576</v>
      </c>
      <c r="M785" s="64">
        <f t="shared" si="335"/>
        <v>9830.4000000000015</v>
      </c>
      <c r="N785" s="65">
        <f t="shared" si="336"/>
        <v>193.09369475545083</v>
      </c>
      <c r="O785" s="65">
        <f t="shared" si="337"/>
        <v>482.73423688862704</v>
      </c>
      <c r="P785" s="65" t="s">
        <v>363</v>
      </c>
      <c r="Q785" s="65"/>
      <c r="R785" s="65">
        <v>6</v>
      </c>
      <c r="S785" s="65"/>
      <c r="T785" s="65">
        <v>300</v>
      </c>
      <c r="U785" s="65"/>
      <c r="V785" s="65">
        <v>32</v>
      </c>
      <c r="W785" s="65">
        <v>1</v>
      </c>
      <c r="X785" s="110"/>
      <c r="Y785" s="81"/>
      <c r="Z785" s="141"/>
      <c r="AA785" s="371"/>
      <c r="AB785" s="54">
        <f t="shared" si="339"/>
        <v>768</v>
      </c>
      <c r="AC785" s="99">
        <f t="shared" si="340"/>
        <v>9.375</v>
      </c>
      <c r="AD785" s="191">
        <f t="shared" si="338"/>
        <v>0.147456</v>
      </c>
      <c r="AE785" s="17"/>
      <c r="AF785" s="213"/>
      <c r="AG785"/>
    </row>
    <row r="786" spans="1:33" ht="13.5" thickBot="1" x14ac:dyDescent="0.25">
      <c r="A786" s="182" t="s">
        <v>189</v>
      </c>
      <c r="B786" s="21" t="s">
        <v>701</v>
      </c>
      <c r="C786" s="228"/>
      <c r="D786" s="214"/>
      <c r="E786" s="120" t="s">
        <v>523</v>
      </c>
      <c r="F786" s="22" t="s">
        <v>788</v>
      </c>
      <c r="G786" s="23">
        <v>509.73</v>
      </c>
      <c r="H786" s="125">
        <v>27</v>
      </c>
      <c r="I786" s="163">
        <v>280</v>
      </c>
      <c r="J786" s="159"/>
      <c r="K786" s="160"/>
      <c r="L786" s="246">
        <v>75264</v>
      </c>
      <c r="M786" s="64">
        <f t="shared" si="335"/>
        <v>30105.600000000002</v>
      </c>
      <c r="N786" s="65">
        <f t="shared" si="336"/>
        <v>59.061856276852453</v>
      </c>
      <c r="O786" s="68">
        <f t="shared" si="337"/>
        <v>147.65464069213112</v>
      </c>
      <c r="P786" s="68" t="s">
        <v>363</v>
      </c>
      <c r="Q786" s="68"/>
      <c r="R786" s="68">
        <v>6</v>
      </c>
      <c r="S786" s="68"/>
      <c r="T786" s="68">
        <v>616</v>
      </c>
      <c r="U786" s="68"/>
      <c r="V786" s="68">
        <v>112</v>
      </c>
      <c r="W786" s="68">
        <v>1</v>
      </c>
      <c r="X786" s="111"/>
      <c r="Y786" s="82"/>
      <c r="Z786" s="142"/>
      <c r="AA786" s="374"/>
      <c r="AB786" s="55">
        <f t="shared" si="339"/>
        <v>672</v>
      </c>
      <c r="AC786" s="100">
        <f t="shared" si="340"/>
        <v>5.5</v>
      </c>
      <c r="AD786" s="191">
        <f t="shared" si="338"/>
        <v>0.516096</v>
      </c>
      <c r="AE786" s="21"/>
      <c r="AF786" s="214"/>
      <c r="AG786"/>
    </row>
    <row r="787" spans="1:33" x14ac:dyDescent="0.2">
      <c r="A787" s="657"/>
      <c r="B787" s="666" t="s">
        <v>362</v>
      </c>
      <c r="C787" s="660"/>
      <c r="D787" s="658"/>
      <c r="E787" s="606" t="s">
        <v>1443</v>
      </c>
      <c r="F787" s="744" t="s">
        <v>1012</v>
      </c>
      <c r="G787" s="607" t="s">
        <v>22</v>
      </c>
      <c r="H787" s="644" t="s">
        <v>528</v>
      </c>
      <c r="I787" s="651"/>
      <c r="J787" s="646"/>
      <c r="K787" s="608"/>
      <c r="L787" s="667" t="s">
        <v>1316</v>
      </c>
      <c r="M787" s="622" t="s">
        <v>1316</v>
      </c>
      <c r="N787" s="633">
        <f>AVERAGE(N788:N795)</f>
        <v>795.98968204159326</v>
      </c>
      <c r="O787" s="623"/>
      <c r="P787" s="623"/>
      <c r="Q787" s="623" t="s">
        <v>1740</v>
      </c>
      <c r="R787" s="623"/>
      <c r="S787" s="623" t="s">
        <v>1325</v>
      </c>
      <c r="T787" s="623"/>
      <c r="U787" s="623" t="s">
        <v>1323</v>
      </c>
      <c r="V787" s="624" t="s">
        <v>206</v>
      </c>
      <c r="W787" s="623" t="s">
        <v>1329</v>
      </c>
      <c r="X787" s="636"/>
      <c r="Y787" s="629"/>
      <c r="Z787" s="654"/>
      <c r="AA787" s="748">
        <f>AVERAGE(AA788:AA795)</f>
        <v>717.38375668449191</v>
      </c>
      <c r="AB787" s="633">
        <v>568</v>
      </c>
      <c r="AC787" s="635">
        <f>AVERAGE(AC788:AC795)</f>
        <v>7.6850156240940581</v>
      </c>
      <c r="AD787" s="636" t="s">
        <v>650</v>
      </c>
      <c r="AE787" s="1238" t="s">
        <v>1755</v>
      </c>
      <c r="AF787" s="928">
        <f>AVERAGE(AF788:AF795)</f>
        <v>80.397801053696142</v>
      </c>
      <c r="AG787" s="604" t="s">
        <v>1451</v>
      </c>
    </row>
    <row r="788" spans="1:33" x14ac:dyDescent="0.2">
      <c r="A788" s="702" t="s">
        <v>26</v>
      </c>
      <c r="B788" s="17" t="s">
        <v>711</v>
      </c>
      <c r="C788" s="661"/>
      <c r="D788" s="663"/>
      <c r="E788" s="640" t="s">
        <v>1444</v>
      </c>
      <c r="F788" s="610" t="s">
        <v>1426</v>
      </c>
      <c r="G788" s="611">
        <v>9.3539999999999992</v>
      </c>
      <c r="H788" s="641">
        <v>14</v>
      </c>
      <c r="I788" s="652">
        <v>161</v>
      </c>
      <c r="J788" s="648"/>
      <c r="K788" s="612"/>
      <c r="L788" s="668">
        <v>6060</v>
      </c>
      <c r="M788" s="65">
        <f t="shared" ref="M788:M795" si="341">L788</f>
        <v>6060</v>
      </c>
      <c r="N788" s="65">
        <f t="shared" ref="N788:N795" si="342">IF(AND(G788&lt;&gt;"",M788&lt;&gt;""),M788/G788,"")</f>
        <v>647.85118665811422</v>
      </c>
      <c r="O788" s="625"/>
      <c r="P788" s="625"/>
      <c r="Q788" s="625">
        <v>11</v>
      </c>
      <c r="R788" s="625">
        <v>2</v>
      </c>
      <c r="S788" s="625">
        <v>0</v>
      </c>
      <c r="T788" s="625">
        <v>209</v>
      </c>
      <c r="U788" s="625">
        <v>11</v>
      </c>
      <c r="V788" s="625">
        <v>10</v>
      </c>
      <c r="W788" s="625">
        <v>128</v>
      </c>
      <c r="X788" s="637"/>
      <c r="Y788" s="630">
        <v>7</v>
      </c>
      <c r="Z788" s="141">
        <f>IF(AND(L788&lt;&gt;"",Y788&lt;&gt;""),L788/Y788,"")</f>
        <v>865.71428571428567</v>
      </c>
      <c r="AA788" s="378">
        <f t="shared" ref="AA788:AA795" si="343">M788/Q788</f>
        <v>550.90909090909088</v>
      </c>
      <c r="AB788" s="620"/>
      <c r="AC788" s="99">
        <f t="shared" ref="AC788:AC795" si="344">T788/V788</f>
        <v>20.9</v>
      </c>
      <c r="AD788" s="191">
        <f t="shared" ref="AD788:AD795" si="345">(U788*64*18+V788*512*36)/1000000</f>
        <v>0.196992</v>
      </c>
      <c r="AE788" s="17">
        <v>2.3679999999999999</v>
      </c>
      <c r="AF788" s="198">
        <f>(AE788*1000000-V788*36*512)/(4*L788)</f>
        <v>90.085808580858085</v>
      </c>
      <c r="AG788" s="604" t="s">
        <v>1326</v>
      </c>
    </row>
    <row r="789" spans="1:33" x14ac:dyDescent="0.2">
      <c r="A789" s="702" t="s">
        <v>26</v>
      </c>
      <c r="B789" s="17" t="s">
        <v>711</v>
      </c>
      <c r="C789" s="661"/>
      <c r="D789" s="663"/>
      <c r="E789" s="640" t="s">
        <v>1445</v>
      </c>
      <c r="F789" s="610" t="s">
        <v>1426</v>
      </c>
      <c r="G789" s="611">
        <v>19.34</v>
      </c>
      <c r="H789" s="641">
        <v>14</v>
      </c>
      <c r="I789" s="652">
        <v>138</v>
      </c>
      <c r="J789" s="648"/>
      <c r="K789" s="612"/>
      <c r="L789" s="668">
        <v>12084</v>
      </c>
      <c r="M789" s="65">
        <f t="shared" si="341"/>
        <v>12084</v>
      </c>
      <c r="N789" s="65">
        <f t="shared" si="342"/>
        <v>624.81902792140636</v>
      </c>
      <c r="O789" s="625"/>
      <c r="P789" s="625"/>
      <c r="Q789" s="625">
        <v>22</v>
      </c>
      <c r="R789" s="625">
        <v>2</v>
      </c>
      <c r="S789" s="625">
        <v>4</v>
      </c>
      <c r="T789" s="625">
        <v>233</v>
      </c>
      <c r="U789" s="625">
        <v>22</v>
      </c>
      <c r="V789" s="625">
        <v>21</v>
      </c>
      <c r="W789" s="625">
        <v>256</v>
      </c>
      <c r="X789" s="637"/>
      <c r="Y789" s="630"/>
      <c r="Z789" s="141"/>
      <c r="AA789" s="378">
        <f t="shared" si="343"/>
        <v>549.27272727272725</v>
      </c>
      <c r="AB789" s="620"/>
      <c r="AC789" s="99">
        <f t="shared" si="344"/>
        <v>11.095238095238095</v>
      </c>
      <c r="AD789" s="191">
        <f t="shared" si="345"/>
        <v>0.412416</v>
      </c>
      <c r="AE789" s="17">
        <v>4.4480000000000004</v>
      </c>
      <c r="AF789" s="198">
        <f t="shared" ref="AF789:AF795" si="346">(AE789*1000000-V789*36*512)/(4*L789)</f>
        <v>84.014564713670964</v>
      </c>
      <c r="AG789" s="604" t="s">
        <v>1328</v>
      </c>
    </row>
    <row r="790" spans="1:33" x14ac:dyDescent="0.2">
      <c r="A790" s="702" t="s">
        <v>26</v>
      </c>
      <c r="B790" s="17" t="s">
        <v>711</v>
      </c>
      <c r="C790" s="661"/>
      <c r="D790" s="663"/>
      <c r="E790" s="640" t="s">
        <v>1446</v>
      </c>
      <c r="F790" s="610" t="s">
        <v>571</v>
      </c>
      <c r="G790" s="611">
        <v>39.96</v>
      </c>
      <c r="H790" s="641">
        <v>11</v>
      </c>
      <c r="I790" s="652">
        <v>180</v>
      </c>
      <c r="J790" s="648"/>
      <c r="K790" s="612"/>
      <c r="L790" s="668">
        <v>27696</v>
      </c>
      <c r="M790" s="65">
        <f t="shared" si="341"/>
        <v>27696</v>
      </c>
      <c r="N790" s="65">
        <f t="shared" si="342"/>
        <v>693.0930930930931</v>
      </c>
      <c r="O790" s="625"/>
      <c r="P790" s="625"/>
      <c r="Q790" s="625">
        <v>34</v>
      </c>
      <c r="R790" s="625">
        <v>6</v>
      </c>
      <c r="S790" s="625">
        <v>4</v>
      </c>
      <c r="T790" s="625">
        <v>267</v>
      </c>
      <c r="U790" s="625">
        <v>34</v>
      </c>
      <c r="V790" s="625">
        <v>31</v>
      </c>
      <c r="W790" s="625">
        <v>256</v>
      </c>
      <c r="X790" s="637"/>
      <c r="Y790" s="630"/>
      <c r="Z790" s="141"/>
      <c r="AA790" s="378">
        <f t="shared" si="343"/>
        <v>814.58823529411768</v>
      </c>
      <c r="AB790" s="620"/>
      <c r="AC790" s="99">
        <f t="shared" si="344"/>
        <v>8.612903225806452</v>
      </c>
      <c r="AD790" s="191">
        <f t="shared" si="345"/>
        <v>0.61055999999999999</v>
      </c>
      <c r="AE790" s="17">
        <v>9.56</v>
      </c>
      <c r="AF790" s="198">
        <f t="shared" si="346"/>
        <v>81.13633737723859</v>
      </c>
      <c r="AG790" s="604" t="s">
        <v>1452</v>
      </c>
    </row>
    <row r="791" spans="1:33" x14ac:dyDescent="0.2">
      <c r="A791" s="702" t="s">
        <v>26</v>
      </c>
      <c r="B791" s="17" t="s">
        <v>711</v>
      </c>
      <c r="C791" s="661"/>
      <c r="D791" s="663"/>
      <c r="E791" s="640" t="s">
        <v>1447</v>
      </c>
      <c r="F791" s="610" t="s">
        <v>1625</v>
      </c>
      <c r="G791" s="611">
        <v>52.49</v>
      </c>
      <c r="H791" s="641">
        <v>11</v>
      </c>
      <c r="I791" s="652">
        <v>200</v>
      </c>
      <c r="J791" s="648"/>
      <c r="K791" s="612"/>
      <c r="L791" s="668">
        <v>56340</v>
      </c>
      <c r="M791" s="65">
        <f t="shared" si="341"/>
        <v>56340</v>
      </c>
      <c r="N791" s="65">
        <f t="shared" si="342"/>
        <v>1073.3473042484281</v>
      </c>
      <c r="O791" s="625"/>
      <c r="P791" s="625"/>
      <c r="Q791" s="625">
        <v>72</v>
      </c>
      <c r="R791" s="625">
        <v>6</v>
      </c>
      <c r="S791" s="625">
        <v>8</v>
      </c>
      <c r="T791" s="625">
        <v>377</v>
      </c>
      <c r="U791" s="625">
        <v>72</v>
      </c>
      <c r="V791" s="625">
        <v>69</v>
      </c>
      <c r="W791" s="625">
        <v>256</v>
      </c>
      <c r="X791" s="637"/>
      <c r="Y791" s="630"/>
      <c r="Z791" s="141"/>
      <c r="AA791" s="378">
        <f t="shared" si="343"/>
        <v>782.5</v>
      </c>
      <c r="AB791" s="620"/>
      <c r="AC791" s="99">
        <f t="shared" si="344"/>
        <v>5.4637681159420293</v>
      </c>
      <c r="AD791" s="191">
        <f t="shared" si="345"/>
        <v>1.354752</v>
      </c>
      <c r="AE791" s="17">
        <v>18.904</v>
      </c>
      <c r="AF791" s="198">
        <f t="shared" si="346"/>
        <v>78.240113596024145</v>
      </c>
      <c r="AG791" s="604" t="s">
        <v>1453</v>
      </c>
    </row>
    <row r="792" spans="1:33" x14ac:dyDescent="0.2">
      <c r="A792" s="702" t="s">
        <v>26</v>
      </c>
      <c r="B792" s="17" t="s">
        <v>711</v>
      </c>
      <c r="C792" s="661"/>
      <c r="D792" s="663"/>
      <c r="E792" s="747" t="s">
        <v>1753</v>
      </c>
      <c r="F792" s="610" t="s">
        <v>1754</v>
      </c>
      <c r="G792" s="611">
        <v>52.49</v>
      </c>
      <c r="H792" s="641">
        <v>11</v>
      </c>
      <c r="I792" s="652">
        <v>200</v>
      </c>
      <c r="J792" s="648"/>
      <c r="K792" s="612"/>
      <c r="L792" s="668">
        <v>56520</v>
      </c>
      <c r="M792" s="65">
        <f t="shared" si="341"/>
        <v>56520</v>
      </c>
      <c r="N792" s="64">
        <f t="shared" si="342"/>
        <v>1076.7765288626404</v>
      </c>
      <c r="O792" s="625"/>
      <c r="P792" s="625"/>
      <c r="Q792" s="625">
        <v>72</v>
      </c>
      <c r="R792" s="625">
        <v>6</v>
      </c>
      <c r="S792" s="625">
        <v>4</v>
      </c>
      <c r="T792" s="625">
        <v>387</v>
      </c>
      <c r="U792" s="625">
        <v>72</v>
      </c>
      <c r="V792" s="625">
        <v>69</v>
      </c>
      <c r="W792" s="625">
        <v>256</v>
      </c>
      <c r="X792" s="637"/>
      <c r="Y792" s="630"/>
      <c r="Z792" s="141"/>
      <c r="AA792" s="378">
        <f t="shared" si="343"/>
        <v>785</v>
      </c>
      <c r="AB792" s="620"/>
      <c r="AC792" s="99">
        <f t="shared" si="344"/>
        <v>5.6086956521739131</v>
      </c>
      <c r="AD792" s="191">
        <f t="shared" si="345"/>
        <v>1.354752</v>
      </c>
      <c r="AE792" s="17">
        <v>18.904</v>
      </c>
      <c r="AF792" s="198">
        <f>(AE792*1000000-V792*36*512)/(4*L792)</f>
        <v>77.990941259731073</v>
      </c>
      <c r="AG792" s="604" t="s">
        <v>1562</v>
      </c>
    </row>
    <row r="793" spans="1:33" x14ac:dyDescent="0.2">
      <c r="A793" s="702" t="s">
        <v>26</v>
      </c>
      <c r="B793" s="17" t="s">
        <v>711</v>
      </c>
      <c r="C793" s="661"/>
      <c r="D793" s="663"/>
      <c r="E793" s="745" t="s">
        <v>1448</v>
      </c>
      <c r="F793" s="610" t="s">
        <v>1625</v>
      </c>
      <c r="G793" s="611">
        <v>111.86</v>
      </c>
      <c r="H793" s="641">
        <v>11</v>
      </c>
      <c r="I793" s="652">
        <v>180</v>
      </c>
      <c r="J793" s="648"/>
      <c r="K793" s="612"/>
      <c r="L793" s="668">
        <v>86316</v>
      </c>
      <c r="M793" s="65">
        <v>86184</v>
      </c>
      <c r="N793" s="64">
        <f t="shared" si="342"/>
        <v>770.46307884856071</v>
      </c>
      <c r="O793" s="625"/>
      <c r="P793" s="625"/>
      <c r="Q793" s="625">
        <v>84</v>
      </c>
      <c r="R793" s="625">
        <v>6</v>
      </c>
      <c r="S793" s="625">
        <v>4</v>
      </c>
      <c r="T793" s="625">
        <v>412</v>
      </c>
      <c r="U793" s="625">
        <v>112</v>
      </c>
      <c r="V793" s="625">
        <v>109</v>
      </c>
      <c r="W793" s="625">
        <v>512</v>
      </c>
      <c r="X793" s="637"/>
      <c r="Y793" s="630"/>
      <c r="Z793" s="141"/>
      <c r="AA793" s="378">
        <f t="shared" si="343"/>
        <v>1026</v>
      </c>
      <c r="AB793" s="620"/>
      <c r="AC793" s="99">
        <f t="shared" si="344"/>
        <v>3.7798165137614679</v>
      </c>
      <c r="AD793" s="191">
        <f t="shared" si="345"/>
        <v>2.138112</v>
      </c>
      <c r="AE793" s="17">
        <v>28.488</v>
      </c>
      <c r="AF793" s="198">
        <f t="shared" si="346"/>
        <v>76.6917836785764</v>
      </c>
      <c r="AG793" s="604" t="s">
        <v>1330</v>
      </c>
    </row>
    <row r="794" spans="1:33" s="751" customFormat="1" x14ac:dyDescent="0.2">
      <c r="A794" s="702"/>
      <c r="B794" s="573" t="s">
        <v>711</v>
      </c>
      <c r="C794" s="1224"/>
      <c r="D794" s="1225"/>
      <c r="E794" s="1226" t="s">
        <v>1449</v>
      </c>
      <c r="F794" s="1227" t="s">
        <v>1322</v>
      </c>
      <c r="G794" s="1050"/>
      <c r="H794" s="1228">
        <v>35</v>
      </c>
      <c r="I794" s="1229">
        <v>574</v>
      </c>
      <c r="J794" s="1230"/>
      <c r="K794" s="1231"/>
      <c r="L794" s="1232">
        <v>99512</v>
      </c>
      <c r="M794" s="564">
        <f>L794</f>
        <v>99512</v>
      </c>
      <c r="N794" s="794" t="str">
        <f t="shared" si="342"/>
        <v/>
      </c>
      <c r="O794" s="1233"/>
      <c r="P794" s="1233"/>
      <c r="Q794" s="1233">
        <v>160</v>
      </c>
      <c r="R794" s="1233"/>
      <c r="S794" s="1233"/>
      <c r="T794" s="1233">
        <v>574</v>
      </c>
      <c r="U794" s="1233">
        <v>160</v>
      </c>
      <c r="V794" s="1233">
        <v>160</v>
      </c>
      <c r="W794" s="1233">
        <v>512</v>
      </c>
      <c r="X794" s="1234"/>
      <c r="Y794" s="1235"/>
      <c r="Z794" s="568"/>
      <c r="AA794" s="591">
        <f>M794/Q794</f>
        <v>621.95000000000005</v>
      </c>
      <c r="AB794" s="1236"/>
      <c r="AC794" s="571">
        <f>T794/V794</f>
        <v>3.5874999999999999</v>
      </c>
      <c r="AD794" s="572">
        <f>(U794*64*18+V794*512*36)/1000000</f>
        <v>3.1334399999999998</v>
      </c>
      <c r="AE794" s="573">
        <v>49.119231999999997</v>
      </c>
      <c r="AF794" s="594"/>
      <c r="AG794" s="1237"/>
    </row>
    <row r="795" spans="1:33" ht="13.5" thickBot="1" x14ac:dyDescent="0.25">
      <c r="A795" s="702" t="s">
        <v>26</v>
      </c>
      <c r="B795" s="17" t="s">
        <v>711</v>
      </c>
      <c r="C795" s="662"/>
      <c r="D795" s="664"/>
      <c r="E795" s="745" t="s">
        <v>1450</v>
      </c>
      <c r="F795" s="614" t="s">
        <v>1322</v>
      </c>
      <c r="G795" s="615">
        <v>213.14</v>
      </c>
      <c r="H795" s="642">
        <v>35</v>
      </c>
      <c r="I795" s="653">
        <v>574</v>
      </c>
      <c r="J795" s="650"/>
      <c r="K795" s="616"/>
      <c r="L795" s="669">
        <v>146124</v>
      </c>
      <c r="M795" s="65">
        <f t="shared" si="341"/>
        <v>146124</v>
      </c>
      <c r="N795" s="67">
        <f t="shared" si="342"/>
        <v>685.57755465890966</v>
      </c>
      <c r="O795" s="626"/>
      <c r="P795" s="626"/>
      <c r="Q795" s="626">
        <v>240</v>
      </c>
      <c r="R795" s="626">
        <v>8</v>
      </c>
      <c r="S795" s="626">
        <v>16</v>
      </c>
      <c r="T795" s="626">
        <v>574</v>
      </c>
      <c r="U795" s="626">
        <v>240</v>
      </c>
      <c r="V795" s="626">
        <v>236</v>
      </c>
      <c r="W795" s="626">
        <v>512</v>
      </c>
      <c r="X795" s="638"/>
      <c r="Y795" s="631"/>
      <c r="Z795" s="142"/>
      <c r="AA795" s="379">
        <f t="shared" si="343"/>
        <v>608.85</v>
      </c>
      <c r="AB795" s="621"/>
      <c r="AC795" s="99">
        <f t="shared" si="344"/>
        <v>2.4322033898305087</v>
      </c>
      <c r="AD795" s="191">
        <f t="shared" si="345"/>
        <v>4.6264320000000003</v>
      </c>
      <c r="AE795" s="199">
        <v>47.968000000000004</v>
      </c>
      <c r="AF795" s="198">
        <f t="shared" si="346"/>
        <v>74.625058169773624</v>
      </c>
      <c r="AG795" s="604" t="s">
        <v>1518</v>
      </c>
    </row>
    <row r="796" spans="1:33" x14ac:dyDescent="0.2">
      <c r="A796" s="657"/>
      <c r="B796" s="666" t="s">
        <v>362</v>
      </c>
      <c r="C796" s="660"/>
      <c r="D796" s="658"/>
      <c r="E796" s="606" t="s">
        <v>364</v>
      </c>
      <c r="F796" s="605" t="s">
        <v>1016</v>
      </c>
      <c r="G796" s="607" t="s">
        <v>22</v>
      </c>
      <c r="H796" s="644" t="s">
        <v>532</v>
      </c>
      <c r="I796" s="651"/>
      <c r="J796" s="646"/>
      <c r="K796" s="608"/>
      <c r="L796" s="667" t="s">
        <v>365</v>
      </c>
      <c r="M796" s="622"/>
      <c r="N796" s="633">
        <v>58.028771487062386</v>
      </c>
      <c r="O796" s="623"/>
      <c r="P796" s="623" t="s">
        <v>502</v>
      </c>
      <c r="Q796" s="623" t="s">
        <v>469</v>
      </c>
      <c r="R796" s="623"/>
      <c r="S796" s="623" t="s">
        <v>366</v>
      </c>
      <c r="T796" s="623"/>
      <c r="U796" s="623" t="s">
        <v>368</v>
      </c>
      <c r="V796" s="624" t="s">
        <v>182</v>
      </c>
      <c r="W796" s="623" t="s">
        <v>367</v>
      </c>
      <c r="X796" s="636"/>
      <c r="Y796" s="629"/>
      <c r="Z796" s="654"/>
      <c r="AA796" s="676"/>
      <c r="AB796" s="633">
        <v>568</v>
      </c>
      <c r="AC796" s="635">
        <v>11.855555555555554</v>
      </c>
      <c r="AD796" s="636" t="s">
        <v>650</v>
      </c>
      <c r="AE796" s="193"/>
      <c r="AF796" s="658"/>
      <c r="AG796" s="604"/>
    </row>
    <row r="797" spans="1:33" x14ac:dyDescent="0.2">
      <c r="A797" s="657" t="s">
        <v>929</v>
      </c>
      <c r="B797" s="680" t="s">
        <v>701</v>
      </c>
      <c r="C797" s="671"/>
      <c r="D797" s="672" t="s">
        <v>704</v>
      </c>
      <c r="E797" s="679" t="s">
        <v>950</v>
      </c>
      <c r="F797" s="619" t="s">
        <v>1280</v>
      </c>
      <c r="G797" s="617">
        <v>20</v>
      </c>
      <c r="H797" s="643">
        <v>17</v>
      </c>
      <c r="I797" s="655">
        <v>70</v>
      </c>
      <c r="J797" s="647"/>
      <c r="K797" s="618"/>
      <c r="L797" s="670">
        <v>1536</v>
      </c>
      <c r="M797" s="64">
        <f t="shared" si="335"/>
        <v>614.40000000000009</v>
      </c>
      <c r="N797" s="65">
        <f t="shared" si="336"/>
        <v>30.720000000000006</v>
      </c>
      <c r="O797" s="627"/>
      <c r="P797" s="673">
        <v>1</v>
      </c>
      <c r="Q797" s="627">
        <v>1</v>
      </c>
      <c r="R797" s="627">
        <v>1</v>
      </c>
      <c r="S797" s="627"/>
      <c r="T797" s="627">
        <v>102</v>
      </c>
      <c r="U797" s="627">
        <v>10</v>
      </c>
      <c r="V797" s="628">
        <v>8</v>
      </c>
      <c r="W797" s="627" t="s">
        <v>954</v>
      </c>
      <c r="X797" s="639"/>
      <c r="Y797" s="632"/>
      <c r="Z797" s="141" t="str">
        <f t="shared" ref="Z797:Z803" si="347">IF(AND(L797&lt;&gt;"",Y797&lt;&gt;""),L797/Y797,"")</f>
        <v/>
      </c>
      <c r="AA797" s="678"/>
      <c r="AB797" s="634"/>
      <c r="AC797" s="99">
        <f t="shared" ref="AC797:AC813" si="348">T797/V797</f>
        <v>12.75</v>
      </c>
      <c r="AD797" s="191">
        <f t="shared" ref="AD797:AD803" si="349">256*18*V797/1000000</f>
        <v>3.6864000000000001E-2</v>
      </c>
      <c r="AE797" s="17"/>
      <c r="AF797" s="659"/>
      <c r="AG797" s="604" t="s">
        <v>1375</v>
      </c>
    </row>
    <row r="798" spans="1:33" x14ac:dyDescent="0.2">
      <c r="A798" s="656" t="s">
        <v>189</v>
      </c>
      <c r="B798" s="609" t="s">
        <v>701</v>
      </c>
      <c r="C798" s="661"/>
      <c r="D798" s="659"/>
      <c r="E798" s="640" t="s">
        <v>369</v>
      </c>
      <c r="F798" s="610" t="s">
        <v>780</v>
      </c>
      <c r="G798" s="611">
        <v>30</v>
      </c>
      <c r="H798" s="641">
        <v>8</v>
      </c>
      <c r="I798" s="652">
        <v>37</v>
      </c>
      <c r="J798" s="648"/>
      <c r="K798" s="612"/>
      <c r="L798" s="668">
        <v>2304</v>
      </c>
      <c r="M798" s="64">
        <f t="shared" si="335"/>
        <v>921.6</v>
      </c>
      <c r="N798" s="65">
        <f t="shared" si="336"/>
        <v>30.720000000000002</v>
      </c>
      <c r="O798" s="625">
        <v>76.8</v>
      </c>
      <c r="P798" s="625"/>
      <c r="Q798" s="625">
        <v>1</v>
      </c>
      <c r="R798" s="625"/>
      <c r="S798" s="625">
        <v>5</v>
      </c>
      <c r="T798" s="625">
        <v>93</v>
      </c>
      <c r="U798" s="625">
        <v>20</v>
      </c>
      <c r="V798" s="625">
        <v>8</v>
      </c>
      <c r="W798" s="625">
        <v>1</v>
      </c>
      <c r="X798" s="637"/>
      <c r="Y798" s="630">
        <v>5</v>
      </c>
      <c r="Z798" s="141">
        <f t="shared" si="347"/>
        <v>460.8</v>
      </c>
      <c r="AA798" s="675"/>
      <c r="AB798" s="620">
        <v>288</v>
      </c>
      <c r="AC798" s="99">
        <f t="shared" si="348"/>
        <v>11.625</v>
      </c>
      <c r="AD798" s="191">
        <f t="shared" si="349"/>
        <v>3.6864000000000001E-2</v>
      </c>
      <c r="AE798" s="17"/>
      <c r="AF798" s="659"/>
      <c r="AG798" s="604"/>
    </row>
    <row r="799" spans="1:33" x14ac:dyDescent="0.2">
      <c r="A799" s="657" t="s">
        <v>929</v>
      </c>
      <c r="B799" s="609" t="s">
        <v>701</v>
      </c>
      <c r="C799" s="661"/>
      <c r="D799" s="659" t="s">
        <v>704</v>
      </c>
      <c r="E799" s="640" t="s">
        <v>952</v>
      </c>
      <c r="F799" s="610" t="s">
        <v>1281</v>
      </c>
      <c r="G799" s="611">
        <v>30.42</v>
      </c>
      <c r="H799" s="641">
        <v>11</v>
      </c>
      <c r="I799" s="652">
        <v>117</v>
      </c>
      <c r="J799" s="648"/>
      <c r="K799" s="612"/>
      <c r="L799" s="668">
        <v>4608</v>
      </c>
      <c r="M799" s="64">
        <f t="shared" si="335"/>
        <v>1843.2</v>
      </c>
      <c r="N799" s="65">
        <f t="shared" si="336"/>
        <v>60.591715976331358</v>
      </c>
      <c r="O799" s="625"/>
      <c r="P799" s="674">
        <v>1</v>
      </c>
      <c r="Q799" s="625">
        <v>2</v>
      </c>
      <c r="R799" s="625"/>
      <c r="S799" s="625"/>
      <c r="T799" s="625">
        <v>161</v>
      </c>
      <c r="U799" s="625">
        <v>24</v>
      </c>
      <c r="V799" s="625">
        <v>8</v>
      </c>
      <c r="W799" s="625" t="s">
        <v>955</v>
      </c>
      <c r="X799" s="637"/>
      <c r="Y799" s="630"/>
      <c r="Z799" s="141" t="str">
        <f t="shared" si="347"/>
        <v/>
      </c>
      <c r="AA799" s="675"/>
      <c r="AB799" s="620"/>
      <c r="AC799" s="99">
        <f t="shared" si="348"/>
        <v>20.125</v>
      </c>
      <c r="AD799" s="191">
        <f t="shared" si="349"/>
        <v>3.6864000000000001E-2</v>
      </c>
      <c r="AE799" s="17"/>
      <c r="AF799" s="659"/>
      <c r="AG799" s="604" t="s">
        <v>1375</v>
      </c>
    </row>
    <row r="800" spans="1:33" x14ac:dyDescent="0.2">
      <c r="A800" s="656" t="s">
        <v>189</v>
      </c>
      <c r="B800" s="609" t="s">
        <v>701</v>
      </c>
      <c r="C800" s="661"/>
      <c r="D800" s="659"/>
      <c r="E800" s="640" t="s">
        <v>370</v>
      </c>
      <c r="F800" s="610" t="s">
        <v>781</v>
      </c>
      <c r="G800" s="611">
        <v>59.57</v>
      </c>
      <c r="H800" s="641">
        <v>10</v>
      </c>
      <c r="I800" s="652">
        <v>65</v>
      </c>
      <c r="J800" s="648"/>
      <c r="K800" s="612"/>
      <c r="L800" s="668">
        <v>6144</v>
      </c>
      <c r="M800" s="64">
        <f t="shared" si="335"/>
        <v>2457.6000000000004</v>
      </c>
      <c r="N800" s="65">
        <f t="shared" si="336"/>
        <v>41.2556656034917</v>
      </c>
      <c r="O800" s="625">
        <v>103.13916400872922</v>
      </c>
      <c r="P800" s="625">
        <v>1</v>
      </c>
      <c r="Q800" s="625">
        <v>1</v>
      </c>
      <c r="R800" s="625"/>
      <c r="S800" s="625">
        <v>6</v>
      </c>
      <c r="T800" s="625">
        <v>134</v>
      </c>
      <c r="U800" s="625">
        <v>24</v>
      </c>
      <c r="V800" s="625">
        <v>8</v>
      </c>
      <c r="W800" s="625">
        <v>1</v>
      </c>
      <c r="X800" s="637"/>
      <c r="Y800" s="630">
        <v>3.95</v>
      </c>
      <c r="Z800" s="141">
        <f t="shared" si="347"/>
        <v>1555.4430379746834</v>
      </c>
      <c r="AA800" s="675"/>
      <c r="AB800" s="620">
        <v>768</v>
      </c>
      <c r="AC800" s="99">
        <f t="shared" si="348"/>
        <v>16.75</v>
      </c>
      <c r="AD800" s="191">
        <f t="shared" si="349"/>
        <v>3.6864000000000001E-2</v>
      </c>
      <c r="AE800" s="17"/>
      <c r="AF800" s="659"/>
      <c r="AG800" s="604"/>
    </row>
    <row r="801" spans="1:33" x14ac:dyDescent="0.2">
      <c r="A801" s="657" t="s">
        <v>929</v>
      </c>
      <c r="B801" s="609" t="s">
        <v>701</v>
      </c>
      <c r="C801" s="661"/>
      <c r="D801" s="659" t="s">
        <v>704</v>
      </c>
      <c r="E801" s="640" t="s">
        <v>953</v>
      </c>
      <c r="F801" s="610" t="s">
        <v>569</v>
      </c>
      <c r="G801" s="611">
        <v>47.4</v>
      </c>
      <c r="H801" s="641">
        <v>11</v>
      </c>
      <c r="I801" s="652">
        <v>117</v>
      </c>
      <c r="J801" s="648"/>
      <c r="K801" s="612"/>
      <c r="L801" s="668">
        <v>11520</v>
      </c>
      <c r="M801" s="64">
        <f t="shared" si="335"/>
        <v>4608</v>
      </c>
      <c r="N801" s="65">
        <f t="shared" si="336"/>
        <v>97.215189873417728</v>
      </c>
      <c r="O801" s="625"/>
      <c r="P801" s="674">
        <v>1</v>
      </c>
      <c r="Q801" s="625">
        <v>3</v>
      </c>
      <c r="R801" s="625"/>
      <c r="S801" s="625"/>
      <c r="T801" s="625">
        <v>204</v>
      </c>
      <c r="U801" s="625">
        <v>32</v>
      </c>
      <c r="V801" s="625">
        <v>24</v>
      </c>
      <c r="W801" s="625" t="s">
        <v>956</v>
      </c>
      <c r="X801" s="637"/>
      <c r="Y801" s="630"/>
      <c r="Z801" s="141" t="str">
        <f t="shared" si="347"/>
        <v/>
      </c>
      <c r="AA801" s="675"/>
      <c r="AB801" s="620"/>
      <c r="AC801" s="99">
        <f t="shared" si="348"/>
        <v>8.5</v>
      </c>
      <c r="AD801" s="191">
        <f t="shared" si="349"/>
        <v>0.110592</v>
      </c>
      <c r="AE801" s="17"/>
      <c r="AF801" s="659"/>
      <c r="AG801" s="604" t="s">
        <v>1375</v>
      </c>
    </row>
    <row r="802" spans="1:33" x14ac:dyDescent="0.2">
      <c r="A802" s="656" t="s">
        <v>189</v>
      </c>
      <c r="B802" s="609" t="s">
        <v>701</v>
      </c>
      <c r="C802" s="661"/>
      <c r="D802" s="663" t="s">
        <v>704</v>
      </c>
      <c r="E802" s="640" t="s">
        <v>371</v>
      </c>
      <c r="F802" s="610" t="s">
        <v>568</v>
      </c>
      <c r="G802" s="611">
        <v>90</v>
      </c>
      <c r="H802" s="641">
        <v>17</v>
      </c>
      <c r="I802" s="652">
        <v>119</v>
      </c>
      <c r="J802" s="648"/>
      <c r="K802" s="612"/>
      <c r="L802" s="668">
        <v>13824</v>
      </c>
      <c r="M802" s="64">
        <f t="shared" si="335"/>
        <v>5529.6</v>
      </c>
      <c r="N802" s="65">
        <f t="shared" si="336"/>
        <v>61.440000000000005</v>
      </c>
      <c r="O802" s="625">
        <v>153.6</v>
      </c>
      <c r="P802" s="645" t="s">
        <v>363</v>
      </c>
      <c r="Q802" s="625">
        <v>1</v>
      </c>
      <c r="R802" s="625"/>
      <c r="S802" s="625">
        <v>10</v>
      </c>
      <c r="T802" s="625">
        <v>212</v>
      </c>
      <c r="U802" s="625">
        <v>40</v>
      </c>
      <c r="V802" s="625">
        <v>24</v>
      </c>
      <c r="W802" s="625">
        <v>2</v>
      </c>
      <c r="X802" s="637"/>
      <c r="Y802" s="630"/>
      <c r="Z802" s="141" t="str">
        <f t="shared" si="347"/>
        <v/>
      </c>
      <c r="AA802" s="675"/>
      <c r="AB802" s="620">
        <v>576</v>
      </c>
      <c r="AC802" s="99">
        <f t="shared" si="348"/>
        <v>8.8333333333333339</v>
      </c>
      <c r="AD802" s="191">
        <f t="shared" si="349"/>
        <v>0.110592</v>
      </c>
      <c r="AE802" s="17"/>
      <c r="AF802" s="659"/>
      <c r="AG802" s="604"/>
    </row>
    <row r="803" spans="1:33" ht="13.5" thickBot="1" x14ac:dyDescent="0.25">
      <c r="A803" s="656" t="s">
        <v>189</v>
      </c>
      <c r="B803" s="613" t="s">
        <v>701</v>
      </c>
      <c r="C803" s="739"/>
      <c r="D803" s="740" t="s">
        <v>704</v>
      </c>
      <c r="E803" s="707" t="s">
        <v>372</v>
      </c>
      <c r="F803" s="708" t="s">
        <v>568</v>
      </c>
      <c r="G803" s="709">
        <v>269.70999999999998</v>
      </c>
      <c r="H803" s="710">
        <v>17</v>
      </c>
      <c r="I803" s="711">
        <v>119</v>
      </c>
      <c r="J803" s="712"/>
      <c r="K803" s="713"/>
      <c r="L803" s="714">
        <v>38400</v>
      </c>
      <c r="M803" s="72">
        <f t="shared" si="335"/>
        <v>15360</v>
      </c>
      <c r="N803" s="73">
        <f t="shared" si="336"/>
        <v>56.950057469133519</v>
      </c>
      <c r="O803" s="715">
        <v>142.37514367283379</v>
      </c>
      <c r="P803" s="715" t="s">
        <v>363</v>
      </c>
      <c r="Q803" s="715">
        <v>1</v>
      </c>
      <c r="R803" s="715"/>
      <c r="S803" s="715">
        <v>10</v>
      </c>
      <c r="T803" s="715">
        <v>318</v>
      </c>
      <c r="U803" s="715">
        <v>40</v>
      </c>
      <c r="V803" s="715">
        <v>60</v>
      </c>
      <c r="W803" s="715">
        <v>4</v>
      </c>
      <c r="X803" s="716"/>
      <c r="Y803" s="717"/>
      <c r="Z803" s="173" t="str">
        <f t="shared" si="347"/>
        <v/>
      </c>
      <c r="AA803" s="718"/>
      <c r="AB803" s="719">
        <v>640</v>
      </c>
      <c r="AC803" s="101">
        <f t="shared" si="348"/>
        <v>5.3</v>
      </c>
      <c r="AD803" s="478">
        <f t="shared" si="349"/>
        <v>0.27648</v>
      </c>
      <c r="AE803" s="21"/>
      <c r="AF803" s="1116"/>
      <c r="AG803" s="604"/>
    </row>
    <row r="804" spans="1:33" x14ac:dyDescent="0.2">
      <c r="A804" s="657"/>
      <c r="B804" s="666" t="s">
        <v>362</v>
      </c>
      <c r="C804" s="660"/>
      <c r="D804" s="658"/>
      <c r="E804" s="606" t="s">
        <v>1315</v>
      </c>
      <c r="F804" s="744" t="s">
        <v>1012</v>
      </c>
      <c r="G804" s="607" t="s">
        <v>22</v>
      </c>
      <c r="H804" s="644" t="s">
        <v>528</v>
      </c>
      <c r="I804" s="651"/>
      <c r="J804" s="646"/>
      <c r="K804" s="608"/>
      <c r="L804" s="667" t="s">
        <v>1316</v>
      </c>
      <c r="M804" s="622" t="s">
        <v>1316</v>
      </c>
      <c r="N804" s="633">
        <f>AVERAGE(N805:N813)</f>
        <v>563.82119088745901</v>
      </c>
      <c r="O804" s="623"/>
      <c r="P804" s="623" t="s">
        <v>1314</v>
      </c>
      <c r="Q804" s="623" t="s">
        <v>1740</v>
      </c>
      <c r="R804" s="623"/>
      <c r="S804" s="623" t="s">
        <v>1325</v>
      </c>
      <c r="T804" s="623"/>
      <c r="U804" s="623" t="s">
        <v>1323</v>
      </c>
      <c r="V804" s="624" t="s">
        <v>206</v>
      </c>
      <c r="W804" s="623" t="s">
        <v>1329</v>
      </c>
      <c r="X804" s="636"/>
      <c r="Y804" s="629"/>
      <c r="Z804" s="654"/>
      <c r="AA804" s="748">
        <f>AVERAGE(AA805:AA813)</f>
        <v>674.36276207452681</v>
      </c>
      <c r="AB804" s="633">
        <v>568</v>
      </c>
      <c r="AC804" s="635">
        <f>AVERAGE(AC805:AC813)</f>
        <v>7.2271519027059288</v>
      </c>
      <c r="AD804" s="636" t="s">
        <v>650</v>
      </c>
      <c r="AE804" s="1238" t="s">
        <v>1755</v>
      </c>
      <c r="AF804" s="928">
        <f>AVERAGE(AF805:AF813)</f>
        <v>69.555157806271183</v>
      </c>
      <c r="AG804" s="604" t="s">
        <v>1332</v>
      </c>
    </row>
    <row r="805" spans="1:33" x14ac:dyDescent="0.2">
      <c r="A805" s="702" t="s">
        <v>740</v>
      </c>
      <c r="B805" s="17" t="s">
        <v>711</v>
      </c>
      <c r="C805" s="661"/>
      <c r="D805" s="663"/>
      <c r="E805" s="640" t="s">
        <v>1317</v>
      </c>
      <c r="F805" s="610" t="s">
        <v>1426</v>
      </c>
      <c r="G805" s="1174">
        <v>11.25</v>
      </c>
      <c r="H805" s="641">
        <v>14</v>
      </c>
      <c r="I805" s="652">
        <v>161</v>
      </c>
      <c r="J805" s="648"/>
      <c r="K805" s="612"/>
      <c r="L805" s="668">
        <v>6060</v>
      </c>
      <c r="M805" s="65">
        <f t="shared" ref="M805:M813" si="350">L805</f>
        <v>6060</v>
      </c>
      <c r="N805" s="65">
        <f t="shared" ref="N805:N813" si="351">IF(AND(G805&lt;&gt;"",M805&lt;&gt;""),M805/G805,"")</f>
        <v>538.66666666666663</v>
      </c>
      <c r="O805" s="625"/>
      <c r="P805" s="625">
        <v>1</v>
      </c>
      <c r="Q805" s="625">
        <v>11</v>
      </c>
      <c r="R805" s="625">
        <v>2</v>
      </c>
      <c r="S805" s="625">
        <v>0</v>
      </c>
      <c r="T805" s="625">
        <v>209</v>
      </c>
      <c r="U805" s="625">
        <v>11</v>
      </c>
      <c r="V805" s="625">
        <v>10</v>
      </c>
      <c r="W805" s="625">
        <v>128</v>
      </c>
      <c r="X805" s="637"/>
      <c r="Y805" s="630"/>
      <c r="Z805" s="141"/>
      <c r="AA805" s="378">
        <f t="shared" ref="AA805:AA813" si="352">M805/Q805</f>
        <v>550.90909090909088</v>
      </c>
      <c r="AB805" s="620"/>
      <c r="AC805" s="99">
        <f t="shared" si="348"/>
        <v>20.9</v>
      </c>
      <c r="AD805" s="191">
        <f t="shared" ref="AD805:AD813" si="353">(U805*64*18+V805*512*36)/1000000</f>
        <v>0.196992</v>
      </c>
      <c r="AE805" s="17">
        <v>2.3679999999999999</v>
      </c>
      <c r="AF805" s="198">
        <f t="shared" ref="AF805:AF810" si="354">(AE805*1000000-V805*36*512)/(4*L805)</f>
        <v>90.085808580858085</v>
      </c>
      <c r="AG805" s="604" t="s">
        <v>1326</v>
      </c>
    </row>
    <row r="806" spans="1:33" x14ac:dyDescent="0.2">
      <c r="A806" s="702" t="s">
        <v>740</v>
      </c>
      <c r="B806" s="17" t="s">
        <v>711</v>
      </c>
      <c r="C806" s="661"/>
      <c r="D806" s="663"/>
      <c r="E806" s="640" t="s">
        <v>1318</v>
      </c>
      <c r="F806" s="610" t="s">
        <v>1426</v>
      </c>
      <c r="G806" s="1174">
        <v>21.83</v>
      </c>
      <c r="H806" s="641">
        <v>14</v>
      </c>
      <c r="I806" s="652">
        <v>138</v>
      </c>
      <c r="J806" s="648"/>
      <c r="K806" s="612"/>
      <c r="L806" s="668">
        <v>12084</v>
      </c>
      <c r="M806" s="65">
        <f t="shared" si="350"/>
        <v>12084</v>
      </c>
      <c r="N806" s="65">
        <f t="shared" si="351"/>
        <v>553.55016032982144</v>
      </c>
      <c r="O806" s="625"/>
      <c r="P806" s="625">
        <v>1</v>
      </c>
      <c r="Q806" s="625">
        <v>22</v>
      </c>
      <c r="R806" s="625">
        <v>2</v>
      </c>
      <c r="S806" s="625">
        <v>16</v>
      </c>
      <c r="T806" s="625">
        <v>233</v>
      </c>
      <c r="U806" s="625">
        <v>22</v>
      </c>
      <c r="V806" s="625">
        <v>21</v>
      </c>
      <c r="W806" s="625">
        <v>256</v>
      </c>
      <c r="X806" s="637"/>
      <c r="Y806" s="630"/>
      <c r="Z806" s="141"/>
      <c r="AA806" s="378">
        <f t="shared" si="352"/>
        <v>549.27272727272725</v>
      </c>
      <c r="AB806" s="620"/>
      <c r="AC806" s="99">
        <f t="shared" si="348"/>
        <v>11.095238095238095</v>
      </c>
      <c r="AD806" s="191">
        <f t="shared" si="353"/>
        <v>0.412416</v>
      </c>
      <c r="AE806" s="17">
        <v>4.4480000000000004</v>
      </c>
      <c r="AF806" s="198">
        <f t="shared" si="354"/>
        <v>84.014564713670964</v>
      </c>
      <c r="AG806" s="604" t="s">
        <v>1328</v>
      </c>
    </row>
    <row r="807" spans="1:33" x14ac:dyDescent="0.2">
      <c r="A807" s="702" t="s">
        <v>929</v>
      </c>
      <c r="B807" s="17" t="s">
        <v>711</v>
      </c>
      <c r="C807" s="661"/>
      <c r="D807" s="663"/>
      <c r="E807" s="640" t="s">
        <v>1319</v>
      </c>
      <c r="F807" s="610" t="s">
        <v>1782</v>
      </c>
      <c r="G807" s="1174">
        <v>49.38</v>
      </c>
      <c r="H807" s="641">
        <v>11</v>
      </c>
      <c r="I807" s="652">
        <v>180</v>
      </c>
      <c r="J807" s="648"/>
      <c r="K807" s="612"/>
      <c r="L807" s="668">
        <v>27696</v>
      </c>
      <c r="M807" s="65">
        <f t="shared" si="350"/>
        <v>27696</v>
      </c>
      <c r="N807" s="65">
        <f t="shared" si="351"/>
        <v>560.87484811664638</v>
      </c>
      <c r="O807" s="625"/>
      <c r="P807" s="625">
        <v>1</v>
      </c>
      <c r="Q807" s="625">
        <v>34</v>
      </c>
      <c r="R807" s="625">
        <v>6</v>
      </c>
      <c r="S807" s="625">
        <v>16</v>
      </c>
      <c r="T807" s="625">
        <v>267</v>
      </c>
      <c r="U807" s="625">
        <v>34</v>
      </c>
      <c r="V807" s="625">
        <v>31</v>
      </c>
      <c r="W807" s="625">
        <v>256</v>
      </c>
      <c r="X807" s="637"/>
      <c r="Y807" s="630"/>
      <c r="Z807" s="141"/>
      <c r="AA807" s="378">
        <f t="shared" si="352"/>
        <v>814.58823529411768</v>
      </c>
      <c r="AB807" s="620"/>
      <c r="AC807" s="99">
        <f t="shared" si="348"/>
        <v>8.612903225806452</v>
      </c>
      <c r="AD807" s="191">
        <f t="shared" si="353"/>
        <v>0.61055999999999999</v>
      </c>
      <c r="AE807" s="17">
        <v>9.56</v>
      </c>
      <c r="AF807" s="198">
        <f t="shared" si="354"/>
        <v>81.13633737723859</v>
      </c>
      <c r="AG807" s="604" t="s">
        <v>1327</v>
      </c>
    </row>
    <row r="808" spans="1:33" x14ac:dyDescent="0.2">
      <c r="A808" s="702" t="s">
        <v>929</v>
      </c>
      <c r="B808" s="17" t="s">
        <v>711</v>
      </c>
      <c r="C808" s="661"/>
      <c r="D808" s="663"/>
      <c r="E808" s="747" t="s">
        <v>1320</v>
      </c>
      <c r="F808" s="610" t="s">
        <v>1782</v>
      </c>
      <c r="G808" s="611">
        <v>89.66</v>
      </c>
      <c r="H808" s="641">
        <v>11</v>
      </c>
      <c r="I808" s="652">
        <v>200</v>
      </c>
      <c r="J808" s="648"/>
      <c r="K808" s="612"/>
      <c r="L808" s="668">
        <v>56340</v>
      </c>
      <c r="M808" s="65">
        <f t="shared" si="350"/>
        <v>56340</v>
      </c>
      <c r="N808" s="65">
        <f t="shared" si="351"/>
        <v>628.37385679232659</v>
      </c>
      <c r="O808" s="625"/>
      <c r="P808" s="625">
        <v>1</v>
      </c>
      <c r="Q808" s="625">
        <v>72</v>
      </c>
      <c r="R808" s="625">
        <v>6</v>
      </c>
      <c r="S808" s="625">
        <v>32</v>
      </c>
      <c r="T808" s="625">
        <v>377</v>
      </c>
      <c r="U808" s="625">
        <v>72</v>
      </c>
      <c r="V808" s="625">
        <v>69</v>
      </c>
      <c r="W808" s="625">
        <v>256</v>
      </c>
      <c r="X808" s="637"/>
      <c r="Y808" s="630"/>
      <c r="Z808" s="141"/>
      <c r="AA808" s="378">
        <f t="shared" si="352"/>
        <v>782.5</v>
      </c>
      <c r="AB808" s="620"/>
      <c r="AC808" s="99">
        <f t="shared" si="348"/>
        <v>5.4637681159420293</v>
      </c>
      <c r="AD808" s="191">
        <f t="shared" si="353"/>
        <v>1.354752</v>
      </c>
      <c r="AE808" s="17">
        <v>18.904</v>
      </c>
      <c r="AF808" s="198">
        <f t="shared" si="354"/>
        <v>78.240113596024145</v>
      </c>
      <c r="AG808" s="604" t="s">
        <v>1331</v>
      </c>
    </row>
    <row r="809" spans="1:33" x14ac:dyDescent="0.2">
      <c r="A809" s="702" t="s">
        <v>740</v>
      </c>
      <c r="B809" s="41" t="s">
        <v>711</v>
      </c>
      <c r="C809" s="661"/>
      <c r="D809" s="663"/>
      <c r="E809" s="747" t="s">
        <v>1752</v>
      </c>
      <c r="F809" s="610" t="s">
        <v>1754</v>
      </c>
      <c r="G809" s="611">
        <v>77.94</v>
      </c>
      <c r="H809" s="641">
        <v>11</v>
      </c>
      <c r="I809" s="652">
        <v>200</v>
      </c>
      <c r="J809" s="648"/>
      <c r="K809" s="612"/>
      <c r="L809" s="668">
        <v>56520</v>
      </c>
      <c r="M809" s="65">
        <f t="shared" si="350"/>
        <v>56520</v>
      </c>
      <c r="N809" s="64">
        <f t="shared" si="351"/>
        <v>725.17321016166284</v>
      </c>
      <c r="O809" s="625"/>
      <c r="P809" s="625"/>
      <c r="Q809" s="625">
        <v>72</v>
      </c>
      <c r="R809" s="625">
        <v>6</v>
      </c>
      <c r="S809" s="625">
        <v>4</v>
      </c>
      <c r="T809" s="625">
        <v>387</v>
      </c>
      <c r="U809" s="625">
        <v>72</v>
      </c>
      <c r="V809" s="625">
        <v>69</v>
      </c>
      <c r="W809" s="625">
        <v>256</v>
      </c>
      <c r="X809" s="637"/>
      <c r="Y809" s="630"/>
      <c r="Z809" s="141"/>
      <c r="AA809" s="378">
        <f t="shared" si="352"/>
        <v>785</v>
      </c>
      <c r="AB809" s="620"/>
      <c r="AC809" s="99">
        <f t="shared" si="348"/>
        <v>5.6086956521739131</v>
      </c>
      <c r="AD809" s="191">
        <f t="shared" si="353"/>
        <v>1.354752</v>
      </c>
      <c r="AE809" s="17">
        <v>18.904</v>
      </c>
      <c r="AF809" s="198">
        <f t="shared" si="354"/>
        <v>77.990941259731073</v>
      </c>
      <c r="AG809" s="604" t="s">
        <v>1518</v>
      </c>
    </row>
    <row r="810" spans="1:33" x14ac:dyDescent="0.2">
      <c r="A810" s="702" t="s">
        <v>740</v>
      </c>
      <c r="B810" s="17" t="s">
        <v>711</v>
      </c>
      <c r="C810" s="661"/>
      <c r="D810" s="663"/>
      <c r="E810" s="745" t="s">
        <v>1515</v>
      </c>
      <c r="F810" s="610" t="s">
        <v>1625</v>
      </c>
      <c r="G810" s="1174">
        <v>171.21</v>
      </c>
      <c r="H810" s="641">
        <v>11</v>
      </c>
      <c r="I810" s="652">
        <v>180</v>
      </c>
      <c r="J810" s="648"/>
      <c r="K810" s="612"/>
      <c r="L810" s="668">
        <v>86316</v>
      </c>
      <c r="M810" s="65">
        <f>L810</f>
        <v>86316</v>
      </c>
      <c r="N810" s="64">
        <f t="shared" si="351"/>
        <v>504.15279481338706</v>
      </c>
      <c r="O810" s="625"/>
      <c r="P810" s="625">
        <v>1</v>
      </c>
      <c r="Q810" s="625">
        <v>84</v>
      </c>
      <c r="R810" s="625">
        <v>6</v>
      </c>
      <c r="S810" s="625">
        <v>64</v>
      </c>
      <c r="T810" s="625">
        <v>425</v>
      </c>
      <c r="U810" s="625">
        <v>112</v>
      </c>
      <c r="V810" s="625">
        <v>109</v>
      </c>
      <c r="W810" s="625">
        <v>512</v>
      </c>
      <c r="X810" s="637"/>
      <c r="Y810" s="630"/>
      <c r="Z810" s="141"/>
      <c r="AA810" s="378">
        <f>M810/Q810</f>
        <v>1027.5714285714287</v>
      </c>
      <c r="AB810" s="620"/>
      <c r="AC810" s="99">
        <f>T810/V810</f>
        <v>3.8990825688073394</v>
      </c>
      <c r="AD810" s="191">
        <f>(U810*64*18+V810*512*36)/1000000</f>
        <v>2.138112</v>
      </c>
      <c r="AE810" s="17">
        <v>28.488</v>
      </c>
      <c r="AF810" s="198">
        <f t="shared" si="354"/>
        <v>76.6917836785764</v>
      </c>
      <c r="AG810" s="604" t="s">
        <v>1330</v>
      </c>
    </row>
    <row r="811" spans="1:33" s="751" customFormat="1" x14ac:dyDescent="0.2">
      <c r="A811" s="1223" t="s">
        <v>740</v>
      </c>
      <c r="B811" s="573" t="s">
        <v>711</v>
      </c>
      <c r="C811" s="1224"/>
      <c r="D811" s="1225"/>
      <c r="E811" s="1226" t="s">
        <v>1516</v>
      </c>
      <c r="F811" s="1227" t="s">
        <v>1322</v>
      </c>
      <c r="G811" s="1050"/>
      <c r="H811" s="1228">
        <v>35</v>
      </c>
      <c r="I811" s="1229">
        <v>574</v>
      </c>
      <c r="J811" s="1230"/>
      <c r="K811" s="1231"/>
      <c r="L811" s="1232">
        <v>99512</v>
      </c>
      <c r="M811" s="564">
        <f t="shared" si="350"/>
        <v>99512</v>
      </c>
      <c r="N811" s="794" t="str">
        <f t="shared" si="351"/>
        <v/>
      </c>
      <c r="O811" s="1233"/>
      <c r="P811" s="1233">
        <v>1</v>
      </c>
      <c r="Q811" s="1233">
        <v>160</v>
      </c>
      <c r="R811" s="1233">
        <v>8</v>
      </c>
      <c r="S811" s="1233">
        <v>64</v>
      </c>
      <c r="T811" s="1233">
        <v>574</v>
      </c>
      <c r="U811" s="1233">
        <v>160</v>
      </c>
      <c r="V811" s="1233">
        <v>160</v>
      </c>
      <c r="W811" s="1233">
        <v>512</v>
      </c>
      <c r="X811" s="1234"/>
      <c r="Y811" s="1235"/>
      <c r="Z811" s="568"/>
      <c r="AA811" s="591">
        <f t="shared" si="352"/>
        <v>621.95000000000005</v>
      </c>
      <c r="AB811" s="1236"/>
      <c r="AC811" s="571">
        <f t="shared" si="348"/>
        <v>3.5874999999999999</v>
      </c>
      <c r="AD811" s="572">
        <f t="shared" si="353"/>
        <v>3.1334399999999998</v>
      </c>
      <c r="AE811" s="573">
        <v>49.119231999999997</v>
      </c>
      <c r="AF811" s="594"/>
      <c r="AG811" s="1237"/>
    </row>
    <row r="812" spans="1:33" x14ac:dyDescent="0.2">
      <c r="A812" s="702"/>
      <c r="B812" s="17" t="s">
        <v>711</v>
      </c>
      <c r="C812" s="661"/>
      <c r="D812" s="1398" t="s">
        <v>703</v>
      </c>
      <c r="E812" s="745" t="s">
        <v>1659</v>
      </c>
      <c r="F812" s="610" t="s">
        <v>2289</v>
      </c>
      <c r="G812" s="1174"/>
      <c r="H812" s="641">
        <v>35</v>
      </c>
      <c r="I812" s="652">
        <v>166</v>
      </c>
      <c r="J812" s="648"/>
      <c r="K812" s="612"/>
      <c r="L812" s="668">
        <v>151824</v>
      </c>
      <c r="M812" s="65">
        <f>L812</f>
        <v>151824</v>
      </c>
      <c r="N812" s="64" t="str">
        <f>IF(AND(G812&lt;&gt;"",M812&lt;&gt;""),M812/G812,"")</f>
        <v/>
      </c>
      <c r="O812" s="625"/>
      <c r="P812" s="625"/>
      <c r="Q812" s="625">
        <v>462</v>
      </c>
      <c r="R812" s="625">
        <v>8</v>
      </c>
      <c r="S812" s="625">
        <v>24</v>
      </c>
      <c r="T812" s="625">
        <v>720</v>
      </c>
      <c r="U812" s="625">
        <v>210</v>
      </c>
      <c r="V812" s="625">
        <v>209</v>
      </c>
      <c r="W812" s="625"/>
      <c r="X812" s="637"/>
      <c r="Y812" s="630"/>
      <c r="Z812" s="141"/>
      <c r="AA812" s="378">
        <f>M812/Q812</f>
        <v>328.6233766233766</v>
      </c>
      <c r="AB812" s="620"/>
      <c r="AC812" s="99">
        <f>T812/V812</f>
        <v>3.4449760765550241</v>
      </c>
      <c r="AD812" s="191">
        <f>(U812*64*18+V812*512*36)/1000000</f>
        <v>4.0942080000000001</v>
      </c>
      <c r="AE812" s="197"/>
      <c r="AF812" s="198">
        <f>(AE812*1000000-V812*36*512)/(4*L812)</f>
        <v>-6.3433449257034464</v>
      </c>
      <c r="AG812" s="604" t="s">
        <v>2288</v>
      </c>
    </row>
    <row r="813" spans="1:33" ht="13.5" thickBot="1" x14ac:dyDescent="0.25">
      <c r="A813" s="702" t="s">
        <v>740</v>
      </c>
      <c r="B813" s="21" t="s">
        <v>711</v>
      </c>
      <c r="C813" s="662"/>
      <c r="D813" s="664"/>
      <c r="E813" s="746" t="s">
        <v>1517</v>
      </c>
      <c r="F813" s="614" t="s">
        <v>1322</v>
      </c>
      <c r="G813" s="1239">
        <v>335.18</v>
      </c>
      <c r="H813" s="642">
        <v>35</v>
      </c>
      <c r="I813" s="653">
        <v>574</v>
      </c>
      <c r="J813" s="650"/>
      <c r="K813" s="616"/>
      <c r="L813" s="669">
        <v>146124</v>
      </c>
      <c r="M813" s="68">
        <f t="shared" si="350"/>
        <v>146124</v>
      </c>
      <c r="N813" s="67">
        <f t="shared" si="351"/>
        <v>435.95679933170237</v>
      </c>
      <c r="O813" s="626"/>
      <c r="P813" s="626">
        <v>1</v>
      </c>
      <c r="Q813" s="626">
        <v>240</v>
      </c>
      <c r="R813" s="626">
        <v>8</v>
      </c>
      <c r="S813" s="626">
        <v>64</v>
      </c>
      <c r="T813" s="626">
        <v>574</v>
      </c>
      <c r="U813" s="626">
        <v>240</v>
      </c>
      <c r="V813" s="626">
        <v>236</v>
      </c>
      <c r="W813" s="626">
        <v>512</v>
      </c>
      <c r="X813" s="638"/>
      <c r="Y813" s="631"/>
      <c r="Z813" s="142"/>
      <c r="AA813" s="379">
        <f t="shared" si="352"/>
        <v>608.85</v>
      </c>
      <c r="AB813" s="621"/>
      <c r="AC813" s="100">
        <f t="shared" si="348"/>
        <v>2.4322033898305087</v>
      </c>
      <c r="AD813" s="192">
        <f t="shared" si="353"/>
        <v>4.6264320000000003</v>
      </c>
      <c r="AE813" s="199">
        <v>47.968000000000004</v>
      </c>
      <c r="AF813" s="200">
        <f>(AE813*1000000-V813*36*512)/(4*L813)</f>
        <v>74.625058169773624</v>
      </c>
      <c r="AG813" s="604" t="s">
        <v>1562</v>
      </c>
    </row>
    <row r="814" spans="1:33" x14ac:dyDescent="0.2">
      <c r="A814" s="702"/>
      <c r="B814" s="48" t="s">
        <v>362</v>
      </c>
      <c r="C814" s="660"/>
      <c r="D814" s="1017"/>
      <c r="E814" s="1277" t="s">
        <v>2247</v>
      </c>
      <c r="F814" s="720" t="s">
        <v>1018</v>
      </c>
      <c r="G814" s="1281" t="s">
        <v>798</v>
      </c>
      <c r="H814" s="722" t="s">
        <v>531</v>
      </c>
      <c r="I814" s="723"/>
      <c r="J814" s="646"/>
      <c r="K814" s="724"/>
      <c r="L814" s="667" t="s">
        <v>1316</v>
      </c>
      <c r="M814" s="622" t="s">
        <v>1316</v>
      </c>
      <c r="N814" s="633">
        <f>AVERAGE(N815:N824)</f>
        <v>866.99645776677062</v>
      </c>
      <c r="O814" s="623"/>
      <c r="P814" s="623" t="s">
        <v>2246</v>
      </c>
      <c r="Q814" s="623" t="s">
        <v>1841</v>
      </c>
      <c r="R814" s="623"/>
      <c r="S814" s="623" t="s">
        <v>2253</v>
      </c>
      <c r="T814" s="623"/>
      <c r="U814" s="623" t="s">
        <v>1839</v>
      </c>
      <c r="V814" s="623" t="s">
        <v>1840</v>
      </c>
      <c r="W814" s="623" t="s">
        <v>2183</v>
      </c>
      <c r="X814" s="1282" t="s">
        <v>1860</v>
      </c>
      <c r="Y814" s="726"/>
      <c r="Z814" s="164"/>
      <c r="AA814" s="748">
        <f>AVERAGE(AA815:AA824)</f>
        <v>324.84398686876494</v>
      </c>
      <c r="AB814" s="748">
        <v>568</v>
      </c>
      <c r="AC814" s="1390">
        <f>AVERAGE(AC815:AC824)</f>
        <v>0.95695235292334768</v>
      </c>
      <c r="AD814" s="636" t="s">
        <v>650</v>
      </c>
      <c r="AE814" s="201"/>
      <c r="AF814" s="1391">
        <f>AVERAGE(AF821:AF824)</f>
        <v>61.182566324081293</v>
      </c>
      <c r="AG814" s="604" t="s">
        <v>1867</v>
      </c>
    </row>
    <row r="815" spans="1:33" x14ac:dyDescent="0.2">
      <c r="A815" s="702"/>
      <c r="B815" s="448"/>
      <c r="C815" s="671"/>
      <c r="D815" s="1098"/>
      <c r="E815" s="745" t="s">
        <v>2248</v>
      </c>
      <c r="F815" s="610" t="s">
        <v>1865</v>
      </c>
      <c r="G815" s="1174">
        <v>64.361900000000006</v>
      </c>
      <c r="H815" s="641">
        <v>11</v>
      </c>
      <c r="I815" s="652">
        <v>102</v>
      </c>
      <c r="J815" s="648"/>
      <c r="K815" s="612"/>
      <c r="L815" s="1278">
        <v>23</v>
      </c>
      <c r="M815" s="1279">
        <f t="shared" ref="M815:M824" si="355">L815</f>
        <v>23</v>
      </c>
      <c r="N815" s="64">
        <f t="shared" ref="N815:N824" si="356">IF(AND(G815&lt;&gt;"",M815&lt;&gt;""),1000*M815/G815,"")</f>
        <v>357.35427325793671</v>
      </c>
      <c r="O815" s="625"/>
      <c r="P815" s="947">
        <v>4</v>
      </c>
      <c r="Q815" s="625">
        <v>68</v>
      </c>
      <c r="R815" s="625">
        <v>8</v>
      </c>
      <c r="S815" s="625">
        <v>4</v>
      </c>
      <c r="T815" s="625">
        <v>244</v>
      </c>
      <c r="U815" s="625">
        <v>204</v>
      </c>
      <c r="V815" s="625">
        <v>84</v>
      </c>
      <c r="W815" s="625">
        <v>194</v>
      </c>
      <c r="X815" s="637">
        <f t="shared" ref="X815:X824" si="357">1000*L815/12</f>
        <v>1916.6666666666667</v>
      </c>
      <c r="Y815" s="630"/>
      <c r="Z815" s="141"/>
      <c r="AA815" s="378">
        <f t="shared" ref="AA815:AA824" si="358">L815*1000/Q815</f>
        <v>338.23529411764707</v>
      </c>
      <c r="AB815" s="1023"/>
      <c r="AC815" s="393">
        <f t="shared" ref="AC815:AC824" si="359">T815/V815</f>
        <v>2.9047619047619047</v>
      </c>
      <c r="AD815" s="191">
        <f t="shared" ref="AD815:AD824" si="360">(64*12*U815+512*40*V815)/1000000</f>
        <v>1.876992</v>
      </c>
      <c r="AE815" s="197"/>
      <c r="AF815" s="198">
        <f t="shared" ref="AF815:AF824" si="361">(AE815*8000000)/(4000*L815)</f>
        <v>0</v>
      </c>
      <c r="AG815" s="604" t="s">
        <v>2404</v>
      </c>
    </row>
    <row r="816" spans="1:33" x14ac:dyDescent="0.2">
      <c r="A816" s="702"/>
      <c r="B816" s="448"/>
      <c r="C816" s="671"/>
      <c r="D816" s="1098"/>
      <c r="E816" s="745" t="s">
        <v>2249</v>
      </c>
      <c r="F816" s="610" t="s">
        <v>1865</v>
      </c>
      <c r="G816" s="1174">
        <v>168.72219999999999</v>
      </c>
      <c r="H816" s="641">
        <v>11</v>
      </c>
      <c r="I816" s="652">
        <v>102</v>
      </c>
      <c r="J816" s="648"/>
      <c r="K816" s="612"/>
      <c r="L816" s="1278">
        <v>93</v>
      </c>
      <c r="M816" s="1279">
        <f t="shared" si="355"/>
        <v>93</v>
      </c>
      <c r="N816" s="64">
        <f t="shared" si="356"/>
        <v>551.2019165231369</v>
      </c>
      <c r="O816" s="625"/>
      <c r="P816" s="947">
        <v>4</v>
      </c>
      <c r="Q816" s="625">
        <v>292</v>
      </c>
      <c r="R816" s="625">
        <v>8</v>
      </c>
      <c r="S816" s="625">
        <v>4</v>
      </c>
      <c r="T816" s="625">
        <v>412</v>
      </c>
      <c r="U816" s="625">
        <v>876</v>
      </c>
      <c r="V816" s="625">
        <v>308</v>
      </c>
      <c r="W816" s="625">
        <v>387</v>
      </c>
      <c r="X816" s="637">
        <f t="shared" si="357"/>
        <v>7750</v>
      </c>
      <c r="Y816" s="630"/>
      <c r="Z816" s="141"/>
      <c r="AA816" s="378">
        <f t="shared" si="358"/>
        <v>318.49315068493149</v>
      </c>
      <c r="AB816" s="1023"/>
      <c r="AC816" s="393">
        <f t="shared" si="359"/>
        <v>1.3376623376623376</v>
      </c>
      <c r="AD816" s="191">
        <f t="shared" si="360"/>
        <v>6.9806080000000001</v>
      </c>
      <c r="AE816" s="197"/>
      <c r="AF816" s="198">
        <f t="shared" si="361"/>
        <v>0</v>
      </c>
      <c r="AG816" s="604" t="s">
        <v>2254</v>
      </c>
    </row>
    <row r="817" spans="1:35" x14ac:dyDescent="0.2">
      <c r="A817" s="702"/>
      <c r="B817" s="448"/>
      <c r="C817" s="671"/>
      <c r="D817" s="1098"/>
      <c r="E817" s="745" t="s">
        <v>2250</v>
      </c>
      <c r="F817" s="610" t="s">
        <v>1865</v>
      </c>
      <c r="G817" s="1174">
        <v>244.97</v>
      </c>
      <c r="H817" s="641">
        <v>11</v>
      </c>
      <c r="I817" s="652">
        <v>102</v>
      </c>
      <c r="J817" s="648"/>
      <c r="K817" s="612"/>
      <c r="L817" s="1278">
        <v>161</v>
      </c>
      <c r="M817" s="1279">
        <f t="shared" si="355"/>
        <v>161</v>
      </c>
      <c r="N817" s="64">
        <f t="shared" si="356"/>
        <v>657.22333346940445</v>
      </c>
      <c r="O817" s="625"/>
      <c r="P817" s="947">
        <v>4</v>
      </c>
      <c r="Q817" s="625">
        <v>498</v>
      </c>
      <c r="R817" s="625">
        <v>8</v>
      </c>
      <c r="S817" s="625">
        <v>8</v>
      </c>
      <c r="T817" s="625">
        <v>448</v>
      </c>
      <c r="U817" s="625">
        <v>1494</v>
      </c>
      <c r="V817" s="625">
        <v>520</v>
      </c>
      <c r="W817" s="625">
        <v>415</v>
      </c>
      <c r="X817" s="637">
        <f t="shared" si="357"/>
        <v>13416.666666666666</v>
      </c>
      <c r="Y817" s="630"/>
      <c r="Z817" s="141"/>
      <c r="AA817" s="371">
        <f t="shared" si="358"/>
        <v>323.29317269076307</v>
      </c>
      <c r="AB817" s="620"/>
      <c r="AC817" s="99">
        <f t="shared" si="359"/>
        <v>0.86153846153846159</v>
      </c>
      <c r="AD817" s="191">
        <f t="shared" si="360"/>
        <v>11.796991999999999</v>
      </c>
      <c r="AE817" s="197"/>
      <c r="AF817" s="198">
        <f t="shared" si="361"/>
        <v>0</v>
      </c>
      <c r="AG817" s="604" t="s">
        <v>2255</v>
      </c>
    </row>
    <row r="818" spans="1:35" x14ac:dyDescent="0.2">
      <c r="A818" s="702"/>
      <c r="B818" s="448"/>
      <c r="C818" s="671"/>
      <c r="D818" s="1098"/>
      <c r="E818" s="745" t="s">
        <v>2251</v>
      </c>
      <c r="F818" s="610" t="s">
        <v>1865</v>
      </c>
      <c r="G818" s="1174">
        <v>314.23</v>
      </c>
      <c r="H818" s="641">
        <v>16</v>
      </c>
      <c r="I818" s="652">
        <v>180</v>
      </c>
      <c r="J818" s="648"/>
      <c r="K818" s="612"/>
      <c r="L818" s="1278">
        <v>254</v>
      </c>
      <c r="M818" s="1279">
        <f t="shared" si="355"/>
        <v>254</v>
      </c>
      <c r="N818" s="64">
        <f t="shared" si="356"/>
        <v>808.32511217897718</v>
      </c>
      <c r="O818" s="625"/>
      <c r="P818" s="947">
        <v>4</v>
      </c>
      <c r="Q818" s="625">
        <v>784</v>
      </c>
      <c r="R818" s="625">
        <v>8</v>
      </c>
      <c r="S818" s="625">
        <v>16</v>
      </c>
      <c r="T818" s="625">
        <v>508</v>
      </c>
      <c r="U818" s="625">
        <v>2352</v>
      </c>
      <c r="V818" s="625">
        <v>812</v>
      </c>
      <c r="W818" s="625">
        <v>470</v>
      </c>
      <c r="X818" s="637">
        <f t="shared" si="357"/>
        <v>21166.666666666668</v>
      </c>
      <c r="Y818" s="1268"/>
      <c r="Z818" s="141"/>
      <c r="AA818" s="371">
        <f t="shared" si="358"/>
        <v>323.9795918367347</v>
      </c>
      <c r="AB818" s="620"/>
      <c r="AC818" s="99">
        <f t="shared" si="359"/>
        <v>0.62561576354679804</v>
      </c>
      <c r="AD818" s="191">
        <f t="shared" si="360"/>
        <v>18.436095999999999</v>
      </c>
      <c r="AE818" s="197"/>
      <c r="AF818" s="198">
        <f t="shared" si="361"/>
        <v>0</v>
      </c>
      <c r="AG818" s="604" t="s">
        <v>2257</v>
      </c>
    </row>
    <row r="819" spans="1:35" x14ac:dyDescent="0.2">
      <c r="A819" s="702"/>
      <c r="B819" s="448"/>
      <c r="C819" s="671"/>
      <c r="D819" s="1098"/>
      <c r="E819" s="745" t="s">
        <v>2252</v>
      </c>
      <c r="F819" s="610" t="s">
        <v>1866</v>
      </c>
      <c r="G819" s="1174">
        <v>524.19460000000004</v>
      </c>
      <c r="H819" s="641">
        <v>35</v>
      </c>
      <c r="I819" s="652">
        <v>232</v>
      </c>
      <c r="J819" s="648"/>
      <c r="K819" s="612"/>
      <c r="L819" s="1278">
        <v>461</v>
      </c>
      <c r="M819" s="1279">
        <f t="shared" si="355"/>
        <v>461</v>
      </c>
      <c r="N819" s="64">
        <f t="shared" si="356"/>
        <v>879.44438954540919</v>
      </c>
      <c r="O819" s="625"/>
      <c r="P819" s="947">
        <v>4</v>
      </c>
      <c r="Q819" s="625">
        <v>1420</v>
      </c>
      <c r="R819" s="625">
        <v>8</v>
      </c>
      <c r="S819" s="625">
        <v>20</v>
      </c>
      <c r="T819" s="625">
        <v>604</v>
      </c>
      <c r="U819" s="625">
        <v>4260</v>
      </c>
      <c r="V819" s="625">
        <v>1460</v>
      </c>
      <c r="W819" s="625">
        <v>553</v>
      </c>
      <c r="X819" s="637">
        <f t="shared" si="357"/>
        <v>38416.666666666664</v>
      </c>
      <c r="Y819" s="1268"/>
      <c r="Z819" s="141"/>
      <c r="AA819" s="371">
        <f t="shared" si="358"/>
        <v>324.64788732394368</v>
      </c>
      <c r="AB819" s="620"/>
      <c r="AC819" s="99">
        <f t="shared" si="359"/>
        <v>0.41369863013698632</v>
      </c>
      <c r="AD819" s="191">
        <f t="shared" si="360"/>
        <v>33.17248</v>
      </c>
      <c r="AE819" s="197"/>
      <c r="AF819" s="198">
        <f t="shared" si="361"/>
        <v>0</v>
      </c>
      <c r="AG819" s="604" t="s">
        <v>2256</v>
      </c>
    </row>
    <row r="820" spans="1:35" x14ac:dyDescent="0.2">
      <c r="A820" s="702"/>
      <c r="B820" s="17"/>
      <c r="C820" s="661"/>
      <c r="D820" s="663"/>
      <c r="E820" s="745" t="s">
        <v>2388</v>
      </c>
      <c r="F820" s="610" t="s">
        <v>1865</v>
      </c>
      <c r="G820" s="1174">
        <v>158.12</v>
      </c>
      <c r="H820" s="641">
        <v>11</v>
      </c>
      <c r="I820" s="652"/>
      <c r="J820" s="648"/>
      <c r="K820" s="612"/>
      <c r="L820" s="1278">
        <v>48</v>
      </c>
      <c r="M820" s="1279">
        <v>48</v>
      </c>
      <c r="N820" s="64">
        <f>IF(AND(G820&lt;&gt;"",M820&lt;&gt;""),1000*M820/G820,"")</f>
        <v>303.56691120667847</v>
      </c>
      <c r="O820" s="625"/>
      <c r="P820" s="1233">
        <v>1</v>
      </c>
      <c r="Q820" s="625">
        <v>150</v>
      </c>
      <c r="R820" s="625">
        <v>4</v>
      </c>
      <c r="S820" s="625">
        <v>4</v>
      </c>
      <c r="T820" s="625">
        <v>176</v>
      </c>
      <c r="U820" s="625">
        <v>450</v>
      </c>
      <c r="V820" s="625">
        <v>160</v>
      </c>
      <c r="W820" s="625">
        <v>216</v>
      </c>
      <c r="X820" s="637">
        <f t="shared" si="357"/>
        <v>4000</v>
      </c>
      <c r="Y820" s="630"/>
      <c r="Z820" s="141"/>
      <c r="AA820" s="371">
        <f>L820*1000/Q820</f>
        <v>320</v>
      </c>
      <c r="AB820" s="620"/>
      <c r="AC820" s="99">
        <f>T820/V820</f>
        <v>1.1000000000000001</v>
      </c>
      <c r="AD820" s="191">
        <f>(64*12*U820+512*40*V820)/1000000</f>
        <v>3.6223999999999998</v>
      </c>
      <c r="AE820" s="197">
        <v>3.41</v>
      </c>
      <c r="AF820" s="198">
        <f>(AE820*8000000)/(4000*L820)</f>
        <v>142.08333333333334</v>
      </c>
      <c r="AG820" s="604" t="s">
        <v>1859</v>
      </c>
      <c r="AI820" s="233"/>
    </row>
    <row r="821" spans="1:35" x14ac:dyDescent="0.2">
      <c r="A821" s="702" t="s">
        <v>94</v>
      </c>
      <c r="B821" s="17"/>
      <c r="C821" s="661"/>
      <c r="D821" s="663"/>
      <c r="E821" s="745" t="s">
        <v>1835</v>
      </c>
      <c r="F821" s="610" t="s">
        <v>1865</v>
      </c>
      <c r="G821" s="1174">
        <v>94.56</v>
      </c>
      <c r="H821" s="641">
        <v>11</v>
      </c>
      <c r="I821" s="652">
        <v>86</v>
      </c>
      <c r="J821" s="648"/>
      <c r="K821" s="612"/>
      <c r="L821" s="1278">
        <v>108.6</v>
      </c>
      <c r="M821" s="1279">
        <f t="shared" si="355"/>
        <v>108.6</v>
      </c>
      <c r="N821" s="64">
        <f t="shared" si="356"/>
        <v>1148.477157360406</v>
      </c>
      <c r="O821" s="625"/>
      <c r="P821" s="1233">
        <v>1</v>
      </c>
      <c r="Q821" s="625">
        <v>336</v>
      </c>
      <c r="R821" s="625">
        <v>8</v>
      </c>
      <c r="S821" s="625">
        <v>8</v>
      </c>
      <c r="T821" s="625">
        <v>284</v>
      </c>
      <c r="U821" s="625">
        <v>1108</v>
      </c>
      <c r="V821" s="625">
        <v>352</v>
      </c>
      <c r="W821" s="625">
        <v>297</v>
      </c>
      <c r="X821" s="637">
        <f t="shared" si="357"/>
        <v>9050</v>
      </c>
      <c r="Y821" s="630"/>
      <c r="Z821" s="141"/>
      <c r="AA821" s="371">
        <f t="shared" si="358"/>
        <v>323.21428571428572</v>
      </c>
      <c r="AB821" s="620"/>
      <c r="AC821" s="99">
        <f t="shared" si="359"/>
        <v>0.80681818181818177</v>
      </c>
      <c r="AD821" s="191">
        <f t="shared" si="360"/>
        <v>8.0599039999999995</v>
      </c>
      <c r="AE821" s="197">
        <v>3.41</v>
      </c>
      <c r="AF821" s="198">
        <f t="shared" si="361"/>
        <v>62.799263351749538</v>
      </c>
      <c r="AG821" s="604" t="s">
        <v>1859</v>
      </c>
      <c r="AI821" s="233"/>
    </row>
    <row r="822" spans="1:35" x14ac:dyDescent="0.2">
      <c r="A822" s="702" t="s">
        <v>94</v>
      </c>
      <c r="B822" s="17"/>
      <c r="C822" s="661"/>
      <c r="D822" s="663"/>
      <c r="E822" s="745" t="s">
        <v>1836</v>
      </c>
      <c r="F822" s="610" t="s">
        <v>1865</v>
      </c>
      <c r="G822" s="1174">
        <v>140.5</v>
      </c>
      <c r="H822" s="641">
        <v>11</v>
      </c>
      <c r="I822" s="652">
        <v>86</v>
      </c>
      <c r="J822" s="648"/>
      <c r="K822" s="612"/>
      <c r="L822" s="1278">
        <v>192.4</v>
      </c>
      <c r="M822" s="1279">
        <f t="shared" si="355"/>
        <v>192.4</v>
      </c>
      <c r="N822" s="64">
        <f t="shared" si="356"/>
        <v>1369.3950177935942</v>
      </c>
      <c r="O822" s="625"/>
      <c r="P822" s="1233">
        <v>1</v>
      </c>
      <c r="Q822" s="625">
        <v>588</v>
      </c>
      <c r="R822" s="625">
        <v>8</v>
      </c>
      <c r="S822" s="625">
        <v>16</v>
      </c>
      <c r="T822" s="625">
        <v>368</v>
      </c>
      <c r="U822" s="625">
        <v>1764</v>
      </c>
      <c r="V822" s="625">
        <v>616</v>
      </c>
      <c r="W822" s="625">
        <v>297</v>
      </c>
      <c r="X822" s="637">
        <f t="shared" si="357"/>
        <v>16033.333333333334</v>
      </c>
      <c r="Y822" s="630"/>
      <c r="Z822" s="141"/>
      <c r="AA822" s="371">
        <f t="shared" si="358"/>
        <v>327.21088435374151</v>
      </c>
      <c r="AB822" s="620"/>
      <c r="AC822" s="99">
        <f t="shared" si="359"/>
        <v>0.59740259740259738</v>
      </c>
      <c r="AD822" s="191">
        <f t="shared" si="360"/>
        <v>13.970432000000001</v>
      </c>
      <c r="AE822" s="197">
        <v>5.9</v>
      </c>
      <c r="AF822" s="198">
        <f t="shared" si="361"/>
        <v>61.330561330561331</v>
      </c>
      <c r="AG822" s="604" t="s">
        <v>2258</v>
      </c>
      <c r="AI822" s="233"/>
    </row>
    <row r="823" spans="1:35" x14ac:dyDescent="0.2">
      <c r="A823" s="702" t="s">
        <v>94</v>
      </c>
      <c r="B823" s="17"/>
      <c r="C823" s="661"/>
      <c r="D823" s="663"/>
      <c r="E823" s="745" t="s">
        <v>1837</v>
      </c>
      <c r="F823" s="610" t="s">
        <v>1865</v>
      </c>
      <c r="G823" s="1174">
        <v>219.54</v>
      </c>
      <c r="H823" s="641">
        <v>16</v>
      </c>
      <c r="I823" s="652">
        <v>180</v>
      </c>
      <c r="J823" s="648"/>
      <c r="K823" s="612"/>
      <c r="L823" s="1278">
        <v>299.54399999999998</v>
      </c>
      <c r="M823" s="1279">
        <f t="shared" si="355"/>
        <v>299.54399999999998</v>
      </c>
      <c r="N823" s="64">
        <f t="shared" si="356"/>
        <v>1364.4165072424159</v>
      </c>
      <c r="O823" s="625"/>
      <c r="P823" s="1233">
        <v>1</v>
      </c>
      <c r="Q823" s="625">
        <v>924</v>
      </c>
      <c r="R823" s="625">
        <v>8</v>
      </c>
      <c r="S823" s="625">
        <v>16</v>
      </c>
      <c r="T823" s="625">
        <v>512</v>
      </c>
      <c r="U823" s="625">
        <v>2772</v>
      </c>
      <c r="V823" s="625">
        <v>952</v>
      </c>
      <c r="W823" s="625">
        <v>459</v>
      </c>
      <c r="X823" s="637">
        <f t="shared" si="357"/>
        <v>24962</v>
      </c>
      <c r="Y823" s="1268"/>
      <c r="Z823" s="141"/>
      <c r="AA823" s="371">
        <f t="shared" si="358"/>
        <v>324.18181818181819</v>
      </c>
      <c r="AB823" s="620"/>
      <c r="AC823" s="99">
        <f t="shared" si="359"/>
        <v>0.53781512605042014</v>
      </c>
      <c r="AD823" s="191">
        <f t="shared" si="360"/>
        <v>21.625855999999999</v>
      </c>
      <c r="AE823" s="197">
        <v>9.1</v>
      </c>
      <c r="AF823" s="198">
        <f t="shared" si="361"/>
        <v>60.759020377640681</v>
      </c>
      <c r="AG823" s="604" t="s">
        <v>1868</v>
      </c>
      <c r="AI823" s="233"/>
    </row>
    <row r="824" spans="1:35" ht="13.5" thickBot="1" x14ac:dyDescent="0.25">
      <c r="A824" s="702" t="s">
        <v>94</v>
      </c>
      <c r="B824" s="21"/>
      <c r="C824" s="662"/>
      <c r="D824" s="1699" t="s">
        <v>703</v>
      </c>
      <c r="E824" s="746" t="s">
        <v>1838</v>
      </c>
      <c r="F824" s="614" t="s">
        <v>1866</v>
      </c>
      <c r="G824" s="1239">
        <v>391.1</v>
      </c>
      <c r="H824" s="642">
        <v>29</v>
      </c>
      <c r="I824" s="653">
        <v>232</v>
      </c>
      <c r="J824" s="650"/>
      <c r="K824" s="616"/>
      <c r="L824" s="1280">
        <v>481.27199999999999</v>
      </c>
      <c r="M824" s="1279">
        <f t="shared" si="355"/>
        <v>481.27199999999999</v>
      </c>
      <c r="N824" s="64">
        <f t="shared" si="356"/>
        <v>1230.5599590897468</v>
      </c>
      <c r="O824" s="626"/>
      <c r="P824" s="1276">
        <v>1</v>
      </c>
      <c r="Q824" s="626">
        <v>1480</v>
      </c>
      <c r="R824" s="626">
        <v>8</v>
      </c>
      <c r="S824" s="626">
        <v>24</v>
      </c>
      <c r="T824" s="626">
        <v>584</v>
      </c>
      <c r="U824" s="626">
        <v>4440</v>
      </c>
      <c r="V824" s="626">
        <v>1520</v>
      </c>
      <c r="W824" s="626">
        <v>513</v>
      </c>
      <c r="X824" s="637">
        <f t="shared" si="357"/>
        <v>40106</v>
      </c>
      <c r="Y824" s="1269"/>
      <c r="Z824" s="142"/>
      <c r="AA824" s="374">
        <f t="shared" si="358"/>
        <v>325.18378378378378</v>
      </c>
      <c r="AB824" s="621"/>
      <c r="AC824" s="100">
        <f t="shared" si="359"/>
        <v>0.38421052631578945</v>
      </c>
      <c r="AD824" s="192">
        <f t="shared" si="360"/>
        <v>34.539520000000003</v>
      </c>
      <c r="AE824" s="199">
        <v>14.4</v>
      </c>
      <c r="AF824" s="200">
        <f t="shared" si="361"/>
        <v>59.841420236373608</v>
      </c>
      <c r="AG824" s="604" t="s">
        <v>1861</v>
      </c>
      <c r="AI824" s="233"/>
    </row>
    <row r="825" spans="1:35" x14ac:dyDescent="0.2">
      <c r="A825" s="702"/>
      <c r="B825" s="706" t="s">
        <v>1290</v>
      </c>
      <c r="C825" s="704"/>
      <c r="D825" s="705"/>
      <c r="E825" s="741" t="s">
        <v>1291</v>
      </c>
      <c r="F825" s="742"/>
      <c r="G825" s="743"/>
      <c r="H825" s="722"/>
      <c r="I825" s="723"/>
      <c r="J825" s="646"/>
      <c r="K825" s="724"/>
      <c r="L825" s="667" t="s">
        <v>1296</v>
      </c>
      <c r="M825" s="489" t="s">
        <v>696</v>
      </c>
      <c r="N825" s="60"/>
      <c r="O825" s="623"/>
      <c r="P825" s="623" t="s">
        <v>1293</v>
      </c>
      <c r="Q825" s="623"/>
      <c r="R825" s="623"/>
      <c r="S825" s="623"/>
      <c r="T825" s="623"/>
      <c r="U825" s="623"/>
      <c r="V825" s="623"/>
      <c r="W825" s="624" t="s">
        <v>1306</v>
      </c>
      <c r="X825" s="725" t="s">
        <v>1307</v>
      </c>
      <c r="Y825" s="1104"/>
      <c r="Z825" s="172"/>
      <c r="AA825" s="678"/>
      <c r="AB825" s="1106"/>
      <c r="AC825" s="102"/>
      <c r="AD825" s="194"/>
      <c r="AE825" s="604" t="s">
        <v>1302</v>
      </c>
      <c r="AF825" s="604"/>
      <c r="AG825" s="665"/>
    </row>
    <row r="826" spans="1:35" x14ac:dyDescent="0.2">
      <c r="A826" s="702" t="s">
        <v>929</v>
      </c>
      <c r="B826" s="703" t="s">
        <v>701</v>
      </c>
      <c r="C826" s="704"/>
      <c r="D826" s="705"/>
      <c r="E826" s="640" t="s">
        <v>1298</v>
      </c>
      <c r="F826" s="610" t="s">
        <v>1305</v>
      </c>
      <c r="G826" s="611">
        <v>6.14</v>
      </c>
      <c r="H826" s="124">
        <v>7</v>
      </c>
      <c r="I826" s="652">
        <v>25</v>
      </c>
      <c r="J826" s="648"/>
      <c r="K826" s="612"/>
      <c r="L826" s="668">
        <v>96</v>
      </c>
      <c r="M826" s="64">
        <v>192</v>
      </c>
      <c r="N826" s="65">
        <f>IF(AND(G826&lt;&gt;"",M826&lt;&gt;""),M826/G826,"")</f>
        <v>31.270358306188928</v>
      </c>
      <c r="O826" s="625"/>
      <c r="P826" s="625">
        <v>1</v>
      </c>
      <c r="Q826" s="625"/>
      <c r="R826" s="625" t="s">
        <v>697</v>
      </c>
      <c r="S826" s="625"/>
      <c r="T826" s="625">
        <v>62</v>
      </c>
      <c r="U826" s="625"/>
      <c r="V826" s="625"/>
      <c r="W826" s="728" t="s">
        <v>1300</v>
      </c>
      <c r="X826" s="729" t="s">
        <v>1301</v>
      </c>
      <c r="Y826" s="630"/>
      <c r="Z826" s="141"/>
      <c r="AA826" s="675"/>
      <c r="AB826" s="620"/>
      <c r="AC826" s="99"/>
      <c r="AD826" s="191"/>
      <c r="AE826" s="604"/>
      <c r="AF826" s="604"/>
      <c r="AG826" s="665"/>
    </row>
    <row r="827" spans="1:35" ht="13.5" thickBot="1" x14ac:dyDescent="0.25">
      <c r="A827" s="702" t="s">
        <v>929</v>
      </c>
      <c r="B827" s="703" t="s">
        <v>701</v>
      </c>
      <c r="C827" s="704"/>
      <c r="D827" s="705"/>
      <c r="E827" s="707" t="s">
        <v>1299</v>
      </c>
      <c r="F827" s="614" t="s">
        <v>1304</v>
      </c>
      <c r="G827" s="615">
        <v>21.01</v>
      </c>
      <c r="H827" s="125">
        <v>16</v>
      </c>
      <c r="I827" s="653">
        <v>72</v>
      </c>
      <c r="J827" s="650"/>
      <c r="K827" s="616"/>
      <c r="L827" s="669">
        <v>192</v>
      </c>
      <c r="M827" s="67">
        <v>384</v>
      </c>
      <c r="N827" s="65">
        <f>IF(AND(G827&lt;&gt;"",M827&lt;&gt;""),M827/G827,"")</f>
        <v>18.277010947168012</v>
      </c>
      <c r="O827" s="626"/>
      <c r="P827" s="626">
        <v>1</v>
      </c>
      <c r="Q827" s="626"/>
      <c r="R827" s="626" t="s">
        <v>697</v>
      </c>
      <c r="S827" s="626"/>
      <c r="T827" s="626">
        <v>62</v>
      </c>
      <c r="U827" s="626"/>
      <c r="V827" s="626"/>
      <c r="W827" s="730" t="s">
        <v>1301</v>
      </c>
      <c r="X827" s="731" t="s">
        <v>1295</v>
      </c>
      <c r="Y827" s="631"/>
      <c r="Z827" s="142"/>
      <c r="AA827" s="677"/>
      <c r="AB827" s="621"/>
      <c r="AC827" s="100"/>
      <c r="AD827" s="192"/>
      <c r="AE827" s="604" t="s">
        <v>1309</v>
      </c>
      <c r="AF827" s="604"/>
      <c r="AG827" s="665"/>
    </row>
    <row r="828" spans="1:35" ht="13.15" customHeight="1" x14ac:dyDescent="0.2">
      <c r="A828" s="702"/>
      <c r="B828" s="732" t="s">
        <v>1290</v>
      </c>
      <c r="C828" s="733"/>
      <c r="D828" s="734"/>
      <c r="E828" s="738" t="s">
        <v>1431</v>
      </c>
      <c r="F828" s="720"/>
      <c r="G828" s="721"/>
      <c r="H828" s="722"/>
      <c r="I828" s="723" t="s">
        <v>1479</v>
      </c>
      <c r="J828" s="646"/>
      <c r="K828" s="724"/>
      <c r="L828" s="667" t="s">
        <v>1296</v>
      </c>
      <c r="M828" s="489" t="s">
        <v>696</v>
      </c>
      <c r="N828" s="60"/>
      <c r="O828" s="623"/>
      <c r="P828" s="623" t="s">
        <v>1435</v>
      </c>
      <c r="Q828" s="623"/>
      <c r="R828" s="623"/>
      <c r="S828" s="623"/>
      <c r="T828" s="623"/>
      <c r="U828" s="623"/>
      <c r="V828" s="623"/>
      <c r="W828" s="624" t="s">
        <v>1306</v>
      </c>
      <c r="X828" s="725" t="s">
        <v>1307</v>
      </c>
      <c r="Y828" s="726"/>
      <c r="Z828" s="164"/>
      <c r="AA828" s="676"/>
      <c r="AB828" s="727"/>
      <c r="AC828" s="105"/>
      <c r="AD828" s="514"/>
      <c r="AE828" s="604" t="s">
        <v>1563</v>
      </c>
      <c r="AF828" s="604"/>
      <c r="AG828" s="665"/>
    </row>
    <row r="829" spans="1:35" ht="13.15" customHeight="1" x14ac:dyDescent="0.2">
      <c r="A829" s="702" t="s">
        <v>1290</v>
      </c>
      <c r="B829" s="703" t="s">
        <v>701</v>
      </c>
      <c r="C829" s="704"/>
      <c r="D829" s="705"/>
      <c r="E829" s="640" t="s">
        <v>1564</v>
      </c>
      <c r="F829" s="610" t="s">
        <v>1434</v>
      </c>
      <c r="G829" s="1548">
        <v>1</v>
      </c>
      <c r="H829" s="641">
        <v>8</v>
      </c>
      <c r="I829" s="652">
        <v>34</v>
      </c>
      <c r="J829" s="648"/>
      <c r="K829" s="612"/>
      <c r="L829" s="668"/>
      <c r="M829" s="64"/>
      <c r="N829" s="65" t="str">
        <f>IF(AND(G829&lt;&gt;"",M829&lt;&gt;""),M829/G829,"")</f>
        <v/>
      </c>
      <c r="O829" s="625"/>
      <c r="P829" s="625">
        <v>1</v>
      </c>
      <c r="Q829" s="625"/>
      <c r="R829" s="625" t="s">
        <v>697</v>
      </c>
      <c r="S829" s="625"/>
      <c r="T829" s="625">
        <v>36</v>
      </c>
      <c r="U829" s="625"/>
      <c r="V829" s="625"/>
      <c r="W829" s="728" t="s">
        <v>1300</v>
      </c>
      <c r="X829" s="729" t="s">
        <v>1301</v>
      </c>
      <c r="Y829" s="630"/>
      <c r="Z829" s="141"/>
      <c r="AA829" s="675"/>
      <c r="AB829" s="620"/>
      <c r="AC829" s="99"/>
      <c r="AD829" s="191"/>
      <c r="AE829" s="604" t="s">
        <v>1565</v>
      </c>
      <c r="AF829" s="604"/>
      <c r="AG829" s="665"/>
    </row>
    <row r="830" spans="1:35" ht="13.15" customHeight="1" x14ac:dyDescent="0.2">
      <c r="A830" s="702" t="s">
        <v>1290</v>
      </c>
      <c r="B830" s="703" t="s">
        <v>701</v>
      </c>
      <c r="C830" s="704"/>
      <c r="D830" s="705"/>
      <c r="E830" s="640" t="s">
        <v>1432</v>
      </c>
      <c r="F830" s="610" t="s">
        <v>1434</v>
      </c>
      <c r="G830" s="1548">
        <v>1.76</v>
      </c>
      <c r="H830" s="641">
        <v>8</v>
      </c>
      <c r="I830" s="652">
        <v>34</v>
      </c>
      <c r="J830" s="648"/>
      <c r="K830" s="612"/>
      <c r="L830" s="668"/>
      <c r="M830" s="64"/>
      <c r="N830" s="65" t="str">
        <f>IF(AND(G830&lt;&gt;"",M830&lt;&gt;""),M830/G830,"")</f>
        <v/>
      </c>
      <c r="O830" s="625"/>
      <c r="P830" s="625">
        <v>1</v>
      </c>
      <c r="Q830" s="625"/>
      <c r="R830" s="625" t="s">
        <v>697</v>
      </c>
      <c r="S830" s="625"/>
      <c r="T830" s="625">
        <v>51</v>
      </c>
      <c r="U830" s="625"/>
      <c r="V830" s="625"/>
      <c r="W830" s="728" t="s">
        <v>1297</v>
      </c>
      <c r="X830" s="729" t="s">
        <v>1294</v>
      </c>
      <c r="Y830" s="630"/>
      <c r="Z830" s="141"/>
      <c r="AA830" s="675"/>
      <c r="AB830" s="620"/>
      <c r="AC830" s="99"/>
      <c r="AD830" s="191"/>
      <c r="AE830" s="604" t="s">
        <v>1480</v>
      </c>
      <c r="AF830" s="604"/>
      <c r="AG830" s="665"/>
    </row>
    <row r="831" spans="1:35" ht="13.15" customHeight="1" x14ac:dyDescent="0.2">
      <c r="A831" s="702" t="s">
        <v>1290</v>
      </c>
      <c r="B831" s="703" t="s">
        <v>701</v>
      </c>
      <c r="C831" s="704"/>
      <c r="D831" s="705"/>
      <c r="E831" s="640" t="s">
        <v>1433</v>
      </c>
      <c r="F831" s="610" t="s">
        <v>1434</v>
      </c>
      <c r="G831" s="1548">
        <v>2.52</v>
      </c>
      <c r="H831" s="641">
        <v>8</v>
      </c>
      <c r="I831" s="652">
        <v>34</v>
      </c>
      <c r="J831" s="648"/>
      <c r="K831" s="612"/>
      <c r="L831" s="668">
        <v>64</v>
      </c>
      <c r="M831" s="64">
        <v>128</v>
      </c>
      <c r="N831" s="65">
        <f>IF(AND(G831&lt;&gt;"",M831&lt;&gt;""),M831/G831,"")</f>
        <v>50.793650793650791</v>
      </c>
      <c r="O831" s="625"/>
      <c r="P831" s="625">
        <v>1</v>
      </c>
      <c r="Q831" s="625"/>
      <c r="R831" s="625" t="s">
        <v>697</v>
      </c>
      <c r="S831" s="625"/>
      <c r="T831" s="625">
        <v>98</v>
      </c>
      <c r="U831" s="625"/>
      <c r="V831" s="625"/>
      <c r="W831" s="728" t="s">
        <v>1297</v>
      </c>
      <c r="X831" s="729" t="s">
        <v>1294</v>
      </c>
      <c r="Y831" s="630"/>
      <c r="Z831" s="141"/>
      <c r="AA831" s="675"/>
      <c r="AB831" s="620"/>
      <c r="AC831" s="99"/>
      <c r="AD831" s="191"/>
      <c r="AE831" s="604" t="s">
        <v>1470</v>
      </c>
      <c r="AF831" s="604"/>
      <c r="AG831" s="665"/>
    </row>
    <row r="832" spans="1:35" ht="13.15" customHeight="1" thickBot="1" x14ac:dyDescent="0.25">
      <c r="A832" s="702" t="s">
        <v>929</v>
      </c>
      <c r="B832" s="703" t="s">
        <v>701</v>
      </c>
      <c r="C832" s="704"/>
      <c r="D832" s="705"/>
      <c r="E832" s="975" t="s">
        <v>1605</v>
      </c>
      <c r="F832" s="1158" t="s">
        <v>1607</v>
      </c>
      <c r="G832" s="1549">
        <v>4.62</v>
      </c>
      <c r="H832" s="1542">
        <v>3.6520000000000001</v>
      </c>
      <c r="I832" s="1159">
        <v>36</v>
      </c>
      <c r="J832" s="1160"/>
      <c r="K832" s="1161"/>
      <c r="L832" s="1162">
        <v>32</v>
      </c>
      <c r="M832" s="976">
        <v>64</v>
      </c>
      <c r="N832" s="71">
        <f>IF(AND(G832&lt;&gt;"",M832&lt;&gt;""),M832/G832,"")</f>
        <v>13.852813852813853</v>
      </c>
      <c r="O832" s="977"/>
      <c r="P832" s="977">
        <v>1</v>
      </c>
      <c r="Q832" s="977"/>
      <c r="R832" s="977" t="s">
        <v>697</v>
      </c>
      <c r="S832" s="977"/>
      <c r="T832" s="977">
        <v>36</v>
      </c>
      <c r="U832" s="977"/>
      <c r="V832" s="977"/>
      <c r="W832" s="628" t="s">
        <v>1297</v>
      </c>
      <c r="X832" s="639" t="s">
        <v>1294</v>
      </c>
      <c r="Y832" s="980"/>
      <c r="Z832" s="279"/>
      <c r="AA832" s="1163"/>
      <c r="AB832" s="1164"/>
      <c r="AC832" s="1165"/>
      <c r="AD832" s="981"/>
      <c r="AE832" s="604" t="s">
        <v>1606</v>
      </c>
      <c r="AF832" s="604"/>
      <c r="AG832" s="665"/>
    </row>
    <row r="833" spans="1:33" ht="13.15" customHeight="1" x14ac:dyDescent="0.2">
      <c r="A833" s="702"/>
      <c r="B833" s="732" t="s">
        <v>1290</v>
      </c>
      <c r="C833" s="733"/>
      <c r="D833" s="734"/>
      <c r="E833" s="738" t="s">
        <v>1478</v>
      </c>
      <c r="F833" s="720"/>
      <c r="G833" s="721"/>
      <c r="H833" s="722"/>
      <c r="I833" s="723" t="s">
        <v>1479</v>
      </c>
      <c r="J833" s="646"/>
      <c r="K833" s="724"/>
      <c r="L833" s="667" t="s">
        <v>1296</v>
      </c>
      <c r="M833" s="489" t="s">
        <v>696</v>
      </c>
      <c r="N833" s="60"/>
      <c r="O833" s="623"/>
      <c r="P833" s="623" t="s">
        <v>2134</v>
      </c>
      <c r="Q833" s="623"/>
      <c r="R833" s="623"/>
      <c r="S833" s="623"/>
      <c r="T833" s="623"/>
      <c r="U833" s="623"/>
      <c r="V833" s="623"/>
      <c r="W833" s="624" t="s">
        <v>1306</v>
      </c>
      <c r="X833" s="725" t="s">
        <v>1307</v>
      </c>
      <c r="Y833" s="726"/>
      <c r="Z833" s="164"/>
      <c r="AA833" s="676"/>
      <c r="AB833" s="727"/>
      <c r="AC833" s="105"/>
      <c r="AD833" s="514"/>
      <c r="AE833" s="604" t="s">
        <v>1566</v>
      </c>
      <c r="AF833" s="604"/>
      <c r="AG833" s="665"/>
    </row>
    <row r="834" spans="1:33" ht="13.15" customHeight="1" x14ac:dyDescent="0.2">
      <c r="A834" s="702" t="s">
        <v>94</v>
      </c>
      <c r="B834" s="703" t="s">
        <v>701</v>
      </c>
      <c r="C834" s="704"/>
      <c r="D834" s="705"/>
      <c r="E834" s="640" t="s">
        <v>1476</v>
      </c>
      <c r="F834" s="610" t="s">
        <v>1303</v>
      </c>
      <c r="G834" s="1548">
        <v>4.8600000000000003</v>
      </c>
      <c r="H834" s="641">
        <v>8</v>
      </c>
      <c r="I834" s="652">
        <v>36</v>
      </c>
      <c r="J834" s="648"/>
      <c r="K834" s="612"/>
      <c r="L834" s="668">
        <v>192</v>
      </c>
      <c r="M834" s="64">
        <v>384</v>
      </c>
      <c r="N834" s="65">
        <f>IF(AND(G834&lt;&gt;"",M834&lt;&gt;""),M834/G834,"")</f>
        <v>79.012345679012341</v>
      </c>
      <c r="O834" s="625"/>
      <c r="P834" s="625">
        <v>1</v>
      </c>
      <c r="Q834" s="625"/>
      <c r="R834" s="625" t="s">
        <v>697</v>
      </c>
      <c r="S834" s="625"/>
      <c r="T834" s="625">
        <v>62</v>
      </c>
      <c r="U834" s="625"/>
      <c r="V834" s="625"/>
      <c r="W834" s="728" t="s">
        <v>1295</v>
      </c>
      <c r="X834" s="729" t="s">
        <v>1294</v>
      </c>
      <c r="Y834" s="630"/>
      <c r="Z834" s="141"/>
      <c r="AA834" s="675"/>
      <c r="AB834" s="620"/>
      <c r="AC834" s="99"/>
      <c r="AD834" s="191"/>
      <c r="AE834" s="604" t="s">
        <v>1471</v>
      </c>
      <c r="AF834" s="604"/>
      <c r="AG834" s="665"/>
    </row>
    <row r="835" spans="1:33" ht="13.15" customHeight="1" x14ac:dyDescent="0.2">
      <c r="A835" s="702" t="s">
        <v>1290</v>
      </c>
      <c r="B835" s="703" t="s">
        <v>701</v>
      </c>
      <c r="C835" s="704"/>
      <c r="D835" s="705"/>
      <c r="E835" s="640" t="s">
        <v>1477</v>
      </c>
      <c r="F835" s="610" t="s">
        <v>1303</v>
      </c>
      <c r="G835" s="1548">
        <v>8.49</v>
      </c>
      <c r="H835" s="641">
        <v>8</v>
      </c>
      <c r="I835" s="652">
        <v>36</v>
      </c>
      <c r="J835" s="648"/>
      <c r="K835" s="612"/>
      <c r="L835" s="668">
        <v>192</v>
      </c>
      <c r="M835" s="64">
        <v>384</v>
      </c>
      <c r="N835" s="65">
        <f>IF(AND(G835&lt;&gt;"",M835&lt;&gt;""),M835/G835,"")</f>
        <v>45.229681978798588</v>
      </c>
      <c r="O835" s="625"/>
      <c r="P835" s="625">
        <v>1</v>
      </c>
      <c r="Q835" s="625"/>
      <c r="R835" s="625" t="s">
        <v>697</v>
      </c>
      <c r="S835" s="625"/>
      <c r="T835" s="625">
        <v>62</v>
      </c>
      <c r="U835" s="625"/>
      <c r="V835" s="625"/>
      <c r="W835" s="728" t="s">
        <v>1295</v>
      </c>
      <c r="X835" s="729" t="s">
        <v>1294</v>
      </c>
      <c r="Y835" s="630"/>
      <c r="Z835" s="141"/>
      <c r="AA835" s="675"/>
      <c r="AB835" s="620"/>
      <c r="AC835" s="99"/>
      <c r="AD835" s="191"/>
      <c r="AE835" s="604" t="s">
        <v>1470</v>
      </c>
      <c r="AF835" s="604"/>
      <c r="AG835" s="665"/>
    </row>
    <row r="836" spans="1:33" ht="13.15" customHeight="1" x14ac:dyDescent="0.2">
      <c r="A836" s="702" t="s">
        <v>1290</v>
      </c>
      <c r="B836" s="703" t="s">
        <v>701</v>
      </c>
      <c r="C836" s="704"/>
      <c r="D836" s="705"/>
      <c r="E836" s="707" t="s">
        <v>1741</v>
      </c>
      <c r="F836" s="610" t="s">
        <v>1303</v>
      </c>
      <c r="G836" s="709">
        <v>10.98</v>
      </c>
      <c r="H836" s="710">
        <v>16</v>
      </c>
      <c r="I836" s="711">
        <v>72</v>
      </c>
      <c r="J836" s="712"/>
      <c r="K836" s="713"/>
      <c r="L836" s="714">
        <v>192</v>
      </c>
      <c r="M836" s="72">
        <v>384</v>
      </c>
      <c r="N836" s="73">
        <f>IF(AND(G836&lt;&gt;"",M836&lt;&gt;""),M836/G836,"")</f>
        <v>34.972677595628411</v>
      </c>
      <c r="O836" s="715"/>
      <c r="P836" s="715">
        <v>1</v>
      </c>
      <c r="Q836" s="715"/>
      <c r="R836" s="715" t="s">
        <v>697</v>
      </c>
      <c r="S836" s="715"/>
      <c r="T836" s="715">
        <v>62</v>
      </c>
      <c r="U836" s="715"/>
      <c r="V836" s="715"/>
      <c r="W836" s="1033" t="s">
        <v>1295</v>
      </c>
      <c r="X836" s="1034" t="s">
        <v>1294</v>
      </c>
      <c r="Y836" s="717"/>
      <c r="Z836" s="173"/>
      <c r="AA836" s="718"/>
      <c r="AB836" s="719"/>
      <c r="AC836" s="101"/>
      <c r="AD836" s="478"/>
      <c r="AE836" s="604" t="s">
        <v>1470</v>
      </c>
      <c r="AF836" s="604"/>
      <c r="AG836" s="665"/>
    </row>
    <row r="837" spans="1:33" ht="13.15" customHeight="1" thickBot="1" x14ac:dyDescent="0.25">
      <c r="A837" s="702" t="s">
        <v>1290</v>
      </c>
      <c r="B837" s="703" t="s">
        <v>701</v>
      </c>
      <c r="C837" s="704"/>
      <c r="D837" s="705"/>
      <c r="E837" s="649" t="s">
        <v>1666</v>
      </c>
      <c r="F837" s="614" t="s">
        <v>1303</v>
      </c>
      <c r="G837" s="615">
        <v>17.399999999999999</v>
      </c>
      <c r="H837" s="642">
        <v>16</v>
      </c>
      <c r="I837" s="653">
        <v>72</v>
      </c>
      <c r="J837" s="650"/>
      <c r="K837" s="616"/>
      <c r="L837" s="669">
        <v>192</v>
      </c>
      <c r="M837" s="67">
        <v>384</v>
      </c>
      <c r="N837" s="68">
        <f>IF(AND(G837&lt;&gt;"",M837&lt;&gt;""),M837/G837,"")</f>
        <v>22.068965517241381</v>
      </c>
      <c r="O837" s="626"/>
      <c r="P837" s="626">
        <v>1</v>
      </c>
      <c r="Q837" s="626"/>
      <c r="R837" s="626" t="s">
        <v>697</v>
      </c>
      <c r="S837" s="626"/>
      <c r="T837" s="626">
        <v>62</v>
      </c>
      <c r="U837" s="626"/>
      <c r="V837" s="626"/>
      <c r="W837" s="730" t="s">
        <v>1295</v>
      </c>
      <c r="X837" s="731" t="s">
        <v>1294</v>
      </c>
      <c r="Y837" s="631"/>
      <c r="Z837" s="142"/>
      <c r="AA837" s="677"/>
      <c r="AB837" s="621"/>
      <c r="AC837" s="100"/>
      <c r="AD837" s="192"/>
      <c r="AE837" s="604" t="s">
        <v>1670</v>
      </c>
      <c r="AF837" s="604"/>
      <c r="AG837" s="665"/>
    </row>
    <row r="838" spans="1:33" ht="13.15" customHeight="1" x14ac:dyDescent="0.2">
      <c r="A838" s="702"/>
      <c r="B838" s="732" t="s">
        <v>1290</v>
      </c>
      <c r="C838" s="733"/>
      <c r="D838" s="734"/>
      <c r="E838" s="738" t="s">
        <v>2011</v>
      </c>
      <c r="F838" s="720"/>
      <c r="G838" s="721"/>
      <c r="H838" s="722"/>
      <c r="I838" s="723" t="s">
        <v>2023</v>
      </c>
      <c r="J838" s="646"/>
      <c r="K838" s="724"/>
      <c r="L838" s="667" t="s">
        <v>1296</v>
      </c>
      <c r="M838" s="489" t="s">
        <v>696</v>
      </c>
      <c r="N838" s="60"/>
      <c r="O838" s="623"/>
      <c r="P838" s="623" t="s">
        <v>2363</v>
      </c>
      <c r="Q838" s="623"/>
      <c r="R838" s="623"/>
      <c r="S838" s="1698"/>
      <c r="T838" s="623"/>
      <c r="U838" s="623"/>
      <c r="V838" s="623"/>
      <c r="W838" s="624" t="s">
        <v>1306</v>
      </c>
      <c r="X838" s="725" t="s">
        <v>1307</v>
      </c>
      <c r="Y838" s="726"/>
      <c r="Z838" s="164"/>
      <c r="AA838" s="676"/>
      <c r="AB838" s="727"/>
      <c r="AC838" s="105"/>
      <c r="AD838" s="514"/>
      <c r="AE838" s="604" t="s">
        <v>2022</v>
      </c>
      <c r="AF838" s="604"/>
      <c r="AG838" s="665"/>
    </row>
    <row r="839" spans="1:33" ht="13.15" customHeight="1" x14ac:dyDescent="0.2">
      <c r="A839" s="702" t="s">
        <v>94</v>
      </c>
      <c r="B839" s="703" t="s">
        <v>701</v>
      </c>
      <c r="C839" s="704"/>
      <c r="D839" s="705"/>
      <c r="E839" s="640" t="s">
        <v>2015</v>
      </c>
      <c r="F839" s="610"/>
      <c r="G839" s="611"/>
      <c r="H839" s="641"/>
      <c r="I839" s="652"/>
      <c r="J839" s="648"/>
      <c r="K839" s="612"/>
      <c r="L839" s="668">
        <v>96</v>
      </c>
      <c r="M839" s="64">
        <v>192</v>
      </c>
      <c r="N839" s="65" t="str">
        <f>IF(AND(G839&lt;&gt;"",M839&lt;&gt;""),M839/G839,"")</f>
        <v/>
      </c>
      <c r="O839" s="625"/>
      <c r="P839" s="625">
        <v>1</v>
      </c>
      <c r="Q839" s="625"/>
      <c r="R839" s="625" t="s">
        <v>697</v>
      </c>
      <c r="S839" s="625"/>
      <c r="T839" s="625"/>
      <c r="U839" s="625"/>
      <c r="V839" s="625"/>
      <c r="W839" s="728" t="s">
        <v>2017</v>
      </c>
      <c r="X839" s="729" t="s">
        <v>1751</v>
      </c>
      <c r="Y839" s="630"/>
      <c r="Z839" s="141"/>
      <c r="AA839" s="675"/>
      <c r="AB839" s="620"/>
      <c r="AC839" s="99"/>
      <c r="AD839" s="191"/>
      <c r="AE839" s="604" t="s">
        <v>2016</v>
      </c>
      <c r="AF839" s="604"/>
      <c r="AG839" s="665"/>
    </row>
    <row r="840" spans="1:33" ht="13.15" customHeight="1" x14ac:dyDescent="0.2">
      <c r="A840" s="702" t="s">
        <v>1290</v>
      </c>
      <c r="B840" s="703" t="s">
        <v>701</v>
      </c>
      <c r="C840" s="704"/>
      <c r="D840" s="705"/>
      <c r="E840" s="640" t="s">
        <v>2012</v>
      </c>
      <c r="F840" s="610"/>
      <c r="G840" s="611"/>
      <c r="H840" s="1539">
        <v>3.7</v>
      </c>
      <c r="I840" s="652">
        <v>78</v>
      </c>
      <c r="J840" s="648"/>
      <c r="K840" s="612"/>
      <c r="L840" s="668">
        <v>96</v>
      </c>
      <c r="M840" s="64">
        <v>192</v>
      </c>
      <c r="N840" s="65" t="str">
        <f>IF(AND(G840&lt;&gt;"",M840&lt;&gt;""),M840/G840,"")</f>
        <v/>
      </c>
      <c r="O840" s="625"/>
      <c r="P840" s="625">
        <v>1</v>
      </c>
      <c r="Q840" s="625"/>
      <c r="R840" s="625" t="s">
        <v>697</v>
      </c>
      <c r="S840" s="625"/>
      <c r="T840" s="625">
        <v>104</v>
      </c>
      <c r="U840" s="625"/>
      <c r="V840" s="625"/>
      <c r="W840" s="728" t="s">
        <v>2018</v>
      </c>
      <c r="X840" s="729" t="s">
        <v>1750</v>
      </c>
      <c r="Y840" s="630"/>
      <c r="Z840" s="141"/>
      <c r="AA840" s="675"/>
      <c r="AB840" s="620"/>
      <c r="AC840" s="99"/>
      <c r="AD840" s="191"/>
      <c r="AE840" s="604" t="s">
        <v>2020</v>
      </c>
      <c r="AF840" s="604"/>
      <c r="AG840" s="665"/>
    </row>
    <row r="841" spans="1:33" ht="13.15" customHeight="1" x14ac:dyDescent="0.2">
      <c r="A841" s="702" t="s">
        <v>1290</v>
      </c>
      <c r="B841" s="703" t="s">
        <v>701</v>
      </c>
      <c r="C841" s="704"/>
      <c r="D841" s="705"/>
      <c r="E841" s="707" t="s">
        <v>2013</v>
      </c>
      <c r="F841" s="610"/>
      <c r="G841" s="709"/>
      <c r="H841" s="1540">
        <v>5</v>
      </c>
      <c r="I841" s="711">
        <v>78</v>
      </c>
      <c r="J841" s="712"/>
      <c r="K841" s="713"/>
      <c r="L841" s="714">
        <v>96</v>
      </c>
      <c r="M841" s="72">
        <v>192</v>
      </c>
      <c r="N841" s="73" t="str">
        <f>IF(AND(G841&lt;&gt;"",M841&lt;&gt;""),M841/G841,"")</f>
        <v/>
      </c>
      <c r="O841" s="715"/>
      <c r="P841" s="715">
        <v>2</v>
      </c>
      <c r="Q841" s="715"/>
      <c r="R841" s="715" t="s">
        <v>697</v>
      </c>
      <c r="S841" s="715"/>
      <c r="T841" s="715">
        <v>104</v>
      </c>
      <c r="U841" s="715"/>
      <c r="V841" s="715"/>
      <c r="W841" s="1033" t="s">
        <v>2018</v>
      </c>
      <c r="X841" s="1034" t="s">
        <v>1750</v>
      </c>
      <c r="Y841" s="717"/>
      <c r="Z841" s="173"/>
      <c r="AA841" s="718"/>
      <c r="AB841" s="719"/>
      <c r="AC841" s="101"/>
      <c r="AD841" s="478"/>
      <c r="AE841" s="604" t="s">
        <v>2021</v>
      </c>
      <c r="AF841" s="604"/>
      <c r="AG841" s="665"/>
    </row>
    <row r="842" spans="1:33" ht="13.15" customHeight="1" thickBot="1" x14ac:dyDescent="0.25">
      <c r="A842" s="702" t="s">
        <v>1290</v>
      </c>
      <c r="B842" s="703" t="s">
        <v>701</v>
      </c>
      <c r="C842" s="704"/>
      <c r="D842" s="705"/>
      <c r="E842" s="649" t="s">
        <v>2014</v>
      </c>
      <c r="F842" s="614"/>
      <c r="G842" s="615"/>
      <c r="H842" s="1541">
        <v>5</v>
      </c>
      <c r="I842" s="653">
        <v>78</v>
      </c>
      <c r="J842" s="650"/>
      <c r="K842" s="616"/>
      <c r="L842" s="669">
        <v>96</v>
      </c>
      <c r="M842" s="67">
        <v>192</v>
      </c>
      <c r="N842" s="68" t="str">
        <f>IF(AND(G842&lt;&gt;"",M842&lt;&gt;""),M842/G842,"")</f>
        <v/>
      </c>
      <c r="O842" s="626"/>
      <c r="P842" s="626">
        <v>2</v>
      </c>
      <c r="Q842" s="626"/>
      <c r="R842" s="626" t="s">
        <v>697</v>
      </c>
      <c r="S842" s="626"/>
      <c r="T842" s="626">
        <v>78</v>
      </c>
      <c r="U842" s="626"/>
      <c r="V842" s="626"/>
      <c r="W842" s="730" t="s">
        <v>1751</v>
      </c>
      <c r="X842" s="731" t="s">
        <v>2019</v>
      </c>
      <c r="Y842" s="631"/>
      <c r="Z842" s="142"/>
      <c r="AA842" s="677"/>
      <c r="AB842" s="621"/>
      <c r="AC842" s="100"/>
      <c r="AD842" s="192"/>
      <c r="AE842" s="604" t="s">
        <v>2024</v>
      </c>
      <c r="AF842" s="604"/>
      <c r="AG842" s="665"/>
    </row>
    <row r="843" spans="1:33" x14ac:dyDescent="0.2">
      <c r="A843" s="183"/>
      <c r="B843" s="48" t="s">
        <v>374</v>
      </c>
      <c r="C843" s="226"/>
      <c r="D843" s="212"/>
      <c r="E843" s="12" t="s">
        <v>2366</v>
      </c>
      <c r="F843" s="13"/>
      <c r="G843" s="49"/>
      <c r="H843" s="14"/>
      <c r="I843" s="161" t="s">
        <v>524</v>
      </c>
      <c r="J843" s="136"/>
      <c r="K843" s="16"/>
      <c r="L843" s="244" t="s">
        <v>2368</v>
      </c>
      <c r="M843" s="60"/>
      <c r="N843" s="60"/>
      <c r="O843" s="61"/>
      <c r="P843" s="399" t="s">
        <v>2362</v>
      </c>
      <c r="Q843" s="61" t="s">
        <v>2367</v>
      </c>
      <c r="R843" s="61"/>
      <c r="S843" s="61" t="s">
        <v>2630</v>
      </c>
      <c r="T843" s="61"/>
      <c r="U843" s="61"/>
      <c r="V843" s="62" t="s">
        <v>1027</v>
      </c>
      <c r="W843" s="1550" t="s">
        <v>1306</v>
      </c>
      <c r="X843" s="109"/>
      <c r="Y843" s="80" t="s">
        <v>2401</v>
      </c>
      <c r="Z843" s="164"/>
      <c r="AA843" s="373"/>
      <c r="AB843" s="92">
        <f>AVERAGE(AB844:AB849)</f>
        <v>108.09090909090908</v>
      </c>
      <c r="AC843" s="98">
        <f>AVERAGE(AC844:AC849)</f>
        <v>19.820917508417505</v>
      </c>
      <c r="AD843" s="109"/>
      <c r="AG843" s="516" t="s">
        <v>2364</v>
      </c>
    </row>
    <row r="844" spans="1:33" ht="13.5" thickBot="1" x14ac:dyDescent="0.25">
      <c r="A844" s="182"/>
      <c r="B844" s="21"/>
      <c r="C844" s="228"/>
      <c r="D844" s="214"/>
      <c r="E844" s="41" t="s">
        <v>2482</v>
      </c>
      <c r="F844" s="45" t="s">
        <v>2361</v>
      </c>
      <c r="G844" s="1518">
        <v>5.63</v>
      </c>
      <c r="H844" s="1538">
        <v>2.5</v>
      </c>
      <c r="I844" s="162">
        <v>27</v>
      </c>
      <c r="J844" s="138"/>
      <c r="K844" s="20"/>
      <c r="L844" s="245">
        <v>1200</v>
      </c>
      <c r="M844" s="1524">
        <v>2.4</v>
      </c>
      <c r="N844" s="68">
        <f>IF(AND(G844&lt;&gt;"",M844&lt;&gt;""),1000*M844/G844,"")</f>
        <v>426.28774422735347</v>
      </c>
      <c r="O844" s="65"/>
      <c r="P844" s="65">
        <v>1</v>
      </c>
      <c r="Q844" s="65">
        <v>2</v>
      </c>
      <c r="R844" s="65"/>
      <c r="S844" s="65">
        <v>2</v>
      </c>
      <c r="T844" s="400">
        <v>36</v>
      </c>
      <c r="U844" s="65"/>
      <c r="V844" s="65">
        <v>8</v>
      </c>
      <c r="W844" s="65" t="s">
        <v>1751</v>
      </c>
      <c r="X844" s="110"/>
      <c r="Y844" s="81">
        <v>3.24</v>
      </c>
      <c r="Z844" s="141">
        <f>IF(AND(M844&lt;&gt;"",Y844&lt;&gt;""),1000*M844/Y844,"")</f>
        <v>740.74074074074065</v>
      </c>
      <c r="AA844" s="371"/>
      <c r="AB844" s="54">
        <f>L844/V844</f>
        <v>150</v>
      </c>
      <c r="AC844" s="99">
        <f>T844/V844</f>
        <v>4.5</v>
      </c>
      <c r="AD844" s="110">
        <f>512*18*V844</f>
        <v>73728</v>
      </c>
      <c r="AG844" s="516" t="s">
        <v>2356</v>
      </c>
    </row>
    <row r="845" spans="1:33" x14ac:dyDescent="0.2">
      <c r="A845" s="183"/>
      <c r="B845" s="48" t="s">
        <v>374</v>
      </c>
      <c r="C845" s="226"/>
      <c r="D845" s="212"/>
      <c r="E845" s="12" t="s">
        <v>543</v>
      </c>
      <c r="F845" s="13"/>
      <c r="G845" s="49"/>
      <c r="H845" s="14"/>
      <c r="I845" s="161" t="s">
        <v>524</v>
      </c>
      <c r="J845" s="136"/>
      <c r="K845" s="16"/>
      <c r="L845" s="244" t="s">
        <v>305</v>
      </c>
      <c r="M845" s="60"/>
      <c r="N845" s="60"/>
      <c r="O845" s="61"/>
      <c r="P845" s="61" t="s">
        <v>545</v>
      </c>
      <c r="Q845" s="61"/>
      <c r="R845" s="61"/>
      <c r="S845" s="61"/>
      <c r="T845" s="61"/>
      <c r="U845" s="61"/>
      <c r="V845" s="62" t="s">
        <v>375</v>
      </c>
      <c r="W845" s="61"/>
      <c r="X845" s="109"/>
      <c r="Y845" s="80"/>
      <c r="Z845" s="164"/>
      <c r="AA845" s="373"/>
      <c r="AB845" s="92">
        <f>AVERAGE(AB846:AB851)</f>
        <v>112.36363636363636</v>
      </c>
      <c r="AC845" s="98">
        <f>AVERAGE(AC846:AC851)</f>
        <v>23.417929292929291</v>
      </c>
      <c r="AD845" s="109"/>
      <c r="AG845" s="236"/>
    </row>
    <row r="846" spans="1:33" ht="13.5" thickBot="1" x14ac:dyDescent="0.25">
      <c r="A846" s="182"/>
      <c r="B846" s="21"/>
      <c r="C846" s="228"/>
      <c r="D846" s="214"/>
      <c r="E846" s="17" t="s">
        <v>544</v>
      </c>
      <c r="F846" s="18"/>
      <c r="G846" s="19"/>
      <c r="H846" s="124">
        <v>8</v>
      </c>
      <c r="I846" s="162">
        <v>120</v>
      </c>
      <c r="J846" s="138"/>
      <c r="K846" s="20"/>
      <c r="L846" s="245">
        <v>640</v>
      </c>
      <c r="M846" s="64"/>
      <c r="N846" s="64"/>
      <c r="O846" s="65"/>
      <c r="P846" s="65"/>
      <c r="Q846" s="65"/>
      <c r="R846" s="65">
        <v>1</v>
      </c>
      <c r="S846" s="65"/>
      <c r="T846" s="400">
        <v>172</v>
      </c>
      <c r="U846" s="65"/>
      <c r="V846" s="65">
        <v>8</v>
      </c>
      <c r="W846" s="65"/>
      <c r="X846" s="110"/>
      <c r="Y846" s="81"/>
      <c r="Z846" s="141"/>
      <c r="AA846" s="371"/>
      <c r="AB846" s="54">
        <f>L846/V846</f>
        <v>80</v>
      </c>
      <c r="AC846" s="99">
        <f>T846/V846</f>
        <v>21.5</v>
      </c>
      <c r="AD846" s="110">
        <f>512*9*V846</f>
        <v>36864</v>
      </c>
      <c r="AG846" s="236"/>
    </row>
    <row r="847" spans="1:33" x14ac:dyDescent="0.2">
      <c r="A847" s="401"/>
      <c r="B847" s="48" t="s">
        <v>374</v>
      </c>
      <c r="C847" s="226"/>
      <c r="D847" s="212"/>
      <c r="E847" s="12" t="s">
        <v>373</v>
      </c>
      <c r="F847" s="13"/>
      <c r="G847" s="49"/>
      <c r="H847" s="14"/>
      <c r="I847" s="161" t="s">
        <v>524</v>
      </c>
      <c r="J847" s="136"/>
      <c r="K847" s="16"/>
      <c r="L847" s="244" t="s">
        <v>305</v>
      </c>
      <c r="M847" s="60"/>
      <c r="N847" s="60"/>
      <c r="O847" s="61"/>
      <c r="P847" s="61"/>
      <c r="Q847" s="61"/>
      <c r="R847" s="61"/>
      <c r="S847" s="61"/>
      <c r="T847" s="61"/>
      <c r="U847" s="61"/>
      <c r="V847" s="62" t="s">
        <v>375</v>
      </c>
      <c r="W847" s="61"/>
      <c r="X847" s="109"/>
      <c r="Y847" s="80"/>
      <c r="Z847" s="164"/>
      <c r="AA847" s="373"/>
      <c r="AB847" s="92">
        <f>AVERAGE(AB848:AB853)</f>
        <v>162.18181818181816</v>
      </c>
      <c r="AC847" s="98">
        <f>AVERAGE(AC848:AC853)</f>
        <v>24.507575757575754</v>
      </c>
      <c r="AD847" s="109"/>
      <c r="AG847" s="236"/>
    </row>
    <row r="848" spans="1:33" x14ac:dyDescent="0.2">
      <c r="A848" s="401"/>
      <c r="B848" s="17"/>
      <c r="C848" s="227"/>
      <c r="D848" s="213"/>
      <c r="E848" s="17" t="s">
        <v>376</v>
      </c>
      <c r="F848" s="18"/>
      <c r="G848" s="19"/>
      <c r="H848" s="124">
        <v>8</v>
      </c>
      <c r="I848" s="162">
        <v>172</v>
      </c>
      <c r="J848" s="138"/>
      <c r="K848" s="20"/>
      <c r="L848" s="245">
        <v>512</v>
      </c>
      <c r="M848" s="64"/>
      <c r="N848" s="64"/>
      <c r="O848" s="65"/>
      <c r="P848" s="65"/>
      <c r="Q848" s="65"/>
      <c r="R848" s="65"/>
      <c r="S848" s="65"/>
      <c r="T848" s="58">
        <v>172</v>
      </c>
      <c r="U848" s="65"/>
      <c r="V848" s="65">
        <v>8</v>
      </c>
      <c r="W848" s="65"/>
      <c r="X848" s="110"/>
      <c r="Y848" s="81"/>
      <c r="Z848" s="141"/>
      <c r="AA848" s="371"/>
      <c r="AB848" s="54">
        <f t="shared" ref="AB848:AB853" si="362">L848/V848</f>
        <v>64</v>
      </c>
      <c r="AC848" s="99">
        <f t="shared" ref="AC848:AC853" si="363">T848/V848</f>
        <v>21.5</v>
      </c>
      <c r="AD848" s="110">
        <f t="shared" ref="AD848:AD853" si="364">512*9*V848</f>
        <v>36864</v>
      </c>
      <c r="AG848" s="236"/>
    </row>
    <row r="849" spans="1:33" x14ac:dyDescent="0.2">
      <c r="A849" s="401"/>
      <c r="B849" s="17"/>
      <c r="C849" s="227"/>
      <c r="D849" s="213"/>
      <c r="E849" s="17" t="s">
        <v>377</v>
      </c>
      <c r="F849" s="18"/>
      <c r="G849" s="19"/>
      <c r="H849" s="124">
        <v>8</v>
      </c>
      <c r="I849" s="162">
        <v>188</v>
      </c>
      <c r="J849" s="138"/>
      <c r="K849" s="20"/>
      <c r="L849" s="245">
        <v>640</v>
      </c>
      <c r="M849" s="64"/>
      <c r="N849" s="64"/>
      <c r="O849" s="65"/>
      <c r="P849" s="65"/>
      <c r="Q849" s="65"/>
      <c r="R849" s="65"/>
      <c r="S849" s="65"/>
      <c r="T849" s="65">
        <v>188</v>
      </c>
      <c r="U849" s="65"/>
      <c r="V849" s="65">
        <v>8</v>
      </c>
      <c r="W849" s="65"/>
      <c r="X849" s="110"/>
      <c r="Y849" s="81"/>
      <c r="Z849" s="141"/>
      <c r="AA849" s="371"/>
      <c r="AB849" s="54">
        <f t="shared" si="362"/>
        <v>80</v>
      </c>
      <c r="AC849" s="99">
        <f t="shared" si="363"/>
        <v>23.5</v>
      </c>
      <c r="AD849" s="110">
        <f t="shared" si="364"/>
        <v>36864</v>
      </c>
      <c r="AG849" s="236"/>
    </row>
    <row r="850" spans="1:33" x14ac:dyDescent="0.2">
      <c r="A850" s="401"/>
      <c r="B850" s="17"/>
      <c r="C850" s="227"/>
      <c r="D850" s="213"/>
      <c r="E850" s="17" t="s">
        <v>378</v>
      </c>
      <c r="F850" s="18"/>
      <c r="G850" s="19"/>
      <c r="H850" s="124">
        <v>8</v>
      </c>
      <c r="I850" s="162">
        <v>292</v>
      </c>
      <c r="J850" s="138"/>
      <c r="K850" s="20"/>
      <c r="L850" s="245">
        <v>1536</v>
      </c>
      <c r="M850" s="64"/>
      <c r="N850" s="64"/>
      <c r="O850" s="65"/>
      <c r="P850" s="65"/>
      <c r="Q850" s="65"/>
      <c r="R850" s="65"/>
      <c r="S850" s="65"/>
      <c r="T850" s="65">
        <v>292</v>
      </c>
      <c r="U850" s="65"/>
      <c r="V850" s="65">
        <v>12</v>
      </c>
      <c r="W850" s="65"/>
      <c r="X850" s="110"/>
      <c r="Y850" s="81"/>
      <c r="Z850" s="141"/>
      <c r="AA850" s="371"/>
      <c r="AB850" s="54">
        <f t="shared" si="362"/>
        <v>128</v>
      </c>
      <c r="AC850" s="99">
        <f t="shared" si="363"/>
        <v>24.333333333333332</v>
      </c>
      <c r="AD850" s="110">
        <f t="shared" si="364"/>
        <v>55296</v>
      </c>
      <c r="AG850" s="236"/>
    </row>
    <row r="851" spans="1:33" x14ac:dyDescent="0.2">
      <c r="A851" s="401"/>
      <c r="B851" s="17"/>
      <c r="C851" s="227"/>
      <c r="D851" s="213"/>
      <c r="E851" s="17" t="s">
        <v>379</v>
      </c>
      <c r="F851" s="18"/>
      <c r="G851" s="19"/>
      <c r="H851" s="124">
        <v>8</v>
      </c>
      <c r="I851" s="162">
        <v>302</v>
      </c>
      <c r="J851" s="138"/>
      <c r="K851" s="20"/>
      <c r="L851" s="245">
        <v>1920</v>
      </c>
      <c r="M851" s="64"/>
      <c r="N851" s="64"/>
      <c r="O851" s="65"/>
      <c r="P851" s="65"/>
      <c r="Q851" s="65"/>
      <c r="R851" s="65"/>
      <c r="S851" s="65"/>
      <c r="T851" s="65">
        <v>302</v>
      </c>
      <c r="U851" s="65"/>
      <c r="V851" s="65">
        <v>12</v>
      </c>
      <c r="W851" s="65"/>
      <c r="X851" s="110"/>
      <c r="Y851" s="81"/>
      <c r="Z851" s="141"/>
      <c r="AA851" s="371"/>
      <c r="AB851" s="54">
        <f t="shared" si="362"/>
        <v>160</v>
      </c>
      <c r="AC851" s="99">
        <f t="shared" si="363"/>
        <v>25.166666666666668</v>
      </c>
      <c r="AD851" s="110">
        <f t="shared" si="364"/>
        <v>55296</v>
      </c>
      <c r="AG851" s="236"/>
    </row>
    <row r="852" spans="1:33" x14ac:dyDescent="0.2">
      <c r="A852" s="401"/>
      <c r="B852" s="17"/>
      <c r="C852" s="227"/>
      <c r="D852" s="213"/>
      <c r="E852" s="17" t="s">
        <v>380</v>
      </c>
      <c r="F852" s="18"/>
      <c r="G852" s="19"/>
      <c r="H852" s="124">
        <v>17</v>
      </c>
      <c r="I852" s="162">
        <v>508</v>
      </c>
      <c r="J852" s="138"/>
      <c r="K852" s="20"/>
      <c r="L852" s="245">
        <v>4224</v>
      </c>
      <c r="M852" s="64"/>
      <c r="N852" s="64"/>
      <c r="O852" s="65"/>
      <c r="P852" s="65"/>
      <c r="Q852" s="65"/>
      <c r="R852" s="65"/>
      <c r="S852" s="65"/>
      <c r="T852" s="65">
        <v>504</v>
      </c>
      <c r="U852" s="65"/>
      <c r="V852" s="65">
        <v>22</v>
      </c>
      <c r="W852" s="65"/>
      <c r="X852" s="110"/>
      <c r="Y852" s="81"/>
      <c r="Z852" s="141"/>
      <c r="AA852" s="371"/>
      <c r="AB852" s="54">
        <f t="shared" si="362"/>
        <v>192</v>
      </c>
      <c r="AC852" s="99">
        <f t="shared" si="363"/>
        <v>22.90909090909091</v>
      </c>
      <c r="AD852" s="110">
        <f t="shared" si="364"/>
        <v>101376</v>
      </c>
      <c r="AG852" s="236"/>
    </row>
    <row r="853" spans="1:33" ht="13.5" thickBot="1" x14ac:dyDescent="0.25">
      <c r="A853" s="401"/>
      <c r="B853" s="21"/>
      <c r="C853" s="228"/>
      <c r="D853" s="214"/>
      <c r="E853" s="17" t="s">
        <v>381</v>
      </c>
      <c r="F853" s="18"/>
      <c r="G853" s="19"/>
      <c r="H853" s="124">
        <v>17</v>
      </c>
      <c r="I853" s="162">
        <v>652</v>
      </c>
      <c r="J853" s="138"/>
      <c r="K853" s="20"/>
      <c r="L853" s="245">
        <v>7680</v>
      </c>
      <c r="M853" s="64"/>
      <c r="N853" s="64"/>
      <c r="O853" s="65"/>
      <c r="P853" s="65"/>
      <c r="Q853" s="65"/>
      <c r="R853" s="65"/>
      <c r="S853" s="65"/>
      <c r="T853" s="65">
        <v>652</v>
      </c>
      <c r="U853" s="65"/>
      <c r="V853" s="65">
        <v>22</v>
      </c>
      <c r="W853" s="65"/>
      <c r="X853" s="110"/>
      <c r="Y853" s="81"/>
      <c r="Z853" s="141"/>
      <c r="AA853" s="371"/>
      <c r="AB853" s="54">
        <f t="shared" si="362"/>
        <v>349.09090909090907</v>
      </c>
      <c r="AC853" s="99">
        <f t="shared" si="363"/>
        <v>29.636363636363637</v>
      </c>
      <c r="AD853" s="110">
        <f t="shared" si="364"/>
        <v>101376</v>
      </c>
      <c r="AG853" s="236"/>
    </row>
    <row r="854" spans="1:33" s="751" customFormat="1" x14ac:dyDescent="0.2">
      <c r="A854" s="873"/>
      <c r="B854" s="842" t="s">
        <v>374</v>
      </c>
      <c r="C854" s="771"/>
      <c r="D854" s="772"/>
      <c r="E854" s="773" t="s">
        <v>382</v>
      </c>
      <c r="F854" s="874"/>
      <c r="G854" s="775"/>
      <c r="H854" s="875"/>
      <c r="I854" s="876"/>
      <c r="J854" s="845"/>
      <c r="K854" s="777"/>
      <c r="L854" s="778" t="s">
        <v>305</v>
      </c>
      <c r="M854" s="779"/>
      <c r="N854" s="779"/>
      <c r="O854" s="780"/>
      <c r="P854" s="780"/>
      <c r="Q854" s="780" t="s">
        <v>468</v>
      </c>
      <c r="R854" s="780"/>
      <c r="S854" s="780"/>
      <c r="T854" s="780"/>
      <c r="U854" s="780"/>
      <c r="V854" s="781" t="s">
        <v>306</v>
      </c>
      <c r="W854" s="780"/>
      <c r="X854" s="782"/>
      <c r="Y854" s="783"/>
      <c r="Z854" s="784"/>
      <c r="AA854" s="849"/>
      <c r="AB854" s="786">
        <f>AVERAGE(AB855:AB859)</f>
        <v>49.6</v>
      </c>
      <c r="AC854" s="787">
        <f>AVERAGE(AC855:AC859)</f>
        <v>17.945833333333333</v>
      </c>
      <c r="AD854" s="782"/>
      <c r="AG854" s="796"/>
    </row>
    <row r="855" spans="1:33" s="751" customFormat="1" x14ac:dyDescent="0.2">
      <c r="A855" s="873"/>
      <c r="B855" s="573"/>
      <c r="C855" s="574"/>
      <c r="D855" s="554"/>
      <c r="E855" s="573" t="s">
        <v>383</v>
      </c>
      <c r="F855" s="790"/>
      <c r="G855" s="791"/>
      <c r="H855" s="792"/>
      <c r="I855" s="877">
        <v>92</v>
      </c>
      <c r="J855" s="597"/>
      <c r="K855" s="793"/>
      <c r="L855" s="814">
        <v>128</v>
      </c>
      <c r="M855" s="794"/>
      <c r="N855" s="794"/>
      <c r="O855" s="564"/>
      <c r="P855" s="564"/>
      <c r="Q855" s="564">
        <v>0</v>
      </c>
      <c r="R855" s="564">
        <v>0</v>
      </c>
      <c r="S855" s="564"/>
      <c r="T855" s="878">
        <v>92</v>
      </c>
      <c r="U855" s="564"/>
      <c r="V855" s="564">
        <v>4</v>
      </c>
      <c r="W855" s="564"/>
      <c r="X855" s="566"/>
      <c r="Y855" s="795"/>
      <c r="Z855" s="568"/>
      <c r="AA855" s="601"/>
      <c r="AB855" s="602">
        <f>L855/V855</f>
        <v>32</v>
      </c>
      <c r="AC855" s="571">
        <f>T855/V855</f>
        <v>23</v>
      </c>
      <c r="AD855" s="566">
        <f>256*9*V855</f>
        <v>9216</v>
      </c>
      <c r="AG855" s="796"/>
    </row>
    <row r="856" spans="1:33" s="751" customFormat="1" x14ac:dyDescent="0.2">
      <c r="A856" s="873"/>
      <c r="B856" s="573"/>
      <c r="C856" s="574"/>
      <c r="D856" s="554"/>
      <c r="E856" s="573" t="s">
        <v>384</v>
      </c>
      <c r="F856" s="790"/>
      <c r="G856" s="791"/>
      <c r="H856" s="792">
        <v>6</v>
      </c>
      <c r="I856" s="877">
        <v>124</v>
      </c>
      <c r="J856" s="597"/>
      <c r="K856" s="793"/>
      <c r="L856" s="814">
        <v>256</v>
      </c>
      <c r="M856" s="794"/>
      <c r="N856" s="794"/>
      <c r="O856" s="564"/>
      <c r="P856" s="564"/>
      <c r="Q856" s="564">
        <v>0</v>
      </c>
      <c r="R856" s="564">
        <v>0</v>
      </c>
      <c r="S856" s="564"/>
      <c r="T856" s="564">
        <v>124</v>
      </c>
      <c r="U856" s="564"/>
      <c r="V856" s="564">
        <v>4</v>
      </c>
      <c r="W856" s="564"/>
      <c r="X856" s="566"/>
      <c r="Y856" s="795"/>
      <c r="Z856" s="568"/>
      <c r="AA856" s="601"/>
      <c r="AB856" s="602">
        <f>L856/V856</f>
        <v>64</v>
      </c>
      <c r="AC856" s="571">
        <f>T856/V856</f>
        <v>31</v>
      </c>
      <c r="AD856" s="566">
        <f>256*9*V856</f>
        <v>9216</v>
      </c>
      <c r="AG856" s="796"/>
    </row>
    <row r="857" spans="1:33" s="751" customFormat="1" x14ac:dyDescent="0.2">
      <c r="A857" s="873"/>
      <c r="B857" s="573"/>
      <c r="C857" s="574"/>
      <c r="D857" s="554"/>
      <c r="E857" s="573" t="s">
        <v>385</v>
      </c>
      <c r="F857" s="790"/>
      <c r="G857" s="791"/>
      <c r="H857" s="792">
        <v>8</v>
      </c>
      <c r="I857" s="877">
        <v>143</v>
      </c>
      <c r="J857" s="597"/>
      <c r="K857" s="793"/>
      <c r="L857" s="814">
        <v>640</v>
      </c>
      <c r="M857" s="794"/>
      <c r="N857" s="794"/>
      <c r="O857" s="564"/>
      <c r="P857" s="564"/>
      <c r="Q857" s="564">
        <v>0</v>
      </c>
      <c r="R857" s="564">
        <v>0</v>
      </c>
      <c r="S857" s="564"/>
      <c r="T857" s="564">
        <v>165</v>
      </c>
      <c r="U857" s="564"/>
      <c r="V857" s="564">
        <v>16</v>
      </c>
      <c r="W857" s="564"/>
      <c r="X857" s="566"/>
      <c r="Y857" s="795"/>
      <c r="Z857" s="568"/>
      <c r="AA857" s="601"/>
      <c r="AB857" s="602">
        <f>L857/V857</f>
        <v>40</v>
      </c>
      <c r="AC857" s="571">
        <f>T857/V857</f>
        <v>10.3125</v>
      </c>
      <c r="AD857" s="566">
        <f>256*9*V857</f>
        <v>36864</v>
      </c>
      <c r="AG857" s="796"/>
    </row>
    <row r="858" spans="1:33" s="751" customFormat="1" x14ac:dyDescent="0.2">
      <c r="A858" s="873"/>
      <c r="B858" s="573"/>
      <c r="C858" s="574"/>
      <c r="D858" s="554"/>
      <c r="E858" s="573" t="s">
        <v>386</v>
      </c>
      <c r="F858" s="790"/>
      <c r="G858" s="791"/>
      <c r="H858" s="792"/>
      <c r="I858" s="877">
        <v>250</v>
      </c>
      <c r="J858" s="597"/>
      <c r="K858" s="793"/>
      <c r="L858" s="814">
        <v>960</v>
      </c>
      <c r="M858" s="794"/>
      <c r="N858" s="794"/>
      <c r="O858" s="564"/>
      <c r="P858" s="564"/>
      <c r="Q858" s="564">
        <v>10</v>
      </c>
      <c r="R858" s="564">
        <v>4</v>
      </c>
      <c r="S858" s="564"/>
      <c r="T858" s="564">
        <v>250</v>
      </c>
      <c r="U858" s="564"/>
      <c r="V858" s="564">
        <v>20</v>
      </c>
      <c r="W858" s="564"/>
      <c r="X858" s="566"/>
      <c r="Y858" s="795"/>
      <c r="Z858" s="568"/>
      <c r="AA858" s="601"/>
      <c r="AB858" s="602">
        <f>L858/V858</f>
        <v>48</v>
      </c>
      <c r="AC858" s="571">
        <f>T858/V858</f>
        <v>12.5</v>
      </c>
      <c r="AD858" s="566">
        <f>256*9*V858</f>
        <v>46080</v>
      </c>
      <c r="AG858" s="796"/>
    </row>
    <row r="859" spans="1:33" s="751" customFormat="1" ht="13.5" thickBot="1" x14ac:dyDescent="0.25">
      <c r="A859" s="873"/>
      <c r="B859" s="555"/>
      <c r="C859" s="819"/>
      <c r="D859" s="757"/>
      <c r="E859" s="573" t="s">
        <v>387</v>
      </c>
      <c r="F859" s="790"/>
      <c r="G859" s="791"/>
      <c r="H859" s="792"/>
      <c r="I859" s="877">
        <v>310</v>
      </c>
      <c r="J859" s="597"/>
      <c r="K859" s="793"/>
      <c r="L859" s="814">
        <v>1536</v>
      </c>
      <c r="M859" s="794"/>
      <c r="N859" s="794"/>
      <c r="O859" s="564"/>
      <c r="P859" s="564"/>
      <c r="Q859" s="564">
        <v>12</v>
      </c>
      <c r="R859" s="564">
        <v>4</v>
      </c>
      <c r="S859" s="564"/>
      <c r="T859" s="564">
        <v>310</v>
      </c>
      <c r="U859" s="564"/>
      <c r="V859" s="564">
        <v>24</v>
      </c>
      <c r="W859" s="564"/>
      <c r="X859" s="566"/>
      <c r="Y859" s="795"/>
      <c r="Z859" s="568"/>
      <c r="AA859" s="601"/>
      <c r="AB859" s="602">
        <f>L859/V859</f>
        <v>64</v>
      </c>
      <c r="AC859" s="571">
        <f>T859/V859</f>
        <v>12.916666666666666</v>
      </c>
      <c r="AD859" s="566">
        <f>256*9*V859</f>
        <v>55296</v>
      </c>
      <c r="AG859" s="796"/>
    </row>
    <row r="860" spans="1:33" s="751" customFormat="1" x14ac:dyDescent="0.2">
      <c r="A860" s="873"/>
      <c r="B860" s="842" t="s">
        <v>374</v>
      </c>
      <c r="C860" s="771"/>
      <c r="D860" s="772"/>
      <c r="E860" s="773" t="s">
        <v>388</v>
      </c>
      <c r="F860" s="874"/>
      <c r="G860" s="775"/>
      <c r="H860" s="875"/>
      <c r="I860" s="876"/>
      <c r="J860" s="845"/>
      <c r="K860" s="777"/>
      <c r="L860" s="778" t="s">
        <v>305</v>
      </c>
      <c r="M860" s="779"/>
      <c r="N860" s="779"/>
      <c r="O860" s="780"/>
      <c r="P860" s="780"/>
      <c r="Q860" s="780" t="s">
        <v>389</v>
      </c>
      <c r="R860" s="780"/>
      <c r="S860" s="780"/>
      <c r="T860" s="780"/>
      <c r="U860" s="780"/>
      <c r="V860" s="781" t="s">
        <v>306</v>
      </c>
      <c r="W860" s="780"/>
      <c r="X860" s="782"/>
      <c r="Y860" s="783"/>
      <c r="Z860" s="784"/>
      <c r="AA860" s="849"/>
      <c r="AB860" s="786">
        <f>AVERAGE(AB861:AB868)</f>
        <v>80</v>
      </c>
      <c r="AC860" s="787">
        <f>AVERAGE(AC861:AC868)</f>
        <v>11.843749999999998</v>
      </c>
      <c r="AD860" s="782"/>
      <c r="AG860" s="796"/>
    </row>
    <row r="861" spans="1:33" s="751" customFormat="1" x14ac:dyDescent="0.2">
      <c r="A861" s="873"/>
      <c r="B861" s="573"/>
      <c r="C861" s="574"/>
      <c r="D861" s="554"/>
      <c r="E861" s="573" t="s">
        <v>390</v>
      </c>
      <c r="F861" s="790"/>
      <c r="G861" s="791"/>
      <c r="H861" s="792"/>
      <c r="I861" s="877"/>
      <c r="J861" s="597"/>
      <c r="K861" s="793"/>
      <c r="L861" s="814">
        <v>960</v>
      </c>
      <c r="M861" s="794"/>
      <c r="N861" s="794"/>
      <c r="O861" s="564"/>
      <c r="P861" s="564"/>
      <c r="Q861" s="564"/>
      <c r="R861" s="564"/>
      <c r="S861" s="564"/>
      <c r="T861" s="564">
        <v>250</v>
      </c>
      <c r="U861" s="564"/>
      <c r="V861" s="564">
        <v>20</v>
      </c>
      <c r="W861" s="564"/>
      <c r="X861" s="566"/>
      <c r="Y861" s="795"/>
      <c r="Z861" s="568"/>
      <c r="AA861" s="601"/>
      <c r="AB861" s="602">
        <f t="shared" ref="AB861:AB868" si="365">L861/V861</f>
        <v>48</v>
      </c>
      <c r="AC861" s="571">
        <f t="shared" ref="AC861:AC868" si="366">T861/V861</f>
        <v>12.5</v>
      </c>
      <c r="AD861" s="566">
        <f t="shared" ref="AD861:AD868" si="367">256*9*V861</f>
        <v>46080</v>
      </c>
      <c r="AG861" s="796"/>
    </row>
    <row r="862" spans="1:33" s="751" customFormat="1" x14ac:dyDescent="0.2">
      <c r="A862" s="873"/>
      <c r="B862" s="573"/>
      <c r="C862" s="574"/>
      <c r="D862" s="554"/>
      <c r="E862" s="573" t="s">
        <v>391</v>
      </c>
      <c r="F862" s="790"/>
      <c r="G862" s="791"/>
      <c r="H862" s="792"/>
      <c r="I862" s="877">
        <v>250</v>
      </c>
      <c r="J862" s="597"/>
      <c r="K862" s="793"/>
      <c r="L862" s="814">
        <v>960</v>
      </c>
      <c r="M862" s="794"/>
      <c r="N862" s="794"/>
      <c r="O862" s="564"/>
      <c r="P862" s="564"/>
      <c r="Q862" s="564">
        <v>10</v>
      </c>
      <c r="R862" s="564"/>
      <c r="S862" s="564"/>
      <c r="T862" s="564">
        <v>250</v>
      </c>
      <c r="U862" s="564"/>
      <c r="V862" s="564">
        <v>20</v>
      </c>
      <c r="W862" s="564"/>
      <c r="X862" s="566"/>
      <c r="Y862" s="795"/>
      <c r="Z862" s="568"/>
      <c r="AA862" s="601"/>
      <c r="AB862" s="602">
        <f t="shared" si="365"/>
        <v>48</v>
      </c>
      <c r="AC862" s="571">
        <f t="shared" si="366"/>
        <v>12.5</v>
      </c>
      <c r="AD862" s="566">
        <f t="shared" si="367"/>
        <v>46080</v>
      </c>
      <c r="AG862" s="796"/>
    </row>
    <row r="863" spans="1:33" s="751" customFormat="1" x14ac:dyDescent="0.2">
      <c r="A863" s="873"/>
      <c r="B863" s="573"/>
      <c r="C863" s="574"/>
      <c r="D863" s="554"/>
      <c r="E863" s="573" t="s">
        <v>392</v>
      </c>
      <c r="F863" s="790"/>
      <c r="G863" s="791"/>
      <c r="H863" s="792"/>
      <c r="I863" s="877"/>
      <c r="J863" s="597"/>
      <c r="K863" s="793"/>
      <c r="L863" s="814">
        <v>1536</v>
      </c>
      <c r="M863" s="794"/>
      <c r="N863" s="794"/>
      <c r="O863" s="564"/>
      <c r="P863" s="564"/>
      <c r="Q863" s="564"/>
      <c r="R863" s="564"/>
      <c r="S863" s="564"/>
      <c r="T863" s="564">
        <v>310</v>
      </c>
      <c r="U863" s="564"/>
      <c r="V863" s="564">
        <v>24</v>
      </c>
      <c r="W863" s="564"/>
      <c r="X863" s="566"/>
      <c r="Y863" s="795"/>
      <c r="Z863" s="568"/>
      <c r="AA863" s="601"/>
      <c r="AB863" s="602">
        <f t="shared" si="365"/>
        <v>64</v>
      </c>
      <c r="AC863" s="571">
        <f t="shared" si="366"/>
        <v>12.916666666666666</v>
      </c>
      <c r="AD863" s="566">
        <f t="shared" si="367"/>
        <v>55296</v>
      </c>
      <c r="AG863" s="796"/>
    </row>
    <row r="864" spans="1:33" s="751" customFormat="1" x14ac:dyDescent="0.2">
      <c r="A864" s="873"/>
      <c r="B864" s="573"/>
      <c r="C864" s="574"/>
      <c r="D864" s="554"/>
      <c r="E864" s="573" t="s">
        <v>393</v>
      </c>
      <c r="F864" s="790"/>
      <c r="G864" s="791"/>
      <c r="H864" s="792"/>
      <c r="I864" s="877">
        <v>310</v>
      </c>
      <c r="J864" s="597"/>
      <c r="K864" s="793"/>
      <c r="L864" s="814">
        <v>1536</v>
      </c>
      <c r="M864" s="794"/>
      <c r="N864" s="794"/>
      <c r="O864" s="564"/>
      <c r="P864" s="564"/>
      <c r="Q864" s="564">
        <v>12</v>
      </c>
      <c r="R864" s="564"/>
      <c r="S864" s="564"/>
      <c r="T864" s="564">
        <v>310</v>
      </c>
      <c r="U864" s="564"/>
      <c r="V864" s="564">
        <v>24</v>
      </c>
      <c r="W864" s="564"/>
      <c r="X864" s="566"/>
      <c r="Y864" s="795"/>
      <c r="Z864" s="568"/>
      <c r="AA864" s="601"/>
      <c r="AB864" s="602">
        <f t="shared" si="365"/>
        <v>64</v>
      </c>
      <c r="AC864" s="571">
        <f t="shared" si="366"/>
        <v>12.916666666666666</v>
      </c>
      <c r="AD864" s="566">
        <f t="shared" si="367"/>
        <v>55296</v>
      </c>
      <c r="AG864" s="796"/>
    </row>
    <row r="865" spans="1:33" s="751" customFormat="1" x14ac:dyDescent="0.2">
      <c r="A865" s="873"/>
      <c r="B865" s="573"/>
      <c r="C865" s="574"/>
      <c r="D865" s="554"/>
      <c r="E865" s="573" t="s">
        <v>394</v>
      </c>
      <c r="F865" s="576"/>
      <c r="G865" s="879"/>
      <c r="H865" s="880"/>
      <c r="I865" s="881"/>
      <c r="J865" s="580"/>
      <c r="K865" s="882"/>
      <c r="L865" s="869">
        <v>3072</v>
      </c>
      <c r="M865" s="585"/>
      <c r="N865" s="585"/>
      <c r="O865" s="586"/>
      <c r="P865" s="586"/>
      <c r="Q865" s="586"/>
      <c r="R865" s="586"/>
      <c r="S865" s="586"/>
      <c r="T865" s="586">
        <v>372</v>
      </c>
      <c r="U865" s="586"/>
      <c r="V865" s="586">
        <v>32</v>
      </c>
      <c r="W865" s="586"/>
      <c r="X865" s="883"/>
      <c r="Y865" s="884"/>
      <c r="Z865" s="830"/>
      <c r="AA865" s="831"/>
      <c r="AB865" s="602">
        <f t="shared" si="365"/>
        <v>96</v>
      </c>
      <c r="AC865" s="571">
        <f t="shared" si="366"/>
        <v>11.625</v>
      </c>
      <c r="AD865" s="566">
        <f t="shared" si="367"/>
        <v>73728</v>
      </c>
      <c r="AG865" s="796"/>
    </row>
    <row r="866" spans="1:33" s="751" customFormat="1" x14ac:dyDescent="0.2">
      <c r="A866" s="873"/>
      <c r="B866" s="573"/>
      <c r="C866" s="574"/>
      <c r="D866" s="554"/>
      <c r="E866" s="552" t="s">
        <v>395</v>
      </c>
      <c r="F866" s="576"/>
      <c r="G866" s="879"/>
      <c r="H866" s="880"/>
      <c r="I866" s="881">
        <v>347</v>
      </c>
      <c r="J866" s="580"/>
      <c r="K866" s="882"/>
      <c r="L866" s="869">
        <v>3072</v>
      </c>
      <c r="M866" s="585"/>
      <c r="N866" s="585"/>
      <c r="O866" s="586"/>
      <c r="P866" s="586"/>
      <c r="Q866" s="586">
        <v>16</v>
      </c>
      <c r="R866" s="586"/>
      <c r="S866" s="586"/>
      <c r="T866" s="586">
        <v>372</v>
      </c>
      <c r="U866" s="586"/>
      <c r="V866" s="586">
        <v>32</v>
      </c>
      <c r="W866" s="586"/>
      <c r="X866" s="883"/>
      <c r="Y866" s="884"/>
      <c r="Z866" s="830"/>
      <c r="AA866" s="831"/>
      <c r="AB866" s="602">
        <f t="shared" si="365"/>
        <v>96</v>
      </c>
      <c r="AC866" s="571">
        <f t="shared" si="366"/>
        <v>11.625</v>
      </c>
      <c r="AD866" s="566">
        <f t="shared" si="367"/>
        <v>73728</v>
      </c>
      <c r="AG866" s="796"/>
    </row>
    <row r="867" spans="1:33" s="751" customFormat="1" x14ac:dyDescent="0.2">
      <c r="A867" s="873"/>
      <c r="B867" s="573"/>
      <c r="C867" s="574"/>
      <c r="D867" s="554"/>
      <c r="E867" s="573" t="s">
        <v>396</v>
      </c>
      <c r="F867" s="576"/>
      <c r="G867" s="879"/>
      <c r="H867" s="880"/>
      <c r="I867" s="881"/>
      <c r="J867" s="580"/>
      <c r="K867" s="882"/>
      <c r="L867" s="869">
        <v>4032</v>
      </c>
      <c r="M867" s="585"/>
      <c r="N867" s="585"/>
      <c r="O867" s="586"/>
      <c r="P867" s="586"/>
      <c r="Q867" s="586"/>
      <c r="R867" s="586"/>
      <c r="S867" s="586"/>
      <c r="T867" s="586">
        <v>372</v>
      </c>
      <c r="U867" s="586"/>
      <c r="V867" s="586">
        <v>36</v>
      </c>
      <c r="W867" s="586"/>
      <c r="X867" s="883"/>
      <c r="Y867" s="884"/>
      <c r="Z867" s="830"/>
      <c r="AA867" s="831"/>
      <c r="AB867" s="602">
        <f t="shared" si="365"/>
        <v>112</v>
      </c>
      <c r="AC867" s="571">
        <f t="shared" si="366"/>
        <v>10.333333333333334</v>
      </c>
      <c r="AD867" s="566">
        <f t="shared" si="367"/>
        <v>82944</v>
      </c>
      <c r="AG867" s="796"/>
    </row>
    <row r="868" spans="1:33" s="751" customFormat="1" ht="13.5" thickBot="1" x14ac:dyDescent="0.25">
      <c r="A868" s="873"/>
      <c r="B868" s="555"/>
      <c r="C868" s="819"/>
      <c r="D868" s="757"/>
      <c r="E868" s="552" t="s">
        <v>397</v>
      </c>
      <c r="F868" s="576"/>
      <c r="G868" s="879"/>
      <c r="H868" s="880"/>
      <c r="I868" s="881">
        <v>347</v>
      </c>
      <c r="J868" s="580"/>
      <c r="K868" s="882"/>
      <c r="L868" s="869">
        <v>4032</v>
      </c>
      <c r="M868" s="585"/>
      <c r="N868" s="585"/>
      <c r="O868" s="586"/>
      <c r="P868" s="586"/>
      <c r="Q868" s="586">
        <v>18</v>
      </c>
      <c r="R868" s="586"/>
      <c r="S868" s="586"/>
      <c r="T868" s="586">
        <v>372</v>
      </c>
      <c r="U868" s="586"/>
      <c r="V868" s="586">
        <v>36</v>
      </c>
      <c r="W868" s="586"/>
      <c r="X868" s="883"/>
      <c r="Y868" s="884"/>
      <c r="Z868" s="830"/>
      <c r="AA868" s="831"/>
      <c r="AB868" s="602">
        <f t="shared" si="365"/>
        <v>112</v>
      </c>
      <c r="AC868" s="571">
        <f t="shared" si="366"/>
        <v>10.333333333333334</v>
      </c>
      <c r="AD868" s="566">
        <f t="shared" si="367"/>
        <v>82944</v>
      </c>
      <c r="AG868" s="796"/>
    </row>
    <row r="869" spans="1:33" s="751" customFormat="1" x14ac:dyDescent="0.2">
      <c r="A869" s="873"/>
      <c r="B869" s="842" t="s">
        <v>374</v>
      </c>
      <c r="C869" s="771"/>
      <c r="D869" s="772"/>
      <c r="E869" s="773" t="s">
        <v>398</v>
      </c>
      <c r="F869" s="874"/>
      <c r="G869" s="775"/>
      <c r="H869" s="875"/>
      <c r="I869" s="876"/>
      <c r="J869" s="845"/>
      <c r="K869" s="777"/>
      <c r="L869" s="778" t="s">
        <v>305</v>
      </c>
      <c r="M869" s="779"/>
      <c r="N869" s="779"/>
      <c r="O869" s="780"/>
      <c r="P869" s="780"/>
      <c r="Q869" s="780"/>
      <c r="R869" s="780"/>
      <c r="S869" s="780"/>
      <c r="T869" s="780"/>
      <c r="U869" s="780"/>
      <c r="V869" s="781" t="s">
        <v>399</v>
      </c>
      <c r="W869" s="780"/>
      <c r="X869" s="782"/>
      <c r="Y869" s="783"/>
      <c r="Z869" s="784"/>
      <c r="AA869" s="849"/>
      <c r="AB869" s="786">
        <f>AVERAGE(AB871:AB874)</f>
        <v>52</v>
      </c>
      <c r="AC869" s="787">
        <f>AVERAGE(AC871:AC874)</f>
        <v>13.683766233766235</v>
      </c>
      <c r="AD869" s="782"/>
      <c r="AG869" s="796"/>
    </row>
    <row r="870" spans="1:33" s="751" customFormat="1" x14ac:dyDescent="0.2">
      <c r="A870" s="873"/>
      <c r="B870" s="573"/>
      <c r="C870" s="574"/>
      <c r="D870" s="554"/>
      <c r="E870" s="552" t="s">
        <v>400</v>
      </c>
      <c r="F870" s="825"/>
      <c r="G870" s="577"/>
      <c r="H870" s="826"/>
      <c r="I870" s="827">
        <v>82</v>
      </c>
      <c r="J870" s="580"/>
      <c r="K870" s="581"/>
      <c r="L870" s="869">
        <v>160</v>
      </c>
      <c r="M870" s="585"/>
      <c r="N870" s="585"/>
      <c r="O870" s="586"/>
      <c r="P870" s="586"/>
      <c r="Q870" s="586"/>
      <c r="R870" s="586"/>
      <c r="S870" s="586"/>
      <c r="T870" s="586">
        <v>82</v>
      </c>
      <c r="U870" s="586"/>
      <c r="V870" s="587">
        <v>8</v>
      </c>
      <c r="W870" s="586"/>
      <c r="X870" s="588"/>
      <c r="Y870" s="589"/>
      <c r="Z870" s="830"/>
      <c r="AA870" s="831"/>
      <c r="AB870" s="602">
        <f>L870/V870</f>
        <v>20</v>
      </c>
      <c r="AC870" s="571">
        <f>T870/V870</f>
        <v>10.25</v>
      </c>
      <c r="AD870" s="566">
        <f>128*9*V870</f>
        <v>9216</v>
      </c>
      <c r="AG870" s="796"/>
    </row>
    <row r="871" spans="1:33" s="751" customFormat="1" x14ac:dyDescent="0.2">
      <c r="A871" s="873"/>
      <c r="B871" s="573"/>
      <c r="C871" s="574"/>
      <c r="D871" s="554"/>
      <c r="E871" s="573" t="s">
        <v>401</v>
      </c>
      <c r="F871" s="790"/>
      <c r="G871" s="791"/>
      <c r="H871" s="792"/>
      <c r="I871" s="877">
        <v>118</v>
      </c>
      <c r="J871" s="597"/>
      <c r="K871" s="793"/>
      <c r="L871" s="814">
        <v>320</v>
      </c>
      <c r="M871" s="794"/>
      <c r="N871" s="794"/>
      <c r="O871" s="564"/>
      <c r="P871" s="564"/>
      <c r="Q871" s="564"/>
      <c r="R871" s="564"/>
      <c r="S871" s="564"/>
      <c r="T871" s="564">
        <v>118</v>
      </c>
      <c r="U871" s="564"/>
      <c r="V871" s="564">
        <v>10</v>
      </c>
      <c r="W871" s="564"/>
      <c r="X871" s="566"/>
      <c r="Y871" s="795"/>
      <c r="Z871" s="568"/>
      <c r="AA871" s="601"/>
      <c r="AB871" s="602">
        <f>L871/V871</f>
        <v>32</v>
      </c>
      <c r="AC871" s="571">
        <f>T871/V871</f>
        <v>11.8</v>
      </c>
      <c r="AD871" s="566">
        <f>128*9*V871</f>
        <v>11520</v>
      </c>
      <c r="AG871" s="796"/>
    </row>
    <row r="872" spans="1:33" s="751" customFormat="1" x14ac:dyDescent="0.2">
      <c r="A872" s="873"/>
      <c r="B872" s="573"/>
      <c r="C872" s="574"/>
      <c r="D872" s="554"/>
      <c r="E872" s="573" t="s">
        <v>402</v>
      </c>
      <c r="F872" s="790"/>
      <c r="G872" s="791"/>
      <c r="H872" s="792"/>
      <c r="I872" s="877">
        <v>204</v>
      </c>
      <c r="J872" s="597"/>
      <c r="K872" s="793"/>
      <c r="L872" s="814">
        <v>672</v>
      </c>
      <c r="M872" s="794"/>
      <c r="N872" s="794"/>
      <c r="O872" s="564"/>
      <c r="P872" s="564"/>
      <c r="Q872" s="564"/>
      <c r="R872" s="564"/>
      <c r="S872" s="564"/>
      <c r="T872" s="564">
        <v>204</v>
      </c>
      <c r="U872" s="564"/>
      <c r="V872" s="564">
        <v>14</v>
      </c>
      <c r="W872" s="564"/>
      <c r="X872" s="566"/>
      <c r="Y872" s="795"/>
      <c r="Z872" s="568"/>
      <c r="AA872" s="601"/>
      <c r="AB872" s="602">
        <f>L872/V872</f>
        <v>48</v>
      </c>
      <c r="AC872" s="571">
        <f>T872/V872</f>
        <v>14.571428571428571</v>
      </c>
      <c r="AD872" s="566">
        <f>128*9*V872</f>
        <v>16128</v>
      </c>
      <c r="AG872" s="796"/>
    </row>
    <row r="873" spans="1:33" s="751" customFormat="1" x14ac:dyDescent="0.2">
      <c r="A873" s="873"/>
      <c r="B873" s="573"/>
      <c r="C873" s="574"/>
      <c r="D873" s="554"/>
      <c r="E873" s="573" t="s">
        <v>403</v>
      </c>
      <c r="F873" s="790"/>
      <c r="G873" s="791"/>
      <c r="H873" s="792"/>
      <c r="I873" s="877">
        <v>252</v>
      </c>
      <c r="J873" s="597"/>
      <c r="K873" s="793"/>
      <c r="L873" s="814">
        <v>1008</v>
      </c>
      <c r="M873" s="794"/>
      <c r="N873" s="794"/>
      <c r="O873" s="564"/>
      <c r="P873" s="564"/>
      <c r="Q873" s="564"/>
      <c r="R873" s="564"/>
      <c r="S873" s="564"/>
      <c r="T873" s="564">
        <v>252</v>
      </c>
      <c r="U873" s="564"/>
      <c r="V873" s="564">
        <v>18</v>
      </c>
      <c r="W873" s="564"/>
      <c r="X873" s="566"/>
      <c r="Y873" s="795"/>
      <c r="Z873" s="568"/>
      <c r="AA873" s="601"/>
      <c r="AB873" s="602">
        <f>L873/V873</f>
        <v>56</v>
      </c>
      <c r="AC873" s="571">
        <f>T873/V873</f>
        <v>14</v>
      </c>
      <c r="AD873" s="566">
        <f>128*9*V873</f>
        <v>20736</v>
      </c>
      <c r="AG873" s="796"/>
    </row>
    <row r="874" spans="1:33" s="751" customFormat="1" ht="13.5" thickBot="1" x14ac:dyDescent="0.25">
      <c r="A874" s="873"/>
      <c r="B874" s="555"/>
      <c r="C874" s="819"/>
      <c r="D874" s="757"/>
      <c r="E874" s="573" t="s">
        <v>404</v>
      </c>
      <c r="F874" s="790"/>
      <c r="G874" s="791"/>
      <c r="H874" s="792"/>
      <c r="I874" s="877">
        <v>316</v>
      </c>
      <c r="J874" s="597"/>
      <c r="K874" s="793"/>
      <c r="L874" s="814">
        <v>1584</v>
      </c>
      <c r="M874" s="794"/>
      <c r="N874" s="794"/>
      <c r="O874" s="564"/>
      <c r="P874" s="564"/>
      <c r="Q874" s="564"/>
      <c r="R874" s="564"/>
      <c r="S874" s="564"/>
      <c r="T874" s="564">
        <v>316</v>
      </c>
      <c r="U874" s="564"/>
      <c r="V874" s="564">
        <v>22</v>
      </c>
      <c r="W874" s="564"/>
      <c r="X874" s="566"/>
      <c r="Y874" s="795"/>
      <c r="Z874" s="568"/>
      <c r="AA874" s="601"/>
      <c r="AB874" s="602">
        <f>L874/V874</f>
        <v>72</v>
      </c>
      <c r="AC874" s="571">
        <f>T874/V874</f>
        <v>14.363636363636363</v>
      </c>
      <c r="AD874" s="566">
        <f>128*9*V874</f>
        <v>25344</v>
      </c>
      <c r="AG874" s="796"/>
    </row>
    <row r="875" spans="1:33" s="751" customFormat="1" x14ac:dyDescent="0.2">
      <c r="A875" s="873"/>
      <c r="B875" s="842" t="s">
        <v>374</v>
      </c>
      <c r="C875" s="771"/>
      <c r="D875" s="772"/>
      <c r="E875" s="773" t="s">
        <v>405</v>
      </c>
      <c r="F875" s="874"/>
      <c r="G875" s="775"/>
      <c r="H875" s="875"/>
      <c r="I875" s="876"/>
      <c r="J875" s="845"/>
      <c r="K875" s="777"/>
      <c r="L875" s="778" t="s">
        <v>305</v>
      </c>
      <c r="M875" s="779"/>
      <c r="N875" s="779"/>
      <c r="O875" s="780"/>
      <c r="P875" s="780"/>
      <c r="Q875" s="780"/>
      <c r="R875" s="780"/>
      <c r="S875" s="780"/>
      <c r="T875" s="780"/>
      <c r="U875" s="780"/>
      <c r="V875" s="781"/>
      <c r="W875" s="780"/>
      <c r="X875" s="782"/>
      <c r="Y875" s="783"/>
      <c r="Z875" s="784"/>
      <c r="AA875" s="849"/>
      <c r="AB875" s="786"/>
      <c r="AC875" s="885"/>
      <c r="AD875" s="782"/>
      <c r="AG875" s="796"/>
    </row>
    <row r="876" spans="1:33" s="751" customFormat="1" x14ac:dyDescent="0.2">
      <c r="A876" s="873"/>
      <c r="B876" s="573"/>
      <c r="C876" s="574"/>
      <c r="D876" s="554"/>
      <c r="E876" s="552" t="s">
        <v>406</v>
      </c>
      <c r="F876" s="825"/>
      <c r="G876" s="577"/>
      <c r="H876" s="826"/>
      <c r="I876" s="827">
        <v>82</v>
      </c>
      <c r="J876" s="580"/>
      <c r="K876" s="581"/>
      <c r="L876" s="869">
        <v>96</v>
      </c>
      <c r="M876" s="585"/>
      <c r="N876" s="585"/>
      <c r="O876" s="586"/>
      <c r="P876" s="586"/>
      <c r="Q876" s="586"/>
      <c r="R876" s="586"/>
      <c r="S876" s="586"/>
      <c r="T876" s="586">
        <v>82</v>
      </c>
      <c r="U876" s="586"/>
      <c r="V876" s="587"/>
      <c r="W876" s="586"/>
      <c r="X876" s="588"/>
      <c r="Y876" s="589"/>
      <c r="Z876" s="830"/>
      <c r="AA876" s="831"/>
      <c r="AB876" s="592"/>
      <c r="AC876" s="886"/>
      <c r="AD876" s="588"/>
      <c r="AG876" s="796"/>
    </row>
    <row r="877" spans="1:33" s="751" customFormat="1" x14ac:dyDescent="0.2">
      <c r="A877" s="873"/>
      <c r="B877" s="573"/>
      <c r="C877" s="574"/>
      <c r="D877" s="554"/>
      <c r="E877" s="552" t="s">
        <v>407</v>
      </c>
      <c r="F877" s="825"/>
      <c r="G877" s="577"/>
      <c r="H877" s="826"/>
      <c r="I877" s="827">
        <v>82</v>
      </c>
      <c r="J877" s="580"/>
      <c r="K877" s="581"/>
      <c r="L877" s="869">
        <v>96</v>
      </c>
      <c r="M877" s="585"/>
      <c r="N877" s="585"/>
      <c r="O877" s="586"/>
      <c r="P877" s="586"/>
      <c r="Q877" s="586"/>
      <c r="R877" s="586"/>
      <c r="S877" s="586"/>
      <c r="T877" s="586">
        <v>82</v>
      </c>
      <c r="U877" s="586"/>
      <c r="V877" s="587"/>
      <c r="W877" s="586"/>
      <c r="X877" s="588"/>
      <c r="Y877" s="589"/>
      <c r="Z877" s="830"/>
      <c r="AA877" s="831"/>
      <c r="AB877" s="592"/>
      <c r="AC877" s="886"/>
      <c r="AD877" s="588"/>
      <c r="AG877" s="796"/>
    </row>
    <row r="878" spans="1:33" s="751" customFormat="1" x14ac:dyDescent="0.2">
      <c r="A878" s="873"/>
      <c r="B878" s="573"/>
      <c r="C878" s="574"/>
      <c r="D878" s="554"/>
      <c r="E878" s="552" t="s">
        <v>408</v>
      </c>
      <c r="F878" s="825"/>
      <c r="G878" s="577"/>
      <c r="H878" s="826"/>
      <c r="I878" s="827">
        <v>82</v>
      </c>
      <c r="J878" s="580"/>
      <c r="K878" s="581"/>
      <c r="L878" s="869">
        <v>160</v>
      </c>
      <c r="M878" s="585"/>
      <c r="N878" s="585"/>
      <c r="O878" s="586"/>
      <c r="P878" s="586"/>
      <c r="Q878" s="586"/>
      <c r="R878" s="586"/>
      <c r="S878" s="586"/>
      <c r="T878" s="586">
        <v>82</v>
      </c>
      <c r="U878" s="586"/>
      <c r="V878" s="587"/>
      <c r="W878" s="586"/>
      <c r="X878" s="588"/>
      <c r="Y878" s="589"/>
      <c r="Z878" s="830"/>
      <c r="AA878" s="831"/>
      <c r="AB878" s="592"/>
      <c r="AC878" s="886"/>
      <c r="AD878" s="588"/>
      <c r="AG878" s="796"/>
    </row>
    <row r="879" spans="1:33" s="751" customFormat="1" x14ac:dyDescent="0.2">
      <c r="A879" s="873"/>
      <c r="B879" s="573"/>
      <c r="C879" s="574"/>
      <c r="D879" s="554"/>
      <c r="E879" s="573" t="s">
        <v>409</v>
      </c>
      <c r="F879" s="790"/>
      <c r="G879" s="791"/>
      <c r="H879" s="792"/>
      <c r="I879" s="877">
        <v>118</v>
      </c>
      <c r="J879" s="597"/>
      <c r="K879" s="793"/>
      <c r="L879" s="814">
        <v>320</v>
      </c>
      <c r="M879" s="794"/>
      <c r="N879" s="794"/>
      <c r="O879" s="564"/>
      <c r="P879" s="564"/>
      <c r="Q879" s="564"/>
      <c r="R879" s="564"/>
      <c r="S879" s="564"/>
      <c r="T879" s="564">
        <v>118</v>
      </c>
      <c r="U879" s="564"/>
      <c r="V879" s="564"/>
      <c r="W879" s="564"/>
      <c r="X879" s="566"/>
      <c r="Y879" s="795"/>
      <c r="Z879" s="568"/>
      <c r="AA879" s="601"/>
      <c r="AB879" s="602"/>
      <c r="AC879" s="571"/>
      <c r="AD879" s="566"/>
      <c r="AG879" s="796"/>
    </row>
    <row r="880" spans="1:33" s="751" customFormat="1" x14ac:dyDescent="0.2">
      <c r="A880" s="873"/>
      <c r="B880" s="573"/>
      <c r="C880" s="574"/>
      <c r="D880" s="554"/>
      <c r="E880" s="573" t="s">
        <v>410</v>
      </c>
      <c r="F880" s="790"/>
      <c r="G880" s="791"/>
      <c r="H880" s="792"/>
      <c r="I880" s="877">
        <v>204</v>
      </c>
      <c r="J880" s="597"/>
      <c r="K880" s="793"/>
      <c r="L880" s="814">
        <v>672</v>
      </c>
      <c r="M880" s="794"/>
      <c r="N880" s="794"/>
      <c r="O880" s="564"/>
      <c r="P880" s="564"/>
      <c r="Q880" s="564"/>
      <c r="R880" s="564"/>
      <c r="S880" s="564"/>
      <c r="T880" s="564">
        <v>204</v>
      </c>
      <c r="U880" s="564"/>
      <c r="V880" s="564"/>
      <c r="W880" s="564"/>
      <c r="X880" s="566"/>
      <c r="Y880" s="795"/>
      <c r="Z880" s="568"/>
      <c r="AA880" s="601"/>
      <c r="AB880" s="602"/>
      <c r="AC880" s="571"/>
      <c r="AD880" s="566"/>
      <c r="AG880" s="796"/>
    </row>
    <row r="881" spans="1:33" s="751" customFormat="1" x14ac:dyDescent="0.2">
      <c r="A881" s="873"/>
      <c r="B881" s="573"/>
      <c r="C881" s="574"/>
      <c r="D881" s="554"/>
      <c r="E881" s="573" t="s">
        <v>411</v>
      </c>
      <c r="F881" s="790"/>
      <c r="G881" s="791"/>
      <c r="H881" s="792"/>
      <c r="I881" s="877">
        <v>252</v>
      </c>
      <c r="J881" s="597"/>
      <c r="K881" s="793"/>
      <c r="L881" s="814">
        <v>1008</v>
      </c>
      <c r="M881" s="794"/>
      <c r="N881" s="794"/>
      <c r="O881" s="564"/>
      <c r="P881" s="564"/>
      <c r="Q881" s="564"/>
      <c r="R881" s="564"/>
      <c r="S881" s="564"/>
      <c r="T881" s="564">
        <v>252</v>
      </c>
      <c r="U881" s="564"/>
      <c r="V881" s="564"/>
      <c r="W881" s="564"/>
      <c r="X881" s="566"/>
      <c r="Y881" s="795"/>
      <c r="Z881" s="568"/>
      <c r="AA881" s="601"/>
      <c r="AB881" s="602"/>
      <c r="AC881" s="571"/>
      <c r="AD881" s="566"/>
      <c r="AG881" s="796"/>
    </row>
    <row r="882" spans="1:33" s="751" customFormat="1" ht="13.5" thickBot="1" x14ac:dyDescent="0.25">
      <c r="A882" s="873"/>
      <c r="B882" s="555"/>
      <c r="C882" s="819"/>
      <c r="D882" s="757"/>
      <c r="E882" s="573" t="s">
        <v>412</v>
      </c>
      <c r="F882" s="790"/>
      <c r="G882" s="791"/>
      <c r="H882" s="792"/>
      <c r="I882" s="877">
        <v>316</v>
      </c>
      <c r="J882" s="597"/>
      <c r="K882" s="793"/>
      <c r="L882" s="814">
        <v>1584</v>
      </c>
      <c r="M882" s="794"/>
      <c r="N882" s="794"/>
      <c r="O882" s="564"/>
      <c r="P882" s="564"/>
      <c r="Q882" s="564"/>
      <c r="R882" s="564"/>
      <c r="S882" s="564"/>
      <c r="T882" s="564">
        <v>316</v>
      </c>
      <c r="U882" s="564"/>
      <c r="V882" s="564"/>
      <c r="W882" s="564"/>
      <c r="X882" s="566"/>
      <c r="Y882" s="795"/>
      <c r="Z882" s="568"/>
      <c r="AA882" s="601"/>
      <c r="AB882" s="602"/>
      <c r="AC882" s="571"/>
      <c r="AD882" s="566"/>
      <c r="AG882" s="796"/>
    </row>
    <row r="883" spans="1:33" s="751" customFormat="1" x14ac:dyDescent="0.2">
      <c r="A883" s="873"/>
      <c r="B883" s="842" t="s">
        <v>374</v>
      </c>
      <c r="C883" s="771"/>
      <c r="D883" s="772"/>
      <c r="E883" s="773" t="s">
        <v>413</v>
      </c>
      <c r="F883" s="874"/>
      <c r="G883" s="775"/>
      <c r="H883" s="875"/>
      <c r="I883" s="876"/>
      <c r="J883" s="845"/>
      <c r="K883" s="777"/>
      <c r="L883" s="778" t="s">
        <v>305</v>
      </c>
      <c r="M883" s="779"/>
      <c r="N883" s="779"/>
      <c r="O883" s="780"/>
      <c r="P883" s="780" t="s">
        <v>414</v>
      </c>
      <c r="Q883" s="780"/>
      <c r="R883" s="780"/>
      <c r="S883" s="780" t="s">
        <v>415</v>
      </c>
      <c r="T883" s="780"/>
      <c r="U883" s="780"/>
      <c r="V883" s="781" t="s">
        <v>416</v>
      </c>
      <c r="W883" s="780"/>
      <c r="X883" s="782"/>
      <c r="Y883" s="783"/>
      <c r="Z883" s="784"/>
      <c r="AA883" s="849"/>
      <c r="AB883" s="786">
        <f>AVERAGE(AB884:AB887)</f>
        <v>60</v>
      </c>
      <c r="AC883" s="787">
        <f>AVERAGE(AC884:AC887)</f>
        <v>5.4166666666666661</v>
      </c>
      <c r="AD883" s="782"/>
      <c r="AG883" s="796"/>
    </row>
    <row r="884" spans="1:33" s="751" customFormat="1" x14ac:dyDescent="0.2">
      <c r="A884" s="873"/>
      <c r="B884" s="573"/>
      <c r="C884" s="574"/>
      <c r="D884" s="554"/>
      <c r="E884" s="552" t="s">
        <v>417</v>
      </c>
      <c r="F884" s="825"/>
      <c r="G884" s="577"/>
      <c r="H884" s="826"/>
      <c r="I884" s="827"/>
      <c r="J884" s="580"/>
      <c r="K884" s="581"/>
      <c r="L884" s="869">
        <v>2016</v>
      </c>
      <c r="M884" s="585"/>
      <c r="N884" s="585"/>
      <c r="O884" s="586"/>
      <c r="P884" s="586">
        <v>1</v>
      </c>
      <c r="Q884" s="586"/>
      <c r="R884" s="586"/>
      <c r="S884" s="586">
        <v>1</v>
      </c>
      <c r="T884" s="586">
        <v>252</v>
      </c>
      <c r="U884" s="586"/>
      <c r="V884" s="587">
        <v>36</v>
      </c>
      <c r="W884" s="586"/>
      <c r="X884" s="588"/>
      <c r="Y884" s="589"/>
      <c r="Z884" s="830"/>
      <c r="AA884" s="831"/>
      <c r="AB884" s="602">
        <f>L884/V884</f>
        <v>56</v>
      </c>
      <c r="AC884" s="571">
        <f>T884/V884</f>
        <v>7</v>
      </c>
      <c r="AD884" s="566">
        <f>256*9*V884</f>
        <v>82944</v>
      </c>
      <c r="AG884" s="796"/>
    </row>
    <row r="885" spans="1:33" s="751" customFormat="1" x14ac:dyDescent="0.2">
      <c r="A885" s="873"/>
      <c r="B885" s="573"/>
      <c r="C885" s="574"/>
      <c r="D885" s="554"/>
      <c r="E885" s="552" t="s">
        <v>418</v>
      </c>
      <c r="F885" s="825"/>
      <c r="G885" s="577"/>
      <c r="H885" s="826"/>
      <c r="I885" s="827"/>
      <c r="J885" s="580"/>
      <c r="K885" s="581"/>
      <c r="L885" s="869">
        <v>2016</v>
      </c>
      <c r="M885" s="585"/>
      <c r="N885" s="585"/>
      <c r="O885" s="586"/>
      <c r="P885" s="586">
        <v>1</v>
      </c>
      <c r="Q885" s="586"/>
      <c r="R885" s="586"/>
      <c r="S885" s="586">
        <v>1</v>
      </c>
      <c r="T885" s="586">
        <v>122</v>
      </c>
      <c r="U885" s="586"/>
      <c r="V885" s="587">
        <v>36</v>
      </c>
      <c r="W885" s="586"/>
      <c r="X885" s="588"/>
      <c r="Y885" s="589"/>
      <c r="Z885" s="830"/>
      <c r="AA885" s="831"/>
      <c r="AB885" s="602">
        <f>L885/V885</f>
        <v>56</v>
      </c>
      <c r="AC885" s="571">
        <f>T885/V885</f>
        <v>3.3888888888888888</v>
      </c>
      <c r="AD885" s="566">
        <f>256*9*V885</f>
        <v>82944</v>
      </c>
      <c r="AG885" s="796"/>
    </row>
    <row r="886" spans="1:33" s="751" customFormat="1" x14ac:dyDescent="0.2">
      <c r="A886" s="873"/>
      <c r="B886" s="573"/>
      <c r="C886" s="574"/>
      <c r="D886" s="554"/>
      <c r="E886" s="552" t="s">
        <v>419</v>
      </c>
      <c r="F886" s="825"/>
      <c r="G886" s="577"/>
      <c r="H886" s="826"/>
      <c r="I886" s="827"/>
      <c r="J886" s="580"/>
      <c r="K886" s="581"/>
      <c r="L886" s="869">
        <v>1152</v>
      </c>
      <c r="M886" s="585"/>
      <c r="N886" s="585"/>
      <c r="O886" s="586"/>
      <c r="P886" s="586">
        <v>1</v>
      </c>
      <c r="Q886" s="586"/>
      <c r="R886" s="586"/>
      <c r="S886" s="586">
        <v>1</v>
      </c>
      <c r="T886" s="586">
        <v>94</v>
      </c>
      <c r="U886" s="586"/>
      <c r="V886" s="587">
        <v>18</v>
      </c>
      <c r="W886" s="586"/>
      <c r="X886" s="588"/>
      <c r="Y886" s="589"/>
      <c r="Z886" s="830"/>
      <c r="AA886" s="831"/>
      <c r="AB886" s="602">
        <f>L886/V886</f>
        <v>64</v>
      </c>
      <c r="AC886" s="571">
        <f>T886/V886</f>
        <v>5.2222222222222223</v>
      </c>
      <c r="AD886" s="566">
        <f>256*9*V886</f>
        <v>41472</v>
      </c>
      <c r="AG886" s="796"/>
    </row>
    <row r="887" spans="1:33" s="751" customFormat="1" ht="13.5" thickBot="1" x14ac:dyDescent="0.25">
      <c r="A887" s="873"/>
      <c r="B887" s="555"/>
      <c r="C887" s="819"/>
      <c r="D887" s="757"/>
      <c r="E887" s="573" t="s">
        <v>420</v>
      </c>
      <c r="F887" s="790"/>
      <c r="G887" s="791"/>
      <c r="H887" s="792"/>
      <c r="I887" s="877"/>
      <c r="J887" s="597"/>
      <c r="K887" s="793"/>
      <c r="L887" s="814">
        <v>1152</v>
      </c>
      <c r="M887" s="794"/>
      <c r="N887" s="794"/>
      <c r="O887" s="564"/>
      <c r="P887" s="564">
        <v>1</v>
      </c>
      <c r="Q887" s="564"/>
      <c r="R887" s="564"/>
      <c r="S887" s="564">
        <v>0</v>
      </c>
      <c r="T887" s="564">
        <v>109</v>
      </c>
      <c r="U887" s="564"/>
      <c r="V887" s="564">
        <v>18</v>
      </c>
      <c r="W887" s="564"/>
      <c r="X887" s="566"/>
      <c r="Y887" s="795"/>
      <c r="Z887" s="568"/>
      <c r="AA887" s="601"/>
      <c r="AB887" s="602">
        <f>L887/V887</f>
        <v>64</v>
      </c>
      <c r="AC887" s="571">
        <f>T887/V887</f>
        <v>6.0555555555555554</v>
      </c>
      <c r="AD887" s="566">
        <f>256*9*V887</f>
        <v>41472</v>
      </c>
      <c r="AG887" s="796"/>
    </row>
    <row r="888" spans="1:33" x14ac:dyDescent="0.2">
      <c r="A888" s="183"/>
      <c r="B888" s="48" t="s">
        <v>422</v>
      </c>
      <c r="C888" s="1077"/>
      <c r="D888" s="212"/>
      <c r="E888" s="48" t="s">
        <v>421</v>
      </c>
      <c r="F888" s="466"/>
      <c r="G888" s="131"/>
      <c r="H888" s="131"/>
      <c r="I888" s="165"/>
      <c r="J888" s="136"/>
      <c r="K888" s="50"/>
      <c r="L888" s="1221" t="s">
        <v>23</v>
      </c>
      <c r="M888" s="1219"/>
      <c r="N888" s="61"/>
      <c r="O888" s="60"/>
      <c r="P888" s="399" t="s">
        <v>1171</v>
      </c>
      <c r="Q888" s="399"/>
      <c r="R888" s="61"/>
      <c r="S888" s="399"/>
      <c r="T888" s="61"/>
      <c r="U888" s="1222" t="s">
        <v>425</v>
      </c>
      <c r="V888" s="61"/>
      <c r="W888" s="399" t="s">
        <v>66</v>
      </c>
      <c r="X888" s="861" t="s">
        <v>93</v>
      </c>
      <c r="Y888" s="171"/>
      <c r="Z888" s="164"/>
      <c r="AA888" s="373"/>
      <c r="AB888" s="1220"/>
      <c r="AC888" s="105"/>
      <c r="AD888" s="514"/>
      <c r="AE888" s="237"/>
      <c r="AF888" s="1183"/>
      <c r="AG888" s="492"/>
    </row>
    <row r="889" spans="1:33" x14ac:dyDescent="0.2">
      <c r="A889" s="182" t="s">
        <v>929</v>
      </c>
      <c r="B889" s="29"/>
      <c r="C889" s="1213"/>
      <c r="D889" s="300"/>
      <c r="E889" s="36" t="s">
        <v>1744</v>
      </c>
      <c r="F889" s="45" t="s">
        <v>1745</v>
      </c>
      <c r="G889" s="19">
        <v>15.84</v>
      </c>
      <c r="H889" s="124">
        <v>22</v>
      </c>
      <c r="I889" s="166"/>
      <c r="J889" s="137"/>
      <c r="K889" s="32"/>
      <c r="L889" s="438">
        <v>256</v>
      </c>
      <c r="M889" s="70">
        <v>256</v>
      </c>
      <c r="N889" s="65">
        <f>IF(AND(G889&lt;&gt;"",M889&lt;&gt;""),M889/G889,"")</f>
        <v>16.161616161616163</v>
      </c>
      <c r="O889" s="70"/>
      <c r="P889" s="71">
        <v>1</v>
      </c>
      <c r="Q889" s="71"/>
      <c r="R889" s="71"/>
      <c r="S889" s="1004"/>
      <c r="T889" s="71">
        <v>96</v>
      </c>
      <c r="U889" s="1218">
        <v>16</v>
      </c>
      <c r="V889" s="1004" t="s">
        <v>1297</v>
      </c>
      <c r="W889" s="1004" t="s">
        <v>1294</v>
      </c>
      <c r="X889" s="114">
        <v>16</v>
      </c>
      <c r="Y889" s="83"/>
      <c r="Z889" s="172"/>
      <c r="AA889" s="375"/>
      <c r="AB889" s="234"/>
      <c r="AC889" s="102"/>
      <c r="AD889" s="194"/>
      <c r="AE889" s="237"/>
      <c r="AF889" s="1183"/>
      <c r="AG889" s="492" t="s">
        <v>1748</v>
      </c>
    </row>
    <row r="890" spans="1:33" x14ac:dyDescent="0.2">
      <c r="A890" s="182" t="s">
        <v>929</v>
      </c>
      <c r="B890" s="29"/>
      <c r="C890" s="1213"/>
      <c r="D890" s="300"/>
      <c r="E890" s="36" t="s">
        <v>1746</v>
      </c>
      <c r="F890" s="45" t="s">
        <v>1745</v>
      </c>
      <c r="G890" s="19">
        <v>27</v>
      </c>
      <c r="H890" s="124">
        <v>22</v>
      </c>
      <c r="I890" s="166"/>
      <c r="J890" s="137"/>
      <c r="K890" s="32"/>
      <c r="L890" s="438">
        <v>576</v>
      </c>
      <c r="M890" s="70">
        <v>576</v>
      </c>
      <c r="N890" s="65">
        <f>IF(AND(G890&lt;&gt;"",M890&lt;&gt;""),M890/G890,"")</f>
        <v>21.333333333333332</v>
      </c>
      <c r="O890" s="70"/>
      <c r="P890" s="71">
        <v>1</v>
      </c>
      <c r="Q890" s="71"/>
      <c r="R890" s="71"/>
      <c r="S890" s="1004"/>
      <c r="T890" s="71">
        <v>144</v>
      </c>
      <c r="U890" s="1218">
        <v>32</v>
      </c>
      <c r="V890" s="1004" t="s">
        <v>1749</v>
      </c>
      <c r="W890" s="1004" t="s">
        <v>1751</v>
      </c>
      <c r="X890" s="114">
        <v>36</v>
      </c>
      <c r="Y890" s="83"/>
      <c r="Z890" s="172"/>
      <c r="AA890" s="375"/>
      <c r="AB890" s="234"/>
      <c r="AC890" s="102"/>
      <c r="AD890" s="194"/>
      <c r="AE890" s="237"/>
      <c r="AF890" s="1183"/>
      <c r="AG890" s="492"/>
    </row>
    <row r="891" spans="1:33" ht="13.5" thickBot="1" x14ac:dyDescent="0.25">
      <c r="A891" s="182" t="s">
        <v>929</v>
      </c>
      <c r="B891" s="29"/>
      <c r="C891" s="1213"/>
      <c r="D891" s="300"/>
      <c r="E891" s="36" t="s">
        <v>1747</v>
      </c>
      <c r="F891" s="45" t="s">
        <v>1745</v>
      </c>
      <c r="G891" s="23">
        <v>33.299999999999997</v>
      </c>
      <c r="H891" s="125">
        <v>22</v>
      </c>
      <c r="I891" s="166"/>
      <c r="J891" s="137"/>
      <c r="K891" s="32"/>
      <c r="L891" s="438">
        <v>2304</v>
      </c>
      <c r="M891" s="70">
        <v>2304</v>
      </c>
      <c r="N891" s="65">
        <f>IF(AND(G891&lt;&gt;"",M891&lt;&gt;""),M891/G891,"")</f>
        <v>69.189189189189193</v>
      </c>
      <c r="O891" s="70"/>
      <c r="P891" s="71">
        <v>1</v>
      </c>
      <c r="Q891" s="71"/>
      <c r="R891" s="71"/>
      <c r="S891" s="1004"/>
      <c r="T891" s="71">
        <v>288</v>
      </c>
      <c r="U891" s="1218">
        <v>144</v>
      </c>
      <c r="V891" s="1004" t="s">
        <v>1749</v>
      </c>
      <c r="W891" s="1004" t="s">
        <v>1750</v>
      </c>
      <c r="X891" s="114">
        <v>144</v>
      </c>
      <c r="Y891" s="83"/>
      <c r="Z891" s="172"/>
      <c r="AA891" s="375"/>
      <c r="AB891" s="234"/>
      <c r="AC891" s="102"/>
      <c r="AD891" s="194"/>
      <c r="AE891" s="237"/>
      <c r="AF891" s="1183"/>
      <c r="AG891" s="492"/>
    </row>
    <row r="892" spans="1:33" x14ac:dyDescent="0.2">
      <c r="A892" s="401"/>
      <c r="B892" s="48" t="s">
        <v>422</v>
      </c>
      <c r="C892" s="226"/>
      <c r="D892" s="212"/>
      <c r="E892" s="12" t="s">
        <v>421</v>
      </c>
      <c r="F892" s="13"/>
      <c r="G892" s="14"/>
      <c r="H892" s="123"/>
      <c r="I892" s="161">
        <v>3.3</v>
      </c>
      <c r="J892" s="136"/>
      <c r="K892" s="16"/>
      <c r="L892" s="244" t="s">
        <v>423</v>
      </c>
      <c r="M892" s="60"/>
      <c r="N892" s="60"/>
      <c r="O892" s="61"/>
      <c r="P892" s="61" t="s">
        <v>424</v>
      </c>
      <c r="Q892" s="61"/>
      <c r="R892" s="61"/>
      <c r="S892" s="61"/>
      <c r="T892" s="61"/>
      <c r="U892" s="61"/>
      <c r="V892" s="62" t="s">
        <v>425</v>
      </c>
      <c r="W892" s="61" t="s">
        <v>426</v>
      </c>
      <c r="X892" s="109"/>
      <c r="Y892" s="80"/>
      <c r="Z892" s="164"/>
      <c r="AA892" s="373"/>
      <c r="AB892" s="92" t="e">
        <f>AVERAGE(AB893:AB895)</f>
        <v>#DIV/0!</v>
      </c>
      <c r="AC892" s="106">
        <f>AVERAGE(AC893:AC895)</f>
        <v>5.333333333333333</v>
      </c>
      <c r="AD892" s="109"/>
      <c r="AG892" s="236"/>
    </row>
    <row r="893" spans="1:33" x14ac:dyDescent="0.2">
      <c r="A893" s="401"/>
      <c r="B893" s="17"/>
      <c r="C893" s="227"/>
      <c r="D893" s="213" t="s">
        <v>708</v>
      </c>
      <c r="E893" s="36" t="s">
        <v>427</v>
      </c>
      <c r="F893" s="304" t="s">
        <v>1358</v>
      </c>
      <c r="G893" s="38">
        <v>12</v>
      </c>
      <c r="H893" s="129">
        <v>30</v>
      </c>
      <c r="I893" s="841">
        <v>62</v>
      </c>
      <c r="J893" s="137"/>
      <c r="K893" s="39"/>
      <c r="L893" s="255">
        <v>0.25600000000000001</v>
      </c>
      <c r="M893" s="235">
        <f>L893</f>
        <v>0.25600000000000001</v>
      </c>
      <c r="N893" s="70"/>
      <c r="O893" s="71"/>
      <c r="P893" s="71">
        <v>1</v>
      </c>
      <c r="Q893" s="71"/>
      <c r="R893" s="71"/>
      <c r="S893" s="71"/>
      <c r="T893" s="71">
        <v>128</v>
      </c>
      <c r="U893" s="71"/>
      <c r="V893" s="77">
        <v>16</v>
      </c>
      <c r="W893" s="65">
        <v>5</v>
      </c>
      <c r="X893" s="117"/>
      <c r="Y893" s="89"/>
      <c r="Z893" s="172"/>
      <c r="AA893" s="375"/>
      <c r="AB893" s="95"/>
      <c r="AC893" s="99">
        <f>T893/V893</f>
        <v>8</v>
      </c>
      <c r="AD893" s="110">
        <f>32*4*V893+2048*16*W893</f>
        <v>165888</v>
      </c>
      <c r="AE893" t="s">
        <v>1362</v>
      </c>
      <c r="AG893" s="236"/>
    </row>
    <row r="894" spans="1:33" x14ac:dyDescent="0.2">
      <c r="A894" s="401"/>
      <c r="B894" s="17"/>
      <c r="C894" s="227"/>
      <c r="D894" s="213" t="s">
        <v>708</v>
      </c>
      <c r="E894" s="36" t="s">
        <v>428</v>
      </c>
      <c r="F894" s="304" t="s">
        <v>1358</v>
      </c>
      <c r="G894" s="38">
        <v>20</v>
      </c>
      <c r="H894" s="129">
        <v>30</v>
      </c>
      <c r="I894" s="841">
        <v>62</v>
      </c>
      <c r="J894" s="137"/>
      <c r="K894" s="39"/>
      <c r="L894" s="255">
        <v>0.57599999999999996</v>
      </c>
      <c r="M894" s="235">
        <f>L894</f>
        <v>0.57599999999999996</v>
      </c>
      <c r="N894" s="70"/>
      <c r="O894" s="71"/>
      <c r="P894" s="71">
        <v>1</v>
      </c>
      <c r="Q894" s="71"/>
      <c r="R894" s="71"/>
      <c r="S894" s="71"/>
      <c r="T894" s="71">
        <v>192</v>
      </c>
      <c r="U894" s="71"/>
      <c r="V894" s="77">
        <v>36</v>
      </c>
      <c r="W894" s="65">
        <v>9</v>
      </c>
      <c r="X894" s="117"/>
      <c r="Y894" s="89"/>
      <c r="Z894" s="172"/>
      <c r="AA894" s="375"/>
      <c r="AB894" s="95"/>
      <c r="AC894" s="99">
        <f>T894/V894</f>
        <v>5.333333333333333</v>
      </c>
      <c r="AD894" s="110">
        <f>32*4*V894+2048*16*W894</f>
        <v>299520</v>
      </c>
      <c r="AG894" s="236"/>
    </row>
    <row r="895" spans="1:33" ht="13.5" thickBot="1" x14ac:dyDescent="0.25">
      <c r="A895" s="401"/>
      <c r="B895" s="21"/>
      <c r="C895" s="228"/>
      <c r="D895" s="214" t="s">
        <v>708</v>
      </c>
      <c r="E895" s="33" t="s">
        <v>429</v>
      </c>
      <c r="F895" s="304" t="s">
        <v>1359</v>
      </c>
      <c r="G895" s="38">
        <v>27.78</v>
      </c>
      <c r="H895" s="129">
        <v>22</v>
      </c>
      <c r="I895" s="841">
        <v>114</v>
      </c>
      <c r="J895" s="137"/>
      <c r="K895" s="39"/>
      <c r="L895" s="255">
        <v>2.3039999999999998</v>
      </c>
      <c r="M895" s="235">
        <f>L895</f>
        <v>2.3039999999999998</v>
      </c>
      <c r="N895" s="70"/>
      <c r="O895" s="71"/>
      <c r="P895" s="71">
        <v>1</v>
      </c>
      <c r="Q895" s="71"/>
      <c r="R895" s="71"/>
      <c r="S895" s="71"/>
      <c r="T895" s="71">
        <v>384</v>
      </c>
      <c r="U895" s="71"/>
      <c r="V895" s="77">
        <v>144</v>
      </c>
      <c r="W895" s="65">
        <v>9</v>
      </c>
      <c r="X895" s="117"/>
      <c r="Y895" s="89"/>
      <c r="Z895" s="172"/>
      <c r="AA895" s="375"/>
      <c r="AB895" s="95"/>
      <c r="AC895" s="99">
        <f>T895/V895</f>
        <v>2.6666666666666665</v>
      </c>
      <c r="AD895" s="110">
        <f>32*4*V895+2048*16*W895</f>
        <v>313344</v>
      </c>
      <c r="AG895" s="236"/>
    </row>
    <row r="896" spans="1:33" x14ac:dyDescent="0.2">
      <c r="A896" s="401"/>
      <c r="B896" s="48" t="s">
        <v>422</v>
      </c>
      <c r="C896" s="226"/>
      <c r="D896" s="212"/>
      <c r="E896" s="12" t="s">
        <v>1351</v>
      </c>
      <c r="F896" s="497" t="s">
        <v>1349</v>
      </c>
      <c r="G896" s="14"/>
      <c r="H896" s="123"/>
      <c r="I896" s="840" t="s">
        <v>1353</v>
      </c>
      <c r="J896" s="136"/>
      <c r="K896" s="16"/>
      <c r="L896" s="244" t="s">
        <v>423</v>
      </c>
      <c r="M896" s="60"/>
      <c r="N896" s="60"/>
      <c r="O896" s="61"/>
      <c r="P896" s="61"/>
      <c r="Q896" s="61"/>
      <c r="R896" s="61"/>
      <c r="S896" s="61" t="s">
        <v>1361</v>
      </c>
      <c r="T896" s="61"/>
      <c r="U896" s="61"/>
      <c r="V896" s="62" t="s">
        <v>425</v>
      </c>
      <c r="W896" s="61" t="s">
        <v>426</v>
      </c>
      <c r="X896" s="109"/>
      <c r="Y896" s="80"/>
      <c r="Z896" s="164"/>
      <c r="AA896" s="373"/>
      <c r="AB896" s="92" t="e">
        <f>AVERAGE(AB901:AB903)</f>
        <v>#DIV/0!</v>
      </c>
      <c r="AC896" s="106">
        <f>AVERAGE(AC897:AC903)</f>
        <v>3.1603325198962322</v>
      </c>
      <c r="AD896" s="109"/>
      <c r="AG896" s="236"/>
    </row>
    <row r="897" spans="1:33" x14ac:dyDescent="0.2">
      <c r="A897" s="401"/>
      <c r="B897" s="283"/>
      <c r="C897" s="227"/>
      <c r="D897" s="229" t="s">
        <v>704</v>
      </c>
      <c r="E897" s="36" t="s">
        <v>1354</v>
      </c>
      <c r="F897" s="304" t="s">
        <v>1358</v>
      </c>
      <c r="G897" s="38">
        <v>10.33</v>
      </c>
      <c r="H897" s="129">
        <v>30</v>
      </c>
      <c r="I897" s="841">
        <v>62</v>
      </c>
      <c r="J897" s="137"/>
      <c r="K897" s="39"/>
      <c r="L897" s="255">
        <v>0.25600000000000001</v>
      </c>
      <c r="M897" s="235">
        <f t="shared" ref="M897:M903" si="368">L897</f>
        <v>0.25600000000000001</v>
      </c>
      <c r="N897" s="70"/>
      <c r="O897" s="71"/>
      <c r="P897" s="71"/>
      <c r="Q897" s="71"/>
      <c r="R897" s="71"/>
      <c r="S897" s="71"/>
      <c r="T897" s="71">
        <v>128</v>
      </c>
      <c r="U897" s="71"/>
      <c r="V897" s="77">
        <v>16</v>
      </c>
      <c r="W897" s="65">
        <v>0</v>
      </c>
      <c r="X897" s="117"/>
      <c r="Y897" s="89"/>
      <c r="Z897" s="172"/>
      <c r="AA897" s="375"/>
      <c r="AB897" s="95"/>
      <c r="AC897" s="99">
        <f t="shared" ref="AC897:AC903" si="369">T897/V897</f>
        <v>8</v>
      </c>
      <c r="AD897" s="110">
        <f t="shared" ref="AD897:AD903" si="370">32*4*V897+2048*16*W897</f>
        <v>2048</v>
      </c>
      <c r="AE897" s="493" t="s">
        <v>1360</v>
      </c>
      <c r="AG897" s="236"/>
    </row>
    <row r="898" spans="1:33" x14ac:dyDescent="0.2">
      <c r="A898" s="401"/>
      <c r="B898" s="283"/>
      <c r="C898" s="227"/>
      <c r="D898" s="229" t="s">
        <v>704</v>
      </c>
      <c r="E898" s="36" t="s">
        <v>1355</v>
      </c>
      <c r="F898" s="304" t="s">
        <v>1358</v>
      </c>
      <c r="G898" s="38">
        <v>17.920000000000002</v>
      </c>
      <c r="H898" s="129">
        <v>30</v>
      </c>
      <c r="I898" s="841">
        <v>62</v>
      </c>
      <c r="J898" s="137"/>
      <c r="K898" s="39"/>
      <c r="L898" s="255">
        <v>0.57599999999999996</v>
      </c>
      <c r="M898" s="235">
        <f t="shared" si="368"/>
        <v>0.57599999999999996</v>
      </c>
      <c r="N898" s="70"/>
      <c r="O898" s="71"/>
      <c r="P898" s="71"/>
      <c r="Q898" s="71"/>
      <c r="R898" s="71"/>
      <c r="S898" s="71"/>
      <c r="T898" s="71">
        <v>192</v>
      </c>
      <c r="U898" s="71"/>
      <c r="V898" s="77">
        <v>36</v>
      </c>
      <c r="W898" s="65">
        <v>0</v>
      </c>
      <c r="X898" s="117"/>
      <c r="Y898" s="89"/>
      <c r="Z898" s="172"/>
      <c r="AA898" s="375"/>
      <c r="AB898" s="95"/>
      <c r="AC898" s="99">
        <f t="shared" si="369"/>
        <v>5.333333333333333</v>
      </c>
      <c r="AD898" s="110">
        <f t="shared" si="370"/>
        <v>4608</v>
      </c>
      <c r="AG898" s="236"/>
    </row>
    <row r="899" spans="1:33" x14ac:dyDescent="0.2">
      <c r="A899" s="401"/>
      <c r="B899" s="283"/>
      <c r="C899" s="227"/>
      <c r="D899" s="229" t="s">
        <v>704</v>
      </c>
      <c r="E899" s="36" t="s">
        <v>1356</v>
      </c>
      <c r="F899" s="304" t="s">
        <v>1358</v>
      </c>
      <c r="G899" s="38">
        <v>25.07</v>
      </c>
      <c r="H899" s="129">
        <v>30</v>
      </c>
      <c r="I899" s="841">
        <v>62</v>
      </c>
      <c r="J899" s="137"/>
      <c r="K899" s="39"/>
      <c r="L899" s="255">
        <v>1.024</v>
      </c>
      <c r="M899" s="235">
        <f t="shared" si="368"/>
        <v>1.024</v>
      </c>
      <c r="N899" s="70"/>
      <c r="O899" s="71"/>
      <c r="P899" s="71"/>
      <c r="Q899" s="71"/>
      <c r="R899" s="71"/>
      <c r="S899" s="71"/>
      <c r="T899" s="71">
        <v>256</v>
      </c>
      <c r="U899" s="71"/>
      <c r="V899" s="77">
        <v>64</v>
      </c>
      <c r="W899" s="65">
        <v>0</v>
      </c>
      <c r="X899" s="117"/>
      <c r="Y899" s="89"/>
      <c r="Z899" s="172"/>
      <c r="AA899" s="375"/>
      <c r="AB899" s="95"/>
      <c r="AC899" s="99">
        <f t="shared" si="369"/>
        <v>4</v>
      </c>
      <c r="AD899" s="110">
        <f t="shared" si="370"/>
        <v>8192</v>
      </c>
      <c r="AG899" s="236"/>
    </row>
    <row r="900" spans="1:33" x14ac:dyDescent="0.2">
      <c r="A900" s="401"/>
      <c r="B900" s="283"/>
      <c r="C900" s="227"/>
      <c r="D900" s="229" t="s">
        <v>704</v>
      </c>
      <c r="E900" s="36" t="s">
        <v>1357</v>
      </c>
      <c r="F900" s="304" t="s">
        <v>1359</v>
      </c>
      <c r="G900" s="38">
        <v>41.67</v>
      </c>
      <c r="H900" s="129">
        <v>22</v>
      </c>
      <c r="I900" s="841">
        <v>114</v>
      </c>
      <c r="J900" s="137"/>
      <c r="K900" s="39"/>
      <c r="L900" s="255">
        <v>2.3039999999999998</v>
      </c>
      <c r="M900" s="235">
        <f t="shared" si="368"/>
        <v>2.3039999999999998</v>
      </c>
      <c r="N900" s="70"/>
      <c r="O900" s="71"/>
      <c r="P900" s="71"/>
      <c r="Q900" s="71"/>
      <c r="R900" s="71"/>
      <c r="S900" s="71"/>
      <c r="T900" s="71">
        <v>384</v>
      </c>
      <c r="U900" s="71"/>
      <c r="V900" s="77">
        <v>144</v>
      </c>
      <c r="W900" s="65">
        <v>0</v>
      </c>
      <c r="X900" s="117"/>
      <c r="Y900" s="89"/>
      <c r="Z900" s="172"/>
      <c r="AA900" s="375"/>
      <c r="AB900" s="95"/>
      <c r="AC900" s="99">
        <f t="shared" si="369"/>
        <v>2.6666666666666665</v>
      </c>
      <c r="AD900" s="110">
        <f t="shared" si="370"/>
        <v>18432</v>
      </c>
      <c r="AG900" s="236"/>
    </row>
    <row r="901" spans="1:33" x14ac:dyDescent="0.2">
      <c r="A901" s="401"/>
      <c r="B901" s="17"/>
      <c r="C901" s="227"/>
      <c r="D901" s="213" t="s">
        <v>703</v>
      </c>
      <c r="E901" s="17" t="s">
        <v>1346</v>
      </c>
      <c r="F901" s="18"/>
      <c r="G901" s="19"/>
      <c r="H901" s="124"/>
      <c r="I901" s="162"/>
      <c r="J901" s="138"/>
      <c r="K901" s="20"/>
      <c r="L901" s="460">
        <v>2.3039999999999998</v>
      </c>
      <c r="M901" s="235">
        <f t="shared" si="368"/>
        <v>2.3039999999999998</v>
      </c>
      <c r="N901" s="64"/>
      <c r="O901" s="65"/>
      <c r="P901" s="65"/>
      <c r="Q901" s="65"/>
      <c r="R901" s="65"/>
      <c r="S901" s="65"/>
      <c r="T901" s="65">
        <v>233</v>
      </c>
      <c r="U901" s="65"/>
      <c r="V901" s="65">
        <v>144</v>
      </c>
      <c r="W901" s="65">
        <v>0</v>
      </c>
      <c r="X901" s="110"/>
      <c r="Y901" s="81"/>
      <c r="Z901" s="141"/>
      <c r="AA901" s="371"/>
      <c r="AB901" s="54"/>
      <c r="AC901" s="99">
        <f t="shared" si="369"/>
        <v>1.6180555555555556</v>
      </c>
      <c r="AD901" s="110">
        <f t="shared" si="370"/>
        <v>18432</v>
      </c>
      <c r="AG901" s="236"/>
    </row>
    <row r="902" spans="1:33" x14ac:dyDescent="0.2">
      <c r="A902" s="401"/>
      <c r="B902" s="17"/>
      <c r="C902" s="227"/>
      <c r="D902" s="213" t="s">
        <v>703</v>
      </c>
      <c r="E902" s="17" t="s">
        <v>1347</v>
      </c>
      <c r="F902" s="45" t="s">
        <v>1350</v>
      </c>
      <c r="G902" s="19"/>
      <c r="H902" s="124">
        <v>37</v>
      </c>
      <c r="I902" s="162">
        <v>180</v>
      </c>
      <c r="J902" s="138"/>
      <c r="K902" s="20"/>
      <c r="L902" s="460">
        <v>14.4</v>
      </c>
      <c r="M902" s="235">
        <f t="shared" si="368"/>
        <v>14.4</v>
      </c>
      <c r="N902" s="64"/>
      <c r="O902" s="65"/>
      <c r="P902" s="65"/>
      <c r="Q902" s="65"/>
      <c r="R902" s="65"/>
      <c r="S902" s="65">
        <v>8</v>
      </c>
      <c r="T902" s="65">
        <v>308</v>
      </c>
      <c r="U902" s="65"/>
      <c r="V902" s="65">
        <v>900</v>
      </c>
      <c r="W902" s="65">
        <v>0</v>
      </c>
      <c r="X902" s="110"/>
      <c r="Y902" s="81"/>
      <c r="Z902" s="141"/>
      <c r="AA902" s="371"/>
      <c r="AB902" s="54"/>
      <c r="AC902" s="99">
        <f t="shared" si="369"/>
        <v>0.34222222222222221</v>
      </c>
      <c r="AD902" s="110">
        <f t="shared" si="370"/>
        <v>115200</v>
      </c>
      <c r="AE902" s="493" t="s">
        <v>1352</v>
      </c>
      <c r="AG902" s="236"/>
    </row>
    <row r="903" spans="1:33" ht="13.5" thickBot="1" x14ac:dyDescent="0.25">
      <c r="A903" s="401"/>
      <c r="B903" s="21"/>
      <c r="C903" s="228"/>
      <c r="D903" s="214" t="s">
        <v>703</v>
      </c>
      <c r="E903" s="21" t="s">
        <v>1348</v>
      </c>
      <c r="F903" s="22"/>
      <c r="G903" s="23"/>
      <c r="H903" s="125"/>
      <c r="I903" s="163"/>
      <c r="J903" s="150"/>
      <c r="K903" s="24"/>
      <c r="L903" s="256">
        <v>23.103999999999999</v>
      </c>
      <c r="M903" s="909">
        <f t="shared" si="368"/>
        <v>23.103999999999999</v>
      </c>
      <c r="N903" s="67"/>
      <c r="O903" s="68"/>
      <c r="P903" s="68"/>
      <c r="Q903" s="68"/>
      <c r="R903" s="68"/>
      <c r="S903" s="68">
        <v>8</v>
      </c>
      <c r="T903" s="68">
        <v>234</v>
      </c>
      <c r="U903" s="68"/>
      <c r="V903" s="68">
        <v>1444</v>
      </c>
      <c r="W903" s="68">
        <v>0</v>
      </c>
      <c r="X903" s="111"/>
      <c r="Y903" s="82"/>
      <c r="Z903" s="142"/>
      <c r="AA903" s="374"/>
      <c r="AB903" s="55"/>
      <c r="AC903" s="100">
        <f t="shared" si="369"/>
        <v>0.16204986149584488</v>
      </c>
      <c r="AD903" s="111">
        <f t="shared" si="370"/>
        <v>184832</v>
      </c>
      <c r="AG903" s="236"/>
    </row>
    <row r="904" spans="1:33" x14ac:dyDescent="0.2">
      <c r="AG904" s="236"/>
    </row>
  </sheetData>
  <pageMargins left="0.31" right="0.3" top="0.37" bottom="0.31" header="0.39" footer="0.32"/>
  <pageSetup scale="52" fitToHeight="8" orientation="portrait" r:id="rId1"/>
  <headerFooter alignWithMargins="0"/>
  <rowBreaks count="7" manualBreakCount="7">
    <brk id="130" min="1" max="32" man="1"/>
    <brk id="183" min="1" max="32" man="1"/>
    <brk id="399" min="1" max="32" man="1"/>
    <brk id="416" min="1" max="32" man="1"/>
    <brk id="546" min="1" max="32" man="1"/>
    <brk id="621" min="1" max="32" man="1"/>
    <brk id="844" min="1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0"/>
  <sheetViews>
    <sheetView tabSelected="1" zoomScaleNormal="100" workbookViewId="0">
      <pane ySplit="2" topLeftCell="A3" activePane="bottomLeft" state="frozenSplit"/>
      <selection activeCell="G1" sqref="G1"/>
      <selection pane="bottomLeft" activeCell="AI355" sqref="AI355"/>
    </sheetView>
  </sheetViews>
  <sheetFormatPr defaultRowHeight="12.75" x14ac:dyDescent="0.2"/>
  <cols>
    <col min="1" max="1" width="6.140625" customWidth="1"/>
    <col min="2" max="4" width="2.85546875" customWidth="1"/>
    <col min="5" max="5" width="13.5703125" customWidth="1"/>
    <col min="6" max="6" width="11.7109375" style="1" customWidth="1"/>
    <col min="7" max="7" width="6.5703125" style="4" customWidth="1"/>
    <col min="8" max="8" width="5.28515625" style="5" customWidth="1"/>
    <col min="9" max="9" width="5.5703125" style="5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6" style="58" customWidth="1"/>
    <col min="15" max="15" width="4.85546875" style="58" hidden="1" customWidth="1"/>
    <col min="16" max="16" width="3" style="58" customWidth="1"/>
    <col min="17" max="17" width="6" style="58" customWidth="1"/>
    <col min="18" max="18" width="3.140625" style="58" customWidth="1"/>
    <col min="19" max="19" width="4.140625" style="58" customWidth="1"/>
    <col min="20" max="20" width="5.7109375" style="58" customWidth="1"/>
    <col min="21" max="21" width="6.5703125" style="58" customWidth="1"/>
    <col min="22" max="22" width="6.85546875" style="58" customWidth="1"/>
    <col min="23" max="23" width="5.7109375" style="58" customWidth="1"/>
    <col min="24" max="24" width="7.5703125" style="58" customWidth="1"/>
    <col min="25" max="25" width="7.28515625" style="78" customWidth="1"/>
    <col min="26" max="27" width="5.85546875" style="52" customWidth="1"/>
    <col min="28" max="28" width="5.140625" style="52" hidden="1" customWidth="1"/>
    <col min="29" max="29" width="5.140625" style="96" customWidth="1"/>
    <col min="30" max="30" width="7.85546875" style="58" customWidth="1"/>
    <col min="31" max="31" width="5.42578125" customWidth="1"/>
    <col min="32" max="32" width="5.7109375" customWidth="1"/>
    <col min="33" max="33" width="31.5703125" style="6" customWidth="1"/>
    <col min="35" max="35" width="9.5703125" bestFit="1" customWidth="1"/>
  </cols>
  <sheetData>
    <row r="1" spans="1:33" ht="19.5" customHeight="1" thickBot="1" x14ac:dyDescent="0.35">
      <c r="G1" s="2" t="s">
        <v>2643</v>
      </c>
      <c r="H1" s="121"/>
      <c r="I1" s="121"/>
      <c r="J1" s="3"/>
    </row>
    <row r="2" spans="1:33" s="1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7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243" t="s">
        <v>990</v>
      </c>
      <c r="M2" s="59" t="s">
        <v>991</v>
      </c>
      <c r="N2" s="59" t="s">
        <v>824</v>
      </c>
      <c r="O2" s="59" t="s">
        <v>7</v>
      </c>
      <c r="P2" s="59" t="s">
        <v>8</v>
      </c>
      <c r="Q2" s="59" t="s">
        <v>9</v>
      </c>
      <c r="R2" s="59" t="s">
        <v>435</v>
      </c>
      <c r="S2" s="59" t="s">
        <v>10</v>
      </c>
      <c r="T2" s="59" t="s">
        <v>11</v>
      </c>
      <c r="U2" s="59" t="s">
        <v>12</v>
      </c>
      <c r="V2" s="59" t="s">
        <v>13</v>
      </c>
      <c r="W2" s="59" t="s">
        <v>14</v>
      </c>
      <c r="X2" s="59" t="s">
        <v>15</v>
      </c>
      <c r="Y2" s="79" t="s">
        <v>16</v>
      </c>
      <c r="Z2" s="90" t="s">
        <v>17</v>
      </c>
      <c r="AA2" s="369" t="s">
        <v>822</v>
      </c>
      <c r="AB2" s="91" t="s">
        <v>18</v>
      </c>
      <c r="AC2" s="97" t="s">
        <v>19</v>
      </c>
      <c r="AD2" s="108" t="s">
        <v>315</v>
      </c>
      <c r="AE2" s="7" t="s">
        <v>652</v>
      </c>
      <c r="AF2" s="8" t="s">
        <v>651</v>
      </c>
      <c r="AG2" s="11"/>
    </row>
    <row r="3" spans="1:33" ht="4.5" customHeight="1" thickBot="1" x14ac:dyDescent="0.25"/>
    <row r="4" spans="1:33" x14ac:dyDescent="0.2">
      <c r="A4" s="221"/>
      <c r="B4" s="48" t="s">
        <v>717</v>
      </c>
      <c r="C4" s="226"/>
      <c r="D4" s="212"/>
      <c r="E4" s="12" t="s">
        <v>20</v>
      </c>
      <c r="F4" s="13"/>
      <c r="G4" s="14" t="s">
        <v>21</v>
      </c>
      <c r="H4" s="123"/>
      <c r="I4" s="161"/>
      <c r="J4" s="1578"/>
      <c r="K4" s="1583" t="s">
        <v>22</v>
      </c>
      <c r="L4" s="248" t="s">
        <v>23</v>
      </c>
      <c r="M4" s="60"/>
      <c r="N4" s="380">
        <f>AVERAGE(N5:N9)</f>
        <v>67.191962131623143</v>
      </c>
      <c r="O4" s="61"/>
      <c r="P4" s="61"/>
      <c r="Q4" s="61"/>
      <c r="R4" s="61"/>
      <c r="S4" s="61"/>
      <c r="T4" s="61"/>
      <c r="U4" s="61"/>
      <c r="V4" s="62" t="s">
        <v>24</v>
      </c>
      <c r="W4" s="61"/>
      <c r="X4" s="63" t="s">
        <v>25</v>
      </c>
      <c r="Y4" s="80"/>
      <c r="Z4" s="206"/>
      <c r="AA4" s="377"/>
      <c r="AB4" s="92">
        <f>AVERAGE(AB5:AB9)</f>
        <v>148</v>
      </c>
      <c r="AC4" s="98">
        <f>AVERAGE(AC5:AC9)</f>
        <v>9.6710256410256399</v>
      </c>
      <c r="AD4" s="109"/>
      <c r="AG4" s="236"/>
    </row>
    <row r="5" spans="1:33" ht="12.75" customHeight="1" x14ac:dyDescent="0.2">
      <c r="A5" s="182" t="s">
        <v>26</v>
      </c>
      <c r="B5" s="17"/>
      <c r="C5" s="227"/>
      <c r="D5" s="213"/>
      <c r="E5" s="118" t="s">
        <v>27</v>
      </c>
      <c r="F5" s="18" t="s">
        <v>28</v>
      </c>
      <c r="G5" s="19">
        <v>20</v>
      </c>
      <c r="H5" s="124"/>
      <c r="I5" s="162"/>
      <c r="J5" s="1580" t="s">
        <v>29</v>
      </c>
      <c r="K5" s="1581">
        <v>74</v>
      </c>
      <c r="L5" s="249">
        <v>1200</v>
      </c>
      <c r="M5" s="245">
        <v>1200</v>
      </c>
      <c r="N5" s="65">
        <f t="shared" ref="N5:N9" si="0">IF(AND(G5&lt;&gt;"",M5&lt;&gt;""),M5/G5,"")</f>
        <v>60</v>
      </c>
      <c r="O5" s="65">
        <f t="shared" ref="O5:O9" si="1">IF(AND(G5&lt;&gt;"",L5&lt;&gt;""),L5/G5,"")</f>
        <v>60</v>
      </c>
      <c r="P5" s="65"/>
      <c r="Q5" s="65"/>
      <c r="R5" s="65"/>
      <c r="S5" s="65"/>
      <c r="T5" s="65">
        <v>128</v>
      </c>
      <c r="U5" s="65"/>
      <c r="V5" s="65">
        <v>12</v>
      </c>
      <c r="W5" s="65"/>
      <c r="X5" s="66">
        <f t="shared" ref="X5:X9" si="2">L5/10</f>
        <v>120</v>
      </c>
      <c r="Y5" s="81"/>
      <c r="Z5" s="390"/>
      <c r="AA5" s="378"/>
      <c r="AB5" s="54">
        <f t="shared" ref="AB5:AB9" si="3">L5/V5</f>
        <v>100</v>
      </c>
      <c r="AC5" s="99">
        <f t="shared" ref="AC5:AC9" si="4">T5/V5</f>
        <v>10.666666666666666</v>
      </c>
      <c r="AD5" s="110">
        <f t="shared" ref="AD5:AD9" si="5">128*16*V5</f>
        <v>24576</v>
      </c>
      <c r="AG5" s="236"/>
    </row>
    <row r="6" spans="1:33" ht="12.75" customHeight="1" x14ac:dyDescent="0.2">
      <c r="A6" s="182" t="s">
        <v>26</v>
      </c>
      <c r="B6" s="17"/>
      <c r="C6" s="227"/>
      <c r="D6" s="213"/>
      <c r="E6" s="118" t="s">
        <v>30</v>
      </c>
      <c r="F6" s="18" t="s">
        <v>28</v>
      </c>
      <c r="G6" s="19">
        <v>37</v>
      </c>
      <c r="H6" s="124"/>
      <c r="I6" s="162"/>
      <c r="J6" s="1580" t="s">
        <v>31</v>
      </c>
      <c r="K6" s="1581">
        <v>138</v>
      </c>
      <c r="L6" s="249">
        <v>2560</v>
      </c>
      <c r="M6" s="245">
        <v>2560</v>
      </c>
      <c r="N6" s="65">
        <f t="shared" si="0"/>
        <v>69.189189189189193</v>
      </c>
      <c r="O6" s="65">
        <f t="shared" si="1"/>
        <v>69.189189189189193</v>
      </c>
      <c r="P6" s="65"/>
      <c r="Q6" s="65"/>
      <c r="R6" s="65"/>
      <c r="S6" s="65"/>
      <c r="T6" s="65">
        <v>204</v>
      </c>
      <c r="U6" s="65"/>
      <c r="V6" s="65">
        <v>16</v>
      </c>
      <c r="W6" s="65"/>
      <c r="X6" s="66">
        <f t="shared" si="2"/>
        <v>256</v>
      </c>
      <c r="Y6" s="81"/>
      <c r="Z6" s="390"/>
      <c r="AA6" s="378"/>
      <c r="AB6" s="54">
        <f t="shared" si="3"/>
        <v>160</v>
      </c>
      <c r="AC6" s="99">
        <f t="shared" si="4"/>
        <v>12.75</v>
      </c>
      <c r="AD6" s="110">
        <f t="shared" si="5"/>
        <v>32768</v>
      </c>
      <c r="AG6" s="236"/>
    </row>
    <row r="7" spans="1:33" ht="12.75" customHeight="1" x14ac:dyDescent="0.2">
      <c r="A7" s="182" t="s">
        <v>26</v>
      </c>
      <c r="B7" s="17"/>
      <c r="C7" s="227"/>
      <c r="D7" s="213"/>
      <c r="E7" s="118" t="s">
        <v>32</v>
      </c>
      <c r="F7" s="18" t="s">
        <v>33</v>
      </c>
      <c r="G7" s="19">
        <v>50</v>
      </c>
      <c r="H7" s="124"/>
      <c r="I7" s="162"/>
      <c r="J7" s="1580" t="s">
        <v>34</v>
      </c>
      <c r="K7" s="1581">
        <v>190</v>
      </c>
      <c r="L7" s="249">
        <v>4160</v>
      </c>
      <c r="M7" s="245">
        <v>4160</v>
      </c>
      <c r="N7" s="65">
        <f t="shared" si="0"/>
        <v>83.2</v>
      </c>
      <c r="O7" s="65">
        <f t="shared" si="1"/>
        <v>83.2</v>
      </c>
      <c r="P7" s="65"/>
      <c r="Q7" s="65"/>
      <c r="R7" s="65"/>
      <c r="S7" s="65"/>
      <c r="T7" s="65">
        <v>252</v>
      </c>
      <c r="U7" s="65"/>
      <c r="V7" s="65">
        <v>26</v>
      </c>
      <c r="W7" s="65"/>
      <c r="X7" s="66">
        <f t="shared" si="2"/>
        <v>416</v>
      </c>
      <c r="Y7" s="81"/>
      <c r="Z7" s="390"/>
      <c r="AA7" s="378"/>
      <c r="AB7" s="54">
        <f t="shared" si="3"/>
        <v>160</v>
      </c>
      <c r="AC7" s="99">
        <f t="shared" si="4"/>
        <v>9.6923076923076916</v>
      </c>
      <c r="AD7" s="110">
        <f t="shared" si="5"/>
        <v>53248</v>
      </c>
      <c r="AG7" s="236"/>
    </row>
    <row r="8" spans="1:33" ht="12.75" customHeight="1" x14ac:dyDescent="0.2">
      <c r="A8" s="182" t="s">
        <v>26</v>
      </c>
      <c r="B8" s="17"/>
      <c r="C8" s="227"/>
      <c r="D8" s="213"/>
      <c r="E8" s="118" t="s">
        <v>35</v>
      </c>
      <c r="F8" s="18" t="s">
        <v>28</v>
      </c>
      <c r="G8" s="19">
        <v>118</v>
      </c>
      <c r="H8" s="124"/>
      <c r="I8" s="162"/>
      <c r="J8" s="1580" t="s">
        <v>36</v>
      </c>
      <c r="K8" s="1581">
        <v>274</v>
      </c>
      <c r="L8" s="249">
        <v>6400</v>
      </c>
      <c r="M8" s="245">
        <v>6400</v>
      </c>
      <c r="N8" s="65">
        <f t="shared" si="0"/>
        <v>54.237288135593218</v>
      </c>
      <c r="O8" s="65">
        <f t="shared" si="1"/>
        <v>54.237288135593218</v>
      </c>
      <c r="P8" s="65"/>
      <c r="Q8" s="65"/>
      <c r="R8" s="65"/>
      <c r="S8" s="65"/>
      <c r="T8" s="65">
        <v>316</v>
      </c>
      <c r="U8" s="65"/>
      <c r="V8" s="65">
        <v>40</v>
      </c>
      <c r="W8" s="65"/>
      <c r="X8" s="66">
        <f t="shared" si="2"/>
        <v>640</v>
      </c>
      <c r="Y8" s="81"/>
      <c r="Z8" s="390"/>
      <c r="AA8" s="378"/>
      <c r="AB8" s="54">
        <f t="shared" si="3"/>
        <v>160</v>
      </c>
      <c r="AC8" s="99">
        <f t="shared" si="4"/>
        <v>7.9</v>
      </c>
      <c r="AD8" s="110">
        <f t="shared" si="5"/>
        <v>81920</v>
      </c>
      <c r="AG8" s="236"/>
    </row>
    <row r="9" spans="1:33" ht="12.75" customHeight="1" thickBot="1" x14ac:dyDescent="0.25">
      <c r="A9" s="182" t="s">
        <v>26</v>
      </c>
      <c r="B9" s="17"/>
      <c r="C9" s="227"/>
      <c r="D9" s="213"/>
      <c r="E9" s="118" t="s">
        <v>37</v>
      </c>
      <c r="F9" s="18" t="s">
        <v>38</v>
      </c>
      <c r="G9" s="19">
        <v>120</v>
      </c>
      <c r="H9" s="124"/>
      <c r="I9" s="162"/>
      <c r="J9" s="1580" t="s">
        <v>39</v>
      </c>
      <c r="K9" s="1581">
        <v>560</v>
      </c>
      <c r="L9" s="249">
        <v>8320</v>
      </c>
      <c r="M9" s="245">
        <v>8320</v>
      </c>
      <c r="N9" s="65">
        <f t="shared" si="0"/>
        <v>69.333333333333329</v>
      </c>
      <c r="O9" s="65">
        <f t="shared" si="1"/>
        <v>69.333333333333329</v>
      </c>
      <c r="P9" s="65"/>
      <c r="Q9" s="65"/>
      <c r="R9" s="65"/>
      <c r="S9" s="65"/>
      <c r="T9" s="65">
        <v>382</v>
      </c>
      <c r="U9" s="65"/>
      <c r="V9" s="65">
        <v>52</v>
      </c>
      <c r="W9" s="65"/>
      <c r="X9" s="66">
        <f t="shared" si="2"/>
        <v>832</v>
      </c>
      <c r="Y9" s="81"/>
      <c r="Z9" s="390"/>
      <c r="AA9" s="378"/>
      <c r="AB9" s="54">
        <f t="shared" si="3"/>
        <v>160</v>
      </c>
      <c r="AC9" s="99">
        <f t="shared" si="4"/>
        <v>7.3461538461538458</v>
      </c>
      <c r="AD9" s="110">
        <f t="shared" si="5"/>
        <v>106496</v>
      </c>
      <c r="AG9" s="236"/>
    </row>
    <row r="10" spans="1:33" x14ac:dyDescent="0.2">
      <c r="A10" s="182"/>
      <c r="B10" s="48" t="s">
        <v>717</v>
      </c>
      <c r="C10" s="226"/>
      <c r="D10" s="212"/>
      <c r="E10" s="12" t="s">
        <v>64</v>
      </c>
      <c r="F10" s="466" t="s">
        <v>1013</v>
      </c>
      <c r="G10" s="14" t="s">
        <v>22</v>
      </c>
      <c r="H10" s="132" t="s">
        <v>525</v>
      </c>
      <c r="I10" s="161"/>
      <c r="J10" s="1582"/>
      <c r="K10" s="1583" t="s">
        <v>22</v>
      </c>
      <c r="L10" s="248" t="s">
        <v>23</v>
      </c>
      <c r="M10" s="60"/>
      <c r="N10" s="385">
        <f>AVERAGE(N11:N14)</f>
        <v>44.872557622557622</v>
      </c>
      <c r="O10" s="61"/>
      <c r="P10" s="61"/>
      <c r="Q10" s="61"/>
      <c r="R10" s="61"/>
      <c r="S10" s="61"/>
      <c r="T10" s="61"/>
      <c r="U10" s="61"/>
      <c r="V10" s="62"/>
      <c r="W10" s="61" t="s">
        <v>66</v>
      </c>
      <c r="X10" s="109" t="s">
        <v>25</v>
      </c>
      <c r="Y10" s="80" t="s">
        <v>65</v>
      </c>
      <c r="Z10" s="164"/>
      <c r="AA10" s="373"/>
      <c r="AB10" s="92"/>
      <c r="AC10" s="98"/>
      <c r="AD10" s="109" t="s">
        <v>66</v>
      </c>
      <c r="AG10" s="236"/>
    </row>
    <row r="11" spans="1:33" x14ac:dyDescent="0.2">
      <c r="A11" s="182" t="s">
        <v>26</v>
      </c>
      <c r="B11" s="41" t="s">
        <v>701</v>
      </c>
      <c r="C11" s="227"/>
      <c r="D11" s="213" t="s">
        <v>702</v>
      </c>
      <c r="E11" s="118" t="s">
        <v>541</v>
      </c>
      <c r="F11" s="18" t="s">
        <v>540</v>
      </c>
      <c r="G11" s="19">
        <v>6</v>
      </c>
      <c r="H11" s="124">
        <v>5</v>
      </c>
      <c r="I11" s="162">
        <v>80</v>
      </c>
      <c r="J11" s="1580" t="s">
        <v>67</v>
      </c>
      <c r="K11" s="1581">
        <v>11.9</v>
      </c>
      <c r="L11" s="451">
        <f>X11/100</f>
        <v>0.24</v>
      </c>
      <c r="M11" s="452">
        <f>L11</f>
        <v>0.24</v>
      </c>
      <c r="N11" s="65">
        <f>IF(AND(G11&lt;&gt;"",M11&lt;&gt;""),1000*M11/G11,"")</f>
        <v>40</v>
      </c>
      <c r="O11" s="65">
        <f>IF(AND(G11&lt;&gt;"",L11&lt;&gt;""),L11/G11,"")</f>
        <v>0.04</v>
      </c>
      <c r="P11" s="65"/>
      <c r="Q11" s="65"/>
      <c r="R11" s="65"/>
      <c r="S11" s="65"/>
      <c r="T11" s="65">
        <v>80</v>
      </c>
      <c r="U11" s="65"/>
      <c r="V11" s="65"/>
      <c r="W11" s="65"/>
      <c r="X11" s="110">
        <v>24</v>
      </c>
      <c r="Y11" s="81">
        <v>1.5</v>
      </c>
      <c r="Z11" s="141">
        <f>IF(AND(L11&lt;&gt;"",Y11&lt;&gt;""),1000*L11/Y11,"")</f>
        <v>160</v>
      </c>
      <c r="AA11" s="371"/>
      <c r="AB11" s="54"/>
      <c r="AC11" s="99"/>
      <c r="AD11" s="110">
        <v>8192</v>
      </c>
      <c r="AG11" s="236"/>
    </row>
    <row r="12" spans="1:33" x14ac:dyDescent="0.2">
      <c r="A12" s="182" t="s">
        <v>26</v>
      </c>
      <c r="B12" s="41" t="s">
        <v>701</v>
      </c>
      <c r="C12" s="227"/>
      <c r="D12" s="213" t="s">
        <v>702</v>
      </c>
      <c r="E12" s="118" t="s">
        <v>542</v>
      </c>
      <c r="F12" s="18" t="s">
        <v>68</v>
      </c>
      <c r="G12" s="19">
        <v>13.3</v>
      </c>
      <c r="H12" s="124">
        <v>6</v>
      </c>
      <c r="I12" s="162">
        <v>76</v>
      </c>
      <c r="J12" s="1580" t="s">
        <v>69</v>
      </c>
      <c r="K12" s="1581">
        <v>43.3</v>
      </c>
      <c r="L12" s="451">
        <f>X12/100</f>
        <v>0.56999999999999995</v>
      </c>
      <c r="M12" s="452">
        <f>L12</f>
        <v>0.56999999999999995</v>
      </c>
      <c r="N12" s="65">
        <f>IF(AND(G12&lt;&gt;"",M12&lt;&gt;""),1000*M12/G12,"")</f>
        <v>42.857142857142854</v>
      </c>
      <c r="O12" s="65">
        <f>IF(AND(G12&lt;&gt;"",L12&lt;&gt;""),L12/G12,"")</f>
        <v>4.2857142857142851E-2</v>
      </c>
      <c r="P12" s="65"/>
      <c r="Q12" s="65"/>
      <c r="R12" s="65"/>
      <c r="S12" s="65"/>
      <c r="T12" s="65">
        <v>160</v>
      </c>
      <c r="U12" s="65"/>
      <c r="V12" s="65"/>
      <c r="W12" s="65"/>
      <c r="X12" s="110">
        <v>57</v>
      </c>
      <c r="Y12" s="81">
        <v>2.2999999999999998</v>
      </c>
      <c r="Z12" s="141">
        <f>IF(AND(L12&lt;&gt;"",Y12&lt;&gt;""),1000*L12/Y12,"")</f>
        <v>247.82608695652175</v>
      </c>
      <c r="AA12" s="371"/>
      <c r="AB12" s="54"/>
      <c r="AC12" s="99"/>
      <c r="AD12" s="110">
        <v>8192</v>
      </c>
      <c r="AG12" s="236"/>
    </row>
    <row r="13" spans="1:33" x14ac:dyDescent="0.2">
      <c r="A13" s="182" t="s">
        <v>26</v>
      </c>
      <c r="B13" s="41" t="s">
        <v>701</v>
      </c>
      <c r="C13" s="227"/>
      <c r="D13" s="213" t="s">
        <v>702</v>
      </c>
      <c r="E13" s="118" t="s">
        <v>70</v>
      </c>
      <c r="F13" s="18" t="s">
        <v>71</v>
      </c>
      <c r="G13" s="19">
        <v>30</v>
      </c>
      <c r="H13" s="124">
        <v>11</v>
      </c>
      <c r="I13" s="162">
        <v>212</v>
      </c>
      <c r="J13" s="1580" t="s">
        <v>69</v>
      </c>
      <c r="K13" s="1581">
        <v>60</v>
      </c>
      <c r="L13" s="451">
        <f>X13/100</f>
        <v>1.27</v>
      </c>
      <c r="M13" s="452">
        <f>L13</f>
        <v>1.27</v>
      </c>
      <c r="N13" s="65">
        <f>IF(AND(G13&lt;&gt;"",M13&lt;&gt;""),1000*M13/G13,"")</f>
        <v>42.333333333333336</v>
      </c>
      <c r="O13" s="65">
        <f>IF(AND(G13&lt;&gt;"",L13&lt;&gt;""),L13/G13,"")</f>
        <v>4.2333333333333334E-2</v>
      </c>
      <c r="P13" s="65"/>
      <c r="Q13" s="65"/>
      <c r="R13" s="65"/>
      <c r="S13" s="65"/>
      <c r="T13" s="65">
        <v>212</v>
      </c>
      <c r="U13" s="65"/>
      <c r="V13" s="65"/>
      <c r="W13" s="65"/>
      <c r="X13" s="110">
        <v>127</v>
      </c>
      <c r="Y13" s="81">
        <v>4.25</v>
      </c>
      <c r="Z13" s="141">
        <f>IF(AND(L13&lt;&gt;"",Y13&lt;&gt;""),1000*L13/Y13,"")</f>
        <v>298.8235294117647</v>
      </c>
      <c r="AA13" s="371"/>
      <c r="AB13" s="54"/>
      <c r="AC13" s="99"/>
      <c r="AD13" s="110">
        <v>8192</v>
      </c>
      <c r="AG13" s="236"/>
    </row>
    <row r="14" spans="1:33" ht="13.5" thickBot="1" x14ac:dyDescent="0.25">
      <c r="A14" s="182" t="s">
        <v>26</v>
      </c>
      <c r="B14" s="33" t="s">
        <v>701</v>
      </c>
      <c r="C14" s="228"/>
      <c r="D14" s="213" t="s">
        <v>702</v>
      </c>
      <c r="E14" s="146" t="s">
        <v>72</v>
      </c>
      <c r="F14" s="22" t="s">
        <v>73</v>
      </c>
      <c r="G14" s="23">
        <v>40.700000000000003</v>
      </c>
      <c r="H14" s="125">
        <v>17</v>
      </c>
      <c r="I14" s="163">
        <v>204</v>
      </c>
      <c r="J14" s="1592" t="s">
        <v>74</v>
      </c>
      <c r="K14" s="1593">
        <v>92.8</v>
      </c>
      <c r="L14" s="451">
        <f>X14/100</f>
        <v>2.21</v>
      </c>
      <c r="M14" s="452">
        <f>L14</f>
        <v>2.21</v>
      </c>
      <c r="N14" s="65">
        <f>IF(AND(G14&lt;&gt;"",M14&lt;&gt;""),1000*M14/G14,"")</f>
        <v>54.299754299754298</v>
      </c>
      <c r="O14" s="68">
        <f>IF(AND(G14&lt;&gt;"",L14&lt;&gt;""),L14/G14,"")</f>
        <v>5.4299754299754296E-2</v>
      </c>
      <c r="P14" s="68"/>
      <c r="Q14" s="68"/>
      <c r="R14" s="68"/>
      <c r="S14" s="68"/>
      <c r="T14" s="68">
        <v>272</v>
      </c>
      <c r="U14" s="68"/>
      <c r="V14" s="68"/>
      <c r="W14" s="68"/>
      <c r="X14" s="111">
        <v>221</v>
      </c>
      <c r="Y14" s="82">
        <v>7</v>
      </c>
      <c r="Z14" s="141">
        <f>IF(AND(L14&lt;&gt;"",Y14&lt;&gt;""),1000*L14/Y14,"")</f>
        <v>315.71428571428572</v>
      </c>
      <c r="AA14" s="371"/>
      <c r="AB14" s="55"/>
      <c r="AC14" s="100"/>
      <c r="AD14" s="111">
        <v>8192</v>
      </c>
      <c r="AG14" s="236"/>
    </row>
    <row r="15" spans="1:33" x14ac:dyDescent="0.2">
      <c r="A15" s="182"/>
      <c r="B15" s="193"/>
      <c r="C15" s="226"/>
      <c r="D15" s="212"/>
      <c r="E15" s="12" t="s">
        <v>75</v>
      </c>
      <c r="F15" s="13"/>
      <c r="G15" s="14" t="s">
        <v>22</v>
      </c>
      <c r="H15" s="123"/>
      <c r="I15" s="161"/>
      <c r="J15" s="1578"/>
      <c r="K15" s="1583" t="s">
        <v>22</v>
      </c>
      <c r="L15" s="248" t="s">
        <v>23</v>
      </c>
      <c r="M15" s="61"/>
      <c r="N15" s="380">
        <f>AVERAGE(N16:N20)</f>
        <v>299.21237581250745</v>
      </c>
      <c r="O15" s="61"/>
      <c r="P15" s="61"/>
      <c r="Q15" s="61"/>
      <c r="R15" s="61"/>
      <c r="S15" s="61"/>
      <c r="T15" s="61"/>
      <c r="U15" s="61"/>
      <c r="V15" s="62" t="s">
        <v>76</v>
      </c>
      <c r="W15" s="61"/>
      <c r="X15" s="109" t="s">
        <v>25</v>
      </c>
      <c r="Y15" s="215" t="s">
        <v>65</v>
      </c>
      <c r="Z15" s="164"/>
      <c r="AA15" s="377"/>
      <c r="AB15" s="210">
        <v>260.70016968325791</v>
      </c>
      <c r="AC15" s="98">
        <v>8.8894937782805421</v>
      </c>
      <c r="AD15" s="109"/>
      <c r="AG15" s="236"/>
    </row>
    <row r="16" spans="1:33" x14ac:dyDescent="0.2">
      <c r="A16" s="182" t="s">
        <v>26</v>
      </c>
      <c r="B16" s="17"/>
      <c r="C16" s="227"/>
      <c r="D16" s="213"/>
      <c r="E16" s="118" t="s">
        <v>77</v>
      </c>
      <c r="F16" s="18" t="s">
        <v>78</v>
      </c>
      <c r="G16" s="19">
        <v>10.7</v>
      </c>
      <c r="H16" s="124"/>
      <c r="I16" s="162"/>
      <c r="J16" s="1580" t="s">
        <v>79</v>
      </c>
      <c r="K16" s="1581">
        <v>28.2</v>
      </c>
      <c r="L16" s="249">
        <v>2910</v>
      </c>
      <c r="M16" s="151">
        <v>2910</v>
      </c>
      <c r="N16" s="65">
        <f>IF(AND(G16&lt;&gt;"",M16&lt;&gt;""),M16/G16,"")</f>
        <v>271.96261682242994</v>
      </c>
      <c r="O16" s="65">
        <v>271.96261682242994</v>
      </c>
      <c r="P16" s="65"/>
      <c r="Q16" s="65"/>
      <c r="R16" s="65">
        <v>1</v>
      </c>
      <c r="S16" s="65"/>
      <c r="T16" s="65">
        <v>104</v>
      </c>
      <c r="U16" s="65"/>
      <c r="V16" s="65">
        <v>13</v>
      </c>
      <c r="W16" s="65"/>
      <c r="X16" s="110">
        <v>291</v>
      </c>
      <c r="Y16" s="216">
        <v>4</v>
      </c>
      <c r="Z16" s="141">
        <v>727.5</v>
      </c>
      <c r="AA16" s="378"/>
      <c r="AB16" s="211">
        <v>223.84615384615384</v>
      </c>
      <c r="AC16" s="99">
        <v>8</v>
      </c>
      <c r="AD16" s="110">
        <v>59904</v>
      </c>
      <c r="AG16" s="236"/>
    </row>
    <row r="17" spans="1:35" x14ac:dyDescent="0.2">
      <c r="A17" s="182" t="s">
        <v>26</v>
      </c>
      <c r="B17" s="17"/>
      <c r="C17" s="227"/>
      <c r="D17" s="213"/>
      <c r="E17" s="118" t="s">
        <v>80</v>
      </c>
      <c r="F17" s="18" t="s">
        <v>81</v>
      </c>
      <c r="G17" s="19">
        <v>19.2</v>
      </c>
      <c r="H17" s="124"/>
      <c r="I17" s="162"/>
      <c r="J17" s="1580" t="s">
        <v>82</v>
      </c>
      <c r="K17" s="1581">
        <v>42.2</v>
      </c>
      <c r="L17" s="249">
        <v>4000</v>
      </c>
      <c r="M17" s="151">
        <v>4000</v>
      </c>
      <c r="N17" s="65">
        <f>IF(AND(G17&lt;&gt;"",M17&lt;&gt;""),M17/G17,"")</f>
        <v>208.33333333333334</v>
      </c>
      <c r="O17" s="65">
        <v>208.33333333333334</v>
      </c>
      <c r="P17" s="65"/>
      <c r="Q17" s="65"/>
      <c r="R17" s="65">
        <v>2</v>
      </c>
      <c r="S17" s="65"/>
      <c r="T17" s="65">
        <v>301</v>
      </c>
      <c r="U17" s="65"/>
      <c r="V17" s="65">
        <v>17</v>
      </c>
      <c r="W17" s="65"/>
      <c r="X17" s="110">
        <v>400</v>
      </c>
      <c r="Y17" s="216">
        <v>7.5</v>
      </c>
      <c r="Z17" s="141">
        <v>533.33333333333337</v>
      </c>
      <c r="AA17" s="378"/>
      <c r="AB17" s="211">
        <v>235.29411764705881</v>
      </c>
      <c r="AC17" s="99">
        <v>17.705882352941178</v>
      </c>
      <c r="AD17" s="110">
        <v>78336</v>
      </c>
      <c r="AG17" s="236"/>
    </row>
    <row r="18" spans="1:35" x14ac:dyDescent="0.2">
      <c r="A18" s="182" t="s">
        <v>26</v>
      </c>
      <c r="B18" s="17"/>
      <c r="C18" s="227"/>
      <c r="D18" s="213"/>
      <c r="E18" s="118" t="s">
        <v>83</v>
      </c>
      <c r="F18" s="18" t="s">
        <v>84</v>
      </c>
      <c r="G18" s="19">
        <v>17.5</v>
      </c>
      <c r="H18" s="124"/>
      <c r="I18" s="162"/>
      <c r="J18" s="1580" t="s">
        <v>85</v>
      </c>
      <c r="K18" s="1581">
        <v>56.2</v>
      </c>
      <c r="L18" s="249">
        <v>5980</v>
      </c>
      <c r="M18" s="151">
        <v>5980</v>
      </c>
      <c r="N18" s="65">
        <f>IF(AND(G18&lt;&gt;"",M18&lt;&gt;""),M18/G18,"")</f>
        <v>341.71428571428572</v>
      </c>
      <c r="O18" s="65">
        <v>341.71428571428572</v>
      </c>
      <c r="P18" s="65"/>
      <c r="Q18" s="65"/>
      <c r="R18" s="65">
        <v>2</v>
      </c>
      <c r="S18" s="65"/>
      <c r="T18" s="65">
        <v>185</v>
      </c>
      <c r="U18" s="65"/>
      <c r="V18" s="65">
        <v>20</v>
      </c>
      <c r="W18" s="65"/>
      <c r="X18" s="110">
        <v>598</v>
      </c>
      <c r="Y18" s="216">
        <v>7.5</v>
      </c>
      <c r="Z18" s="141">
        <v>797.33333333333337</v>
      </c>
      <c r="AA18" s="378"/>
      <c r="AB18" s="211">
        <v>299</v>
      </c>
      <c r="AC18" s="99">
        <v>9.25</v>
      </c>
      <c r="AD18" s="110">
        <v>92160</v>
      </c>
      <c r="AG18" s="236"/>
    </row>
    <row r="19" spans="1:35" x14ac:dyDescent="0.2">
      <c r="A19" s="182" t="s">
        <v>26</v>
      </c>
      <c r="B19" s="17"/>
      <c r="C19" s="227"/>
      <c r="D19" s="213"/>
      <c r="E19" s="118" t="s">
        <v>86</v>
      </c>
      <c r="F19" s="18" t="s">
        <v>87</v>
      </c>
      <c r="G19" s="19">
        <v>35.5</v>
      </c>
      <c r="H19" s="124"/>
      <c r="I19" s="162"/>
      <c r="J19" s="1580" t="s">
        <v>88</v>
      </c>
      <c r="K19" s="1581">
        <v>102.4</v>
      </c>
      <c r="L19" s="249">
        <v>12060</v>
      </c>
      <c r="M19" s="151">
        <v>12060</v>
      </c>
      <c r="N19" s="65">
        <f>IF(AND(G19&lt;&gt;"",M19&lt;&gt;""),M19/G19,"")</f>
        <v>339.71830985915494</v>
      </c>
      <c r="O19" s="65">
        <v>339.71830985915494</v>
      </c>
      <c r="P19" s="65"/>
      <c r="Q19" s="65"/>
      <c r="R19" s="65">
        <v>2</v>
      </c>
      <c r="S19" s="65"/>
      <c r="T19" s="65">
        <v>249</v>
      </c>
      <c r="U19" s="65"/>
      <c r="V19" s="65">
        <v>52</v>
      </c>
      <c r="W19" s="65"/>
      <c r="X19" s="110">
        <v>1206</v>
      </c>
      <c r="Y19" s="216">
        <v>12</v>
      </c>
      <c r="Z19" s="141">
        <v>1005</v>
      </c>
      <c r="AA19" s="378"/>
      <c r="AB19" s="211">
        <v>231.92307692307693</v>
      </c>
      <c r="AC19" s="99">
        <v>4.7884615384615383</v>
      </c>
      <c r="AD19" s="110">
        <v>239616</v>
      </c>
      <c r="AG19" s="236"/>
    </row>
    <row r="20" spans="1:35" ht="13.5" thickBot="1" x14ac:dyDescent="0.25">
      <c r="A20" s="182" t="s">
        <v>26</v>
      </c>
      <c r="B20" s="21"/>
      <c r="C20" s="228"/>
      <c r="D20" s="214"/>
      <c r="E20" s="146" t="s">
        <v>89</v>
      </c>
      <c r="F20" s="22" t="s">
        <v>81</v>
      </c>
      <c r="G20" s="23">
        <v>60</v>
      </c>
      <c r="H20" s="125"/>
      <c r="I20" s="163"/>
      <c r="J20" s="1592" t="s">
        <v>90</v>
      </c>
      <c r="K20" s="1593">
        <v>170.6</v>
      </c>
      <c r="L20" s="250">
        <v>20060</v>
      </c>
      <c r="M20" s="152">
        <v>20060</v>
      </c>
      <c r="N20" s="65">
        <f>IF(AND(G20&lt;&gt;"",M20&lt;&gt;""),M20/G20,"")</f>
        <v>334.33333333333331</v>
      </c>
      <c r="O20" s="68">
        <v>334.33333333333331</v>
      </c>
      <c r="P20" s="68"/>
      <c r="Q20" s="68"/>
      <c r="R20" s="68">
        <v>2</v>
      </c>
      <c r="S20" s="68"/>
      <c r="T20" s="68">
        <v>301</v>
      </c>
      <c r="U20" s="68"/>
      <c r="V20" s="68">
        <v>64</v>
      </c>
      <c r="W20" s="68"/>
      <c r="X20" s="111">
        <v>2006</v>
      </c>
      <c r="Y20" s="217">
        <v>20</v>
      </c>
      <c r="Z20" s="142">
        <v>1003</v>
      </c>
      <c r="AA20" s="379"/>
      <c r="AB20" s="202">
        <v>313.4375</v>
      </c>
      <c r="AC20" s="100">
        <v>4.703125</v>
      </c>
      <c r="AD20" s="111">
        <v>294912</v>
      </c>
      <c r="AG20" s="236"/>
    </row>
    <row r="21" spans="1:35" ht="13.5" customHeight="1" x14ac:dyDescent="0.2">
      <c r="A21" s="182"/>
      <c r="B21" s="48" t="s">
        <v>717</v>
      </c>
      <c r="C21" s="226"/>
      <c r="D21" s="212"/>
      <c r="E21" s="12" t="s">
        <v>101</v>
      </c>
      <c r="F21" s="466" t="s">
        <v>1016</v>
      </c>
      <c r="G21" s="14" t="s">
        <v>22</v>
      </c>
      <c r="H21" s="123"/>
      <c r="I21" s="161"/>
      <c r="J21" s="1578" t="s">
        <v>102</v>
      </c>
      <c r="K21" s="1583" t="s">
        <v>22</v>
      </c>
      <c r="L21" s="248" t="s">
        <v>23</v>
      </c>
      <c r="M21" s="60"/>
      <c r="N21" s="380">
        <f>AVERAGE(N22:N22)</f>
        <v>103.1219512195122</v>
      </c>
      <c r="O21" s="61"/>
      <c r="P21" s="61"/>
      <c r="Q21" s="61" t="s">
        <v>1737</v>
      </c>
      <c r="R21" s="61"/>
      <c r="S21" s="61" t="s">
        <v>436</v>
      </c>
      <c r="T21" s="61"/>
      <c r="U21" s="61" t="s">
        <v>104</v>
      </c>
      <c r="V21" s="62" t="s">
        <v>76</v>
      </c>
      <c r="W21" s="61" t="s">
        <v>105</v>
      </c>
      <c r="X21" s="109" t="s">
        <v>25</v>
      </c>
      <c r="Y21" s="80"/>
      <c r="Z21" s="164"/>
      <c r="AA21" s="380">
        <f>AVERAGE(AA22:AA22)</f>
        <v>440.41666666666669</v>
      </c>
      <c r="AB21" s="397">
        <f>AVERAGE(AB22:AB22)</f>
        <v>0.35233333333333333</v>
      </c>
      <c r="AC21" s="907">
        <f>AVERAGE(AC22:AC22)</f>
        <v>7.0333333333333332</v>
      </c>
      <c r="AD21" s="109"/>
      <c r="AE21" s="193"/>
      <c r="AF21" s="196">
        <f>AVERAGE(AF22:AF22)</f>
        <v>35.261116367076632</v>
      </c>
      <c r="AG21" s="236"/>
    </row>
    <row r="22" spans="1:35" ht="13.5" thickBot="1" x14ac:dyDescent="0.25">
      <c r="A22" s="182" t="s">
        <v>26</v>
      </c>
      <c r="B22" s="17"/>
      <c r="C22" s="227"/>
      <c r="D22" s="213"/>
      <c r="E22" s="190" t="s">
        <v>106</v>
      </c>
      <c r="F22" s="30" t="s">
        <v>580</v>
      </c>
      <c r="G22" s="31">
        <v>205</v>
      </c>
      <c r="H22" s="126">
        <v>23</v>
      </c>
      <c r="I22" s="166">
        <v>335</v>
      </c>
      <c r="J22" s="1595" t="s">
        <v>107</v>
      </c>
      <c r="K22" s="1596">
        <v>517.5</v>
      </c>
      <c r="L22" s="456">
        <f t="shared" ref="L22" si="6">20*X22/1000</f>
        <v>21.14</v>
      </c>
      <c r="M22" s="457">
        <f t="shared" ref="M22" si="7">20*X22/1000</f>
        <v>21.14</v>
      </c>
      <c r="N22" s="65">
        <f>IF(AND(G22&lt;&gt;"",M22&lt;&gt;""),1000*M22/G22,"")</f>
        <v>103.1219512195122</v>
      </c>
      <c r="O22" s="71">
        <f t="shared" ref="O22" si="8">IF(AND(G22&lt;&gt;"",L22&lt;&gt;""),L22/G22,"")</f>
        <v>0.1031219512195122</v>
      </c>
      <c r="P22" s="71"/>
      <c r="Q22" s="71">
        <v>24</v>
      </c>
      <c r="R22" s="71">
        <v>6</v>
      </c>
      <c r="S22" s="71"/>
      <c r="T22" s="71">
        <v>422</v>
      </c>
      <c r="U22" s="71">
        <v>94</v>
      </c>
      <c r="V22" s="71">
        <v>60</v>
      </c>
      <c r="W22" s="71">
        <v>1</v>
      </c>
      <c r="X22" s="388">
        <v>1057</v>
      </c>
      <c r="Y22" s="83"/>
      <c r="Z22" s="172"/>
      <c r="AA22" s="371">
        <f t="shared" ref="AA22" si="9">500*M22/Q22</f>
        <v>440.41666666666669</v>
      </c>
      <c r="AB22" s="56">
        <f t="shared" ref="AB22" si="10">L22/V22</f>
        <v>0.35233333333333333</v>
      </c>
      <c r="AC22" s="298">
        <f t="shared" ref="AC22" si="11">T22/V22</f>
        <v>7.0333333333333332</v>
      </c>
      <c r="AD22" s="194">
        <f t="shared" ref="AD22" si="12">(32*18*U22+128*36*V22+4096*144*W22)/1000000</f>
        <v>0.92044800000000004</v>
      </c>
      <c r="AE22" s="264">
        <v>3.53464</v>
      </c>
      <c r="AF22" s="198">
        <f t="shared" ref="AF22" si="13">(AE22*1000000-V22*36*256)/(4000*L22)</f>
        <v>35.261116367076632</v>
      </c>
      <c r="AG22" s="236"/>
    </row>
    <row r="23" spans="1:35" x14ac:dyDescent="0.2">
      <c r="A23" s="182"/>
      <c r="B23" s="48" t="s">
        <v>717</v>
      </c>
      <c r="C23" s="226"/>
      <c r="D23" s="212"/>
      <c r="E23" s="12" t="s">
        <v>91</v>
      </c>
      <c r="F23" s="466" t="s">
        <v>1015</v>
      </c>
      <c r="G23" s="14" t="s">
        <v>22</v>
      </c>
      <c r="H23" s="123"/>
      <c r="I23" s="161"/>
      <c r="J23" s="1578" t="s">
        <v>512</v>
      </c>
      <c r="K23" s="1583" t="s">
        <v>22</v>
      </c>
      <c r="L23" s="248" t="s">
        <v>23</v>
      </c>
      <c r="M23" s="60"/>
      <c r="N23" s="380">
        <f>AVERAGE(N24:N30)</f>
        <v>366.34462697306219</v>
      </c>
      <c r="O23" s="61"/>
      <c r="P23" s="61"/>
      <c r="Q23" s="61" t="s">
        <v>92</v>
      </c>
      <c r="R23" s="61"/>
      <c r="S23" s="61"/>
      <c r="T23" s="61"/>
      <c r="U23" s="61"/>
      <c r="V23" s="62" t="s">
        <v>76</v>
      </c>
      <c r="W23" s="61"/>
      <c r="X23" s="109" t="s">
        <v>93</v>
      </c>
      <c r="Y23" s="80"/>
      <c r="Z23" s="164"/>
      <c r="AA23" s="372">
        <f>AVERAGE(AA24:AA30)</f>
        <v>583.24591483820723</v>
      </c>
      <c r="AB23" s="92">
        <f>AVERAGE(AB24:AB30)</f>
        <v>289.5317743784455</v>
      </c>
      <c r="AC23" s="1452">
        <f>AVERAGE(AC24:AC30)</f>
        <v>4.821149266385147</v>
      </c>
      <c r="AD23" s="109" t="s">
        <v>650</v>
      </c>
      <c r="AG23" s="236"/>
    </row>
    <row r="24" spans="1:35" x14ac:dyDescent="0.2">
      <c r="A24" s="182" t="s">
        <v>94</v>
      </c>
      <c r="B24" s="17"/>
      <c r="C24" s="227"/>
      <c r="D24" s="213"/>
      <c r="E24" s="118" t="s">
        <v>95</v>
      </c>
      <c r="F24" s="18" t="s">
        <v>84</v>
      </c>
      <c r="G24" s="19">
        <v>12.8</v>
      </c>
      <c r="H24" s="124"/>
      <c r="I24" s="162"/>
      <c r="J24" s="1580" t="s">
        <v>340</v>
      </c>
      <c r="K24" s="1581">
        <v>22.4</v>
      </c>
      <c r="L24" s="249">
        <v>4608</v>
      </c>
      <c r="M24" s="151">
        <v>4608</v>
      </c>
      <c r="N24" s="65">
        <f t="shared" ref="N24:N30" si="14">IF(AND(G24&lt;&gt;"",M24&lt;&gt;""),M24/G24,"")</f>
        <v>360</v>
      </c>
      <c r="O24" s="65">
        <f t="shared" ref="O24:O30" si="15">IF(AND(G24&lt;&gt;"",L24&lt;&gt;""),L24/G24,"")</f>
        <v>360</v>
      </c>
      <c r="P24" s="65"/>
      <c r="Q24" s="65">
        <v>13</v>
      </c>
      <c r="R24" s="65">
        <v>2</v>
      </c>
      <c r="S24" s="65"/>
      <c r="T24" s="65">
        <v>158</v>
      </c>
      <c r="U24" s="65"/>
      <c r="V24" s="65">
        <v>26</v>
      </c>
      <c r="W24" s="65"/>
      <c r="X24" s="110">
        <f t="shared" ref="X24:X30" si="16">L24/16</f>
        <v>288</v>
      </c>
      <c r="Y24" s="81"/>
      <c r="Z24" s="141" t="str">
        <f t="shared" ref="Z24:Z30" si="17">IF(AND(L24&lt;&gt;"",Y24&lt;&gt;""),L24/Y24,"")</f>
        <v/>
      </c>
      <c r="AA24" s="371">
        <f t="shared" ref="AA24:AA30" si="18">M24/Q24</f>
        <v>354.46153846153845</v>
      </c>
      <c r="AB24" s="54">
        <f t="shared" ref="AB24:AB30" si="19">L24/V24</f>
        <v>177.23076923076923</v>
      </c>
      <c r="AC24" s="281">
        <f t="shared" ref="AC24:AC30" si="20">T24/V24</f>
        <v>6.0769230769230766</v>
      </c>
      <c r="AD24" s="191">
        <f t="shared" ref="AD24:AD30" si="21">128*36*V24/1000000</f>
        <v>0.119808</v>
      </c>
      <c r="AG24" s="236"/>
      <c r="AI24" s="461"/>
    </row>
    <row r="25" spans="1:35" x14ac:dyDescent="0.2">
      <c r="A25" s="182" t="s">
        <v>94</v>
      </c>
      <c r="B25" s="17"/>
      <c r="C25" s="227"/>
      <c r="D25" s="213"/>
      <c r="E25" s="118" t="s">
        <v>96</v>
      </c>
      <c r="F25" s="18" t="s">
        <v>84</v>
      </c>
      <c r="G25" s="19">
        <v>19.2</v>
      </c>
      <c r="H25" s="124"/>
      <c r="I25" s="162"/>
      <c r="J25" s="1580" t="s">
        <v>85</v>
      </c>
      <c r="K25" s="1581">
        <v>35.200000000000003</v>
      </c>
      <c r="L25" s="249">
        <v>8256</v>
      </c>
      <c r="M25" s="151">
        <v>8256</v>
      </c>
      <c r="N25" s="65">
        <f t="shared" si="14"/>
        <v>430</v>
      </c>
      <c r="O25" s="65">
        <f t="shared" si="15"/>
        <v>430</v>
      </c>
      <c r="P25" s="65"/>
      <c r="Q25" s="65">
        <v>18</v>
      </c>
      <c r="R25" s="65">
        <v>2</v>
      </c>
      <c r="S25" s="65"/>
      <c r="T25" s="65">
        <v>182</v>
      </c>
      <c r="U25" s="65"/>
      <c r="V25" s="65">
        <v>36</v>
      </c>
      <c r="W25" s="65"/>
      <c r="X25" s="110">
        <f t="shared" si="16"/>
        <v>516</v>
      </c>
      <c r="Y25" s="81"/>
      <c r="Z25" s="141" t="str">
        <f t="shared" si="17"/>
        <v/>
      </c>
      <c r="AA25" s="371">
        <f t="shared" si="18"/>
        <v>458.66666666666669</v>
      </c>
      <c r="AB25" s="54">
        <f t="shared" si="19"/>
        <v>229.33333333333334</v>
      </c>
      <c r="AC25" s="281">
        <f t="shared" si="20"/>
        <v>5.0555555555555554</v>
      </c>
      <c r="AD25" s="191">
        <f t="shared" si="21"/>
        <v>0.16588800000000001</v>
      </c>
      <c r="AG25" s="236"/>
    </row>
    <row r="26" spans="1:35" x14ac:dyDescent="0.2">
      <c r="A26" s="523" t="s">
        <v>740</v>
      </c>
      <c r="B26" s="17"/>
      <c r="C26" s="227"/>
      <c r="D26" s="213"/>
      <c r="E26" s="134" t="s">
        <v>1550</v>
      </c>
      <c r="F26" s="18" t="s">
        <v>339</v>
      </c>
      <c r="G26" s="19">
        <v>39.9</v>
      </c>
      <c r="H26" s="124">
        <v>17</v>
      </c>
      <c r="I26" s="162">
        <v>152</v>
      </c>
      <c r="J26" s="1580"/>
      <c r="K26" s="1581"/>
      <c r="L26" s="249">
        <v>14448</v>
      </c>
      <c r="M26" s="245">
        <v>14448</v>
      </c>
      <c r="N26" s="65">
        <f t="shared" si="14"/>
        <v>362.10526315789474</v>
      </c>
      <c r="O26" s="65">
        <f t="shared" si="15"/>
        <v>362.10526315789474</v>
      </c>
      <c r="P26" s="65"/>
      <c r="Q26" s="65">
        <v>26</v>
      </c>
      <c r="R26" s="65">
        <v>4</v>
      </c>
      <c r="S26" s="65"/>
      <c r="T26" s="65">
        <v>315</v>
      </c>
      <c r="U26" s="65"/>
      <c r="V26" s="65">
        <v>52</v>
      </c>
      <c r="W26" s="65"/>
      <c r="X26" s="110">
        <f t="shared" si="16"/>
        <v>903</v>
      </c>
      <c r="Y26" s="81"/>
      <c r="Z26" s="141"/>
      <c r="AA26" s="371">
        <f t="shared" si="18"/>
        <v>555.69230769230774</v>
      </c>
      <c r="AB26" s="54">
        <f t="shared" si="19"/>
        <v>277.84615384615387</v>
      </c>
      <c r="AC26" s="281">
        <f t="shared" si="20"/>
        <v>6.0576923076923075</v>
      </c>
      <c r="AD26" s="191">
        <f t="shared" si="21"/>
        <v>0.239616</v>
      </c>
      <c r="AG26" s="236"/>
    </row>
    <row r="27" spans="1:35" x14ac:dyDescent="0.2">
      <c r="A27" s="182" t="s">
        <v>94</v>
      </c>
      <c r="B27" s="17"/>
      <c r="C27" s="227"/>
      <c r="D27" s="213"/>
      <c r="E27" s="118" t="s">
        <v>97</v>
      </c>
      <c r="F27" s="18" t="s">
        <v>339</v>
      </c>
      <c r="G27" s="19">
        <v>42.7</v>
      </c>
      <c r="H27" s="124"/>
      <c r="I27" s="162"/>
      <c r="J27" s="1580" t="s">
        <v>341</v>
      </c>
      <c r="K27" s="1581">
        <v>70.400000000000006</v>
      </c>
      <c r="L27" s="249">
        <v>18752</v>
      </c>
      <c r="M27" s="151">
        <v>18752</v>
      </c>
      <c r="N27" s="65">
        <f t="shared" si="14"/>
        <v>439.15690866510533</v>
      </c>
      <c r="O27" s="65">
        <f t="shared" si="15"/>
        <v>439.15690866510533</v>
      </c>
      <c r="P27" s="65"/>
      <c r="Q27" s="65">
        <v>26</v>
      </c>
      <c r="R27" s="65">
        <v>4</v>
      </c>
      <c r="S27" s="65"/>
      <c r="T27" s="65">
        <v>315</v>
      </c>
      <c r="U27" s="65"/>
      <c r="V27" s="65">
        <v>52</v>
      </c>
      <c r="W27" s="65"/>
      <c r="X27" s="110">
        <f t="shared" si="16"/>
        <v>1172</v>
      </c>
      <c r="Y27" s="81"/>
      <c r="Z27" s="141" t="str">
        <f t="shared" si="17"/>
        <v/>
      </c>
      <c r="AA27" s="371">
        <f t="shared" si="18"/>
        <v>721.23076923076928</v>
      </c>
      <c r="AB27" s="54">
        <f t="shared" si="19"/>
        <v>360.61538461538464</v>
      </c>
      <c r="AC27" s="281">
        <f t="shared" si="20"/>
        <v>6.0576923076923075</v>
      </c>
      <c r="AD27" s="191">
        <f t="shared" si="21"/>
        <v>0.239616</v>
      </c>
      <c r="AG27" s="6" t="s">
        <v>789</v>
      </c>
    </row>
    <row r="28" spans="1:35" x14ac:dyDescent="0.2">
      <c r="A28" s="182" t="s">
        <v>94</v>
      </c>
      <c r="B28" s="17"/>
      <c r="C28" s="227"/>
      <c r="D28" s="213"/>
      <c r="E28" s="118" t="s">
        <v>98</v>
      </c>
      <c r="F28" s="18" t="s">
        <v>352</v>
      </c>
      <c r="G28" s="19">
        <v>90.7</v>
      </c>
      <c r="H28" s="124"/>
      <c r="I28" s="162"/>
      <c r="J28" s="1580" t="s">
        <v>353</v>
      </c>
      <c r="K28" s="1581">
        <v>124.7</v>
      </c>
      <c r="L28" s="249">
        <v>33216</v>
      </c>
      <c r="M28" s="151">
        <v>33216</v>
      </c>
      <c r="N28" s="65">
        <f t="shared" si="14"/>
        <v>366.21830209481806</v>
      </c>
      <c r="O28" s="65">
        <f t="shared" si="15"/>
        <v>366.21830209481806</v>
      </c>
      <c r="P28" s="65"/>
      <c r="Q28" s="65">
        <v>35</v>
      </c>
      <c r="R28" s="65">
        <v>4</v>
      </c>
      <c r="S28" s="65"/>
      <c r="T28" s="65">
        <v>475</v>
      </c>
      <c r="U28" s="65"/>
      <c r="V28" s="65">
        <v>105</v>
      </c>
      <c r="W28" s="65"/>
      <c r="X28" s="110">
        <f t="shared" si="16"/>
        <v>2076</v>
      </c>
      <c r="Y28" s="81">
        <v>22</v>
      </c>
      <c r="Z28" s="141">
        <f t="shared" si="17"/>
        <v>1509.8181818181818</v>
      </c>
      <c r="AA28" s="371">
        <f t="shared" si="18"/>
        <v>949.02857142857147</v>
      </c>
      <c r="AB28" s="54">
        <f t="shared" si="19"/>
        <v>316.34285714285716</v>
      </c>
      <c r="AC28" s="281">
        <f t="shared" si="20"/>
        <v>4.5238095238095237</v>
      </c>
      <c r="AD28" s="191">
        <f t="shared" si="21"/>
        <v>0.48383999999999999</v>
      </c>
    </row>
    <row r="29" spans="1:35" x14ac:dyDescent="0.2">
      <c r="A29" s="182" t="s">
        <v>94</v>
      </c>
      <c r="B29" s="17"/>
      <c r="C29" s="227"/>
      <c r="D29" s="213"/>
      <c r="E29" s="118" t="s">
        <v>99</v>
      </c>
      <c r="F29" s="18" t="s">
        <v>354</v>
      </c>
      <c r="G29" s="19">
        <v>160</v>
      </c>
      <c r="H29" s="124"/>
      <c r="I29" s="162"/>
      <c r="J29" s="1580" t="s">
        <v>342</v>
      </c>
      <c r="K29" s="1581">
        <v>256</v>
      </c>
      <c r="L29" s="249">
        <v>50528</v>
      </c>
      <c r="M29" s="151">
        <v>50528</v>
      </c>
      <c r="N29" s="65">
        <f t="shared" si="14"/>
        <v>315.8</v>
      </c>
      <c r="O29" s="65">
        <f t="shared" si="15"/>
        <v>315.8</v>
      </c>
      <c r="P29" s="65"/>
      <c r="Q29" s="65">
        <v>86</v>
      </c>
      <c r="R29" s="65">
        <v>4</v>
      </c>
      <c r="S29" s="65"/>
      <c r="T29" s="65">
        <v>450</v>
      </c>
      <c r="U29" s="65"/>
      <c r="V29" s="65">
        <v>129</v>
      </c>
      <c r="W29" s="65"/>
      <c r="X29" s="110">
        <f t="shared" si="16"/>
        <v>3158</v>
      </c>
      <c r="Y29" s="81"/>
      <c r="Z29" s="141" t="str">
        <f t="shared" si="17"/>
        <v/>
      </c>
      <c r="AA29" s="371">
        <f t="shared" si="18"/>
        <v>587.53488372093022</v>
      </c>
      <c r="AB29" s="54">
        <f t="shared" si="19"/>
        <v>391.68992248062017</v>
      </c>
      <c r="AC29" s="281">
        <f t="shared" si="20"/>
        <v>3.4883720930232558</v>
      </c>
      <c r="AD29" s="191">
        <f t="shared" si="21"/>
        <v>0.59443199999999996</v>
      </c>
    </row>
    <row r="30" spans="1:35" ht="13.5" thickBot="1" x14ac:dyDescent="0.25">
      <c r="A30" s="182" t="s">
        <v>94</v>
      </c>
      <c r="B30" s="21"/>
      <c r="C30" s="228"/>
      <c r="D30" s="214"/>
      <c r="E30" s="146" t="s">
        <v>100</v>
      </c>
      <c r="F30" s="22" t="s">
        <v>116</v>
      </c>
      <c r="G30" s="23">
        <v>235</v>
      </c>
      <c r="H30" s="125"/>
      <c r="I30" s="163"/>
      <c r="J30" s="1592" t="s">
        <v>343</v>
      </c>
      <c r="K30" s="1593">
        <v>384</v>
      </c>
      <c r="L30" s="250">
        <v>68416</v>
      </c>
      <c r="M30" s="152">
        <v>68416</v>
      </c>
      <c r="N30" s="65">
        <f t="shared" si="14"/>
        <v>291.13191489361702</v>
      </c>
      <c r="O30" s="68">
        <f t="shared" si="15"/>
        <v>291.13191489361702</v>
      </c>
      <c r="P30" s="68"/>
      <c r="Q30" s="68">
        <v>150</v>
      </c>
      <c r="R30" s="68">
        <v>4</v>
      </c>
      <c r="S30" s="68"/>
      <c r="T30" s="68">
        <v>622</v>
      </c>
      <c r="U30" s="68"/>
      <c r="V30" s="68">
        <v>250</v>
      </c>
      <c r="W30" s="68"/>
      <c r="X30" s="111">
        <f t="shared" si="16"/>
        <v>4276</v>
      </c>
      <c r="Y30" s="82"/>
      <c r="Z30" s="142" t="str">
        <f t="shared" si="17"/>
        <v/>
      </c>
      <c r="AA30" s="371">
        <f t="shared" si="18"/>
        <v>456.10666666666668</v>
      </c>
      <c r="AB30" s="55">
        <f t="shared" si="19"/>
        <v>273.66399999999999</v>
      </c>
      <c r="AC30" s="294">
        <f t="shared" si="20"/>
        <v>2.488</v>
      </c>
      <c r="AD30" s="191">
        <f t="shared" si="21"/>
        <v>1.1519999999999999</v>
      </c>
    </row>
    <row r="31" spans="1:35" ht="13.5" customHeight="1" x14ac:dyDescent="0.2">
      <c r="A31" s="182"/>
      <c r="B31" s="48" t="s">
        <v>717</v>
      </c>
      <c r="C31" s="226"/>
      <c r="D31" s="212"/>
      <c r="E31" s="12" t="s">
        <v>147</v>
      </c>
      <c r="F31" s="466" t="s">
        <v>1015</v>
      </c>
      <c r="G31" s="14" t="s">
        <v>22</v>
      </c>
      <c r="H31" s="132" t="s">
        <v>512</v>
      </c>
      <c r="I31" s="161"/>
      <c r="J31" s="1578"/>
      <c r="K31" s="1583" t="s">
        <v>22</v>
      </c>
      <c r="L31" s="248" t="s">
        <v>148</v>
      </c>
      <c r="M31" s="384" t="s">
        <v>149</v>
      </c>
      <c r="N31" s="380">
        <f>AVERAGE(N32:N32)</f>
        <v>82.10526315789474</v>
      </c>
      <c r="O31" s="60"/>
      <c r="P31" s="61"/>
      <c r="Q31" s="61" t="s">
        <v>1737</v>
      </c>
      <c r="R31" s="61"/>
      <c r="S31" s="61" t="s">
        <v>437</v>
      </c>
      <c r="T31" s="61"/>
      <c r="U31" s="61" t="s">
        <v>104</v>
      </c>
      <c r="V31" s="62" t="s">
        <v>76</v>
      </c>
      <c r="W31" s="61" t="s">
        <v>105</v>
      </c>
      <c r="X31" s="109" t="s">
        <v>93</v>
      </c>
      <c r="Y31" s="80"/>
      <c r="Z31" s="164"/>
      <c r="AA31" s="370">
        <f>AVERAGE(AA32:AA32)</f>
        <v>162.5</v>
      </c>
      <c r="AB31" s="92">
        <f>AVERAGE(AB32:AB32)</f>
        <v>160</v>
      </c>
      <c r="AC31" s="1452">
        <f>AVERAGE(AC32:AC32)</f>
        <v>4.6794871794871797</v>
      </c>
      <c r="AD31" s="109" t="s">
        <v>650</v>
      </c>
      <c r="AE31" s="193"/>
      <c r="AF31" s="196">
        <f>AVERAGE(AF32:AF32)</f>
        <v>54.886564102564101</v>
      </c>
      <c r="AG31" s="236"/>
    </row>
    <row r="32" spans="1:35" ht="13.5" thickBot="1" x14ac:dyDescent="0.25">
      <c r="A32" s="182" t="s">
        <v>26</v>
      </c>
      <c r="B32" s="17"/>
      <c r="C32" s="227"/>
      <c r="D32" s="213" t="s">
        <v>704</v>
      </c>
      <c r="E32" s="118" t="s">
        <v>150</v>
      </c>
      <c r="F32" s="18" t="s">
        <v>594</v>
      </c>
      <c r="G32" s="19">
        <v>190</v>
      </c>
      <c r="H32" s="124">
        <v>23</v>
      </c>
      <c r="I32" s="162">
        <v>342</v>
      </c>
      <c r="J32" s="1580" t="s">
        <v>152</v>
      </c>
      <c r="K32" s="1581">
        <v>340</v>
      </c>
      <c r="L32" s="456">
        <f t="shared" ref="L32" si="22">20*X32/1000</f>
        <v>15.6</v>
      </c>
      <c r="M32" s="457">
        <f t="shared" ref="M32" si="23">20*X32/1000</f>
        <v>15.6</v>
      </c>
      <c r="N32" s="65">
        <f t="shared" ref="N32" si="24">IF(AND(G32&lt;&gt;"",M32&lt;&gt;""),1000*M32/G32,"")</f>
        <v>82.10526315789474</v>
      </c>
      <c r="O32" s="65">
        <v>65.684210526315795</v>
      </c>
      <c r="P32" s="65"/>
      <c r="Q32" s="65">
        <v>48</v>
      </c>
      <c r="R32" s="65">
        <v>6</v>
      </c>
      <c r="S32" s="65"/>
      <c r="T32" s="65">
        <v>365</v>
      </c>
      <c r="U32" s="65">
        <v>104</v>
      </c>
      <c r="V32" s="65">
        <v>78</v>
      </c>
      <c r="W32" s="65">
        <v>0</v>
      </c>
      <c r="X32" s="110">
        <v>780</v>
      </c>
      <c r="Y32" s="81"/>
      <c r="Z32" s="141"/>
      <c r="AA32" s="371">
        <f t="shared" ref="AA32" si="25">500*M32/Q32</f>
        <v>162.5</v>
      </c>
      <c r="AB32" s="54">
        <v>160</v>
      </c>
      <c r="AC32" s="281">
        <v>4.6794871794871797</v>
      </c>
      <c r="AD32" s="191">
        <f t="shared" ref="AD32" si="26">(32*18*U32+128*36*V32+4096*144*W32)/1000000</f>
        <v>0.41932799999999998</v>
      </c>
      <c r="AE32" s="17">
        <v>5</v>
      </c>
      <c r="AF32" s="198">
        <f t="shared" ref="AF32" si="27">(AE32*1000000-V32*36*256)/(5000*L32)</f>
        <v>54.886564102564101</v>
      </c>
      <c r="AG32" s="236"/>
    </row>
    <row r="33" spans="1:33" x14ac:dyDescent="0.2">
      <c r="A33" s="182"/>
      <c r="B33" s="48" t="s">
        <v>717</v>
      </c>
      <c r="C33" s="226"/>
      <c r="D33" s="212"/>
      <c r="E33" s="12" t="s">
        <v>485</v>
      </c>
      <c r="F33" s="466" t="s">
        <v>1012</v>
      </c>
      <c r="G33" s="14" t="s">
        <v>22</v>
      </c>
      <c r="H33" s="132" t="s">
        <v>528</v>
      </c>
      <c r="I33" s="161"/>
      <c r="J33" s="1578"/>
      <c r="K33" s="1583" t="s">
        <v>22</v>
      </c>
      <c r="L33" s="248" t="s">
        <v>23</v>
      </c>
      <c r="M33" s="60"/>
      <c r="N33" s="380">
        <f>AVERAGE(N34:N39)</f>
        <v>503.50799617789289</v>
      </c>
      <c r="O33" s="61"/>
      <c r="P33" s="61"/>
      <c r="Q33" s="61" t="s">
        <v>1737</v>
      </c>
      <c r="R33" s="61"/>
      <c r="S33" s="61"/>
      <c r="T33" s="61"/>
      <c r="U33" s="61"/>
      <c r="V33" s="62" t="s">
        <v>157</v>
      </c>
      <c r="W33" s="61"/>
      <c r="X33" s="109" t="s">
        <v>93</v>
      </c>
      <c r="Y33" s="80"/>
      <c r="Z33" s="164"/>
      <c r="AA33" s="372">
        <f>AVERAGE(AA34:AA39)</f>
        <v>332.09512709512705</v>
      </c>
      <c r="AB33" s="92">
        <f>AVERAGE(AB34:AB39)</f>
        <v>0.25222504162504161</v>
      </c>
      <c r="AC33" s="1452">
        <f>AVERAGE(AC34:AC39)</f>
        <v>3.8408704017399669</v>
      </c>
      <c r="AD33" s="522" t="s">
        <v>650</v>
      </c>
      <c r="AE33" s="201"/>
      <c r="AF33" s="196">
        <f>AVERAGE(AF34:AF41)</f>
        <v>59.910418374077423</v>
      </c>
    </row>
    <row r="34" spans="1:33" x14ac:dyDescent="0.2">
      <c r="A34" s="182" t="s">
        <v>94</v>
      </c>
      <c r="B34" s="17"/>
      <c r="C34" s="227"/>
      <c r="D34" s="213"/>
      <c r="E34" s="118" t="s">
        <v>486</v>
      </c>
      <c r="F34" s="18" t="s">
        <v>546</v>
      </c>
      <c r="G34" s="19">
        <v>12.8</v>
      </c>
      <c r="H34" s="124">
        <v>8</v>
      </c>
      <c r="I34" s="162">
        <v>106</v>
      </c>
      <c r="J34" s="1580"/>
      <c r="K34" s="1581"/>
      <c r="L34" s="451">
        <v>5.1360000000000001</v>
      </c>
      <c r="M34" s="452">
        <v>5.1360000000000001</v>
      </c>
      <c r="N34" s="65">
        <f t="shared" ref="N34:N41" si="28">IF(AND(G34&lt;&gt;"",M34&lt;&gt;""),1000*M34/G34,"")</f>
        <v>401.25</v>
      </c>
      <c r="O34" s="65">
        <f t="shared" ref="O34:O41" si="29">IF(AND(G34&lt;&gt;"",L34&lt;&gt;""),L34/G34,"")</f>
        <v>0.40125</v>
      </c>
      <c r="P34" s="65"/>
      <c r="Q34" s="65">
        <v>23</v>
      </c>
      <c r="R34" s="65">
        <v>2</v>
      </c>
      <c r="S34" s="65"/>
      <c r="T34" s="65">
        <v>182</v>
      </c>
      <c r="U34" s="65"/>
      <c r="V34" s="65">
        <v>46</v>
      </c>
      <c r="W34" s="65"/>
      <c r="X34" s="110">
        <f t="shared" ref="X34:X41" si="30">1000*L34/16</f>
        <v>321</v>
      </c>
      <c r="Y34" s="81">
        <v>4</v>
      </c>
      <c r="Z34" s="141">
        <f t="shared" ref="Z34:Z41" si="31">IF(AND(L34&lt;&gt;"",Y34&lt;&gt;""),1000*L34/Y34,"")</f>
        <v>1284</v>
      </c>
      <c r="AA34" s="371">
        <f t="shared" ref="AA34:AA41" si="32">1000*M34/Q34</f>
        <v>223.30434782608697</v>
      </c>
      <c r="AB34" s="54">
        <f t="shared" ref="AB34:AB41" si="33">L34/V34</f>
        <v>0.11165217391304348</v>
      </c>
      <c r="AC34" s="281">
        <f t="shared" ref="AC34:AC41" si="34">T34/V34</f>
        <v>3.9565217391304346</v>
      </c>
      <c r="AD34" s="191">
        <f t="shared" ref="AD34:AD41" si="35">256*36*V34/1000000</f>
        <v>0.42393599999999998</v>
      </c>
      <c r="AE34" s="197">
        <v>2.8</v>
      </c>
      <c r="AF34" s="198">
        <f t="shared" ref="AF34:AF41" si="36">(AE34*1000000-V34*36*256)/(4000*L34)</f>
        <v>115.65732087227414</v>
      </c>
    </row>
    <row r="35" spans="1:33" x14ac:dyDescent="0.2">
      <c r="A35" s="182" t="s">
        <v>94</v>
      </c>
      <c r="B35" s="17"/>
      <c r="C35" s="227"/>
      <c r="D35" s="213"/>
      <c r="E35" s="118" t="s">
        <v>487</v>
      </c>
      <c r="F35" s="18" t="s">
        <v>546</v>
      </c>
      <c r="G35" s="19">
        <v>19.2</v>
      </c>
      <c r="H35" s="124">
        <v>8</v>
      </c>
      <c r="I35" s="162">
        <v>106</v>
      </c>
      <c r="J35" s="1580"/>
      <c r="K35" s="1581"/>
      <c r="L35" s="451">
        <v>10.32</v>
      </c>
      <c r="M35" s="452">
        <v>10.32</v>
      </c>
      <c r="N35" s="65">
        <f t="shared" si="28"/>
        <v>537.5</v>
      </c>
      <c r="O35" s="65">
        <f t="shared" si="29"/>
        <v>0.53750000000000009</v>
      </c>
      <c r="P35" s="65"/>
      <c r="Q35" s="65">
        <v>23</v>
      </c>
      <c r="R35" s="65">
        <v>2</v>
      </c>
      <c r="S35" s="65"/>
      <c r="T35" s="65">
        <v>182</v>
      </c>
      <c r="U35" s="65"/>
      <c r="V35" s="65">
        <v>46</v>
      </c>
      <c r="W35" s="65"/>
      <c r="X35" s="110">
        <f t="shared" si="30"/>
        <v>645</v>
      </c>
      <c r="Y35" s="81">
        <v>5</v>
      </c>
      <c r="Z35" s="141">
        <f t="shared" si="31"/>
        <v>2064</v>
      </c>
      <c r="AA35" s="371">
        <f t="shared" si="32"/>
        <v>448.69565217391306</v>
      </c>
      <c r="AB35" s="54">
        <f t="shared" si="33"/>
        <v>0.22434782608695653</v>
      </c>
      <c r="AC35" s="281">
        <f t="shared" si="34"/>
        <v>3.9565217391304346</v>
      </c>
      <c r="AD35" s="191">
        <f t="shared" si="35"/>
        <v>0.42393599999999998</v>
      </c>
      <c r="AE35" s="197">
        <v>2.8</v>
      </c>
      <c r="AF35" s="198">
        <f t="shared" si="36"/>
        <v>57.559689922480622</v>
      </c>
    </row>
    <row r="36" spans="1:33" x14ac:dyDescent="0.2">
      <c r="A36" s="182" t="s">
        <v>94</v>
      </c>
      <c r="B36" s="17"/>
      <c r="C36" s="227"/>
      <c r="D36" s="213"/>
      <c r="E36" s="118" t="s">
        <v>488</v>
      </c>
      <c r="F36" s="18" t="s">
        <v>546</v>
      </c>
      <c r="G36" s="19">
        <v>26.7</v>
      </c>
      <c r="H36" s="124">
        <v>8</v>
      </c>
      <c r="I36" s="162">
        <v>92</v>
      </c>
      <c r="J36" s="1580"/>
      <c r="K36" s="1581"/>
      <c r="L36" s="451">
        <v>15.407999999999999</v>
      </c>
      <c r="M36" s="452">
        <v>15.407999999999999</v>
      </c>
      <c r="N36" s="65">
        <f t="shared" si="28"/>
        <v>577.07865168539331</v>
      </c>
      <c r="O36" s="65">
        <f t="shared" si="29"/>
        <v>0.5770786516853933</v>
      </c>
      <c r="P36" s="65"/>
      <c r="Q36" s="65">
        <v>56</v>
      </c>
      <c r="R36" s="65">
        <v>4</v>
      </c>
      <c r="S36" s="65"/>
      <c r="T36" s="65">
        <v>346</v>
      </c>
      <c r="U36" s="65"/>
      <c r="V36" s="65">
        <v>56</v>
      </c>
      <c r="W36" s="65"/>
      <c r="X36" s="110">
        <f t="shared" si="30"/>
        <v>963</v>
      </c>
      <c r="Y36" s="81"/>
      <c r="Z36" s="141" t="str">
        <f t="shared" si="31"/>
        <v/>
      </c>
      <c r="AA36" s="371">
        <f t="shared" si="32"/>
        <v>275.14285714285717</v>
      </c>
      <c r="AB36" s="54">
        <f t="shared" si="33"/>
        <v>0.27514285714285713</v>
      </c>
      <c r="AC36" s="281">
        <f t="shared" si="34"/>
        <v>6.1785714285714288</v>
      </c>
      <c r="AD36" s="191">
        <f t="shared" si="35"/>
        <v>0.516096</v>
      </c>
      <c r="AE36" s="197">
        <v>3.9</v>
      </c>
      <c r="AF36" s="198">
        <f t="shared" si="36"/>
        <v>54.904984423676012</v>
      </c>
    </row>
    <row r="37" spans="1:33" x14ac:dyDescent="0.2">
      <c r="A37" s="182" t="s">
        <v>94</v>
      </c>
      <c r="B37" s="17"/>
      <c r="C37" s="227"/>
      <c r="D37" s="213"/>
      <c r="E37" s="118" t="s">
        <v>489</v>
      </c>
      <c r="F37" s="18" t="s">
        <v>494</v>
      </c>
      <c r="G37" s="19">
        <v>39.5</v>
      </c>
      <c r="H37" s="124">
        <v>14</v>
      </c>
      <c r="I37" s="162">
        <v>156</v>
      </c>
      <c r="J37" s="1580" t="s">
        <v>495</v>
      </c>
      <c r="K37" s="1581">
        <v>58.7</v>
      </c>
      <c r="L37" s="451">
        <v>24.623999999999999</v>
      </c>
      <c r="M37" s="452">
        <v>24.623999999999999</v>
      </c>
      <c r="N37" s="65">
        <f t="shared" si="28"/>
        <v>623.39240506329111</v>
      </c>
      <c r="O37" s="65">
        <f t="shared" si="29"/>
        <v>0.62339240506329108</v>
      </c>
      <c r="P37" s="65"/>
      <c r="Q37" s="65">
        <v>66</v>
      </c>
      <c r="R37" s="65">
        <v>4</v>
      </c>
      <c r="S37" s="65"/>
      <c r="T37" s="65">
        <v>215</v>
      </c>
      <c r="U37" s="65"/>
      <c r="V37" s="65">
        <v>66</v>
      </c>
      <c r="W37" s="65"/>
      <c r="X37" s="110">
        <f t="shared" si="30"/>
        <v>1539</v>
      </c>
      <c r="Y37" s="81"/>
      <c r="Z37" s="141" t="str">
        <f t="shared" si="31"/>
        <v/>
      </c>
      <c r="AA37" s="371">
        <f t="shared" si="32"/>
        <v>373.09090909090907</v>
      </c>
      <c r="AB37" s="54">
        <f t="shared" si="33"/>
        <v>0.37309090909090908</v>
      </c>
      <c r="AC37" s="281">
        <f t="shared" si="34"/>
        <v>3.2575757575757578</v>
      </c>
      <c r="AD37" s="191">
        <f t="shared" si="35"/>
        <v>0.60825600000000002</v>
      </c>
      <c r="AE37" s="197">
        <v>5.5</v>
      </c>
      <c r="AF37" s="198">
        <f t="shared" si="36"/>
        <v>49.664392462638077</v>
      </c>
      <c r="AG37" s="6" t="s">
        <v>790</v>
      </c>
    </row>
    <row r="38" spans="1:33" x14ac:dyDescent="0.2">
      <c r="A38" s="182" t="s">
        <v>94</v>
      </c>
      <c r="B38" s="17"/>
      <c r="C38" s="227"/>
      <c r="D38" s="213"/>
      <c r="E38" s="118" t="s">
        <v>490</v>
      </c>
      <c r="F38" s="18" t="s">
        <v>81</v>
      </c>
      <c r="G38" s="19">
        <v>81.3</v>
      </c>
      <c r="H38" s="124">
        <v>19</v>
      </c>
      <c r="I38" s="162">
        <v>215</v>
      </c>
      <c r="J38" s="1580"/>
      <c r="K38" s="1581"/>
      <c r="L38" s="451">
        <v>39.6</v>
      </c>
      <c r="M38" s="452">
        <v>39.6</v>
      </c>
      <c r="N38" s="65">
        <f t="shared" si="28"/>
        <v>487.08487084870848</v>
      </c>
      <c r="O38" s="65">
        <f t="shared" si="29"/>
        <v>0.4870848708487085</v>
      </c>
      <c r="P38" s="65"/>
      <c r="Q38" s="65">
        <v>126</v>
      </c>
      <c r="R38" s="65">
        <v>4</v>
      </c>
      <c r="S38" s="65"/>
      <c r="T38" s="65">
        <v>535</v>
      </c>
      <c r="U38" s="65"/>
      <c r="V38" s="65">
        <v>126</v>
      </c>
      <c r="W38" s="65"/>
      <c r="X38" s="110">
        <f t="shared" si="30"/>
        <v>2475</v>
      </c>
      <c r="Y38" s="81"/>
      <c r="Z38" s="141" t="str">
        <f t="shared" si="31"/>
        <v/>
      </c>
      <c r="AA38" s="371">
        <f t="shared" si="32"/>
        <v>314.28571428571428</v>
      </c>
      <c r="AB38" s="54">
        <f t="shared" si="33"/>
        <v>0.31428571428571428</v>
      </c>
      <c r="AC38" s="281">
        <f t="shared" si="34"/>
        <v>4.246031746031746</v>
      </c>
      <c r="AD38" s="191">
        <f t="shared" si="35"/>
        <v>1.161216</v>
      </c>
      <c r="AE38" s="197">
        <v>9.1</v>
      </c>
      <c r="AF38" s="198">
        <f t="shared" si="36"/>
        <v>50.11858585858586</v>
      </c>
      <c r="AG38" s="236"/>
    </row>
    <row r="39" spans="1:33" x14ac:dyDescent="0.2">
      <c r="A39" s="182" t="s">
        <v>94</v>
      </c>
      <c r="B39" s="17"/>
      <c r="C39" s="227"/>
      <c r="D39" s="213"/>
      <c r="E39" s="118" t="s">
        <v>491</v>
      </c>
      <c r="F39" s="18" t="s">
        <v>354</v>
      </c>
      <c r="G39" s="19">
        <v>141.5</v>
      </c>
      <c r="H39" s="124">
        <v>19</v>
      </c>
      <c r="I39" s="162">
        <v>195</v>
      </c>
      <c r="J39" s="1580"/>
      <c r="K39" s="1581"/>
      <c r="L39" s="451">
        <v>55.856000000000002</v>
      </c>
      <c r="M39" s="452">
        <v>55.856000000000002</v>
      </c>
      <c r="N39" s="65">
        <f t="shared" si="28"/>
        <v>394.74204946996468</v>
      </c>
      <c r="O39" s="65">
        <f t="shared" si="29"/>
        <v>0.39474204946996466</v>
      </c>
      <c r="P39" s="65"/>
      <c r="Q39" s="65">
        <v>156</v>
      </c>
      <c r="R39" s="65">
        <v>4</v>
      </c>
      <c r="S39" s="65"/>
      <c r="T39" s="65">
        <v>377</v>
      </c>
      <c r="U39" s="65"/>
      <c r="V39" s="65">
        <v>260</v>
      </c>
      <c r="W39" s="65"/>
      <c r="X39" s="110">
        <f t="shared" si="30"/>
        <v>3491</v>
      </c>
      <c r="Y39" s="81"/>
      <c r="Z39" s="141" t="str">
        <f t="shared" si="31"/>
        <v/>
      </c>
      <c r="AA39" s="371">
        <f t="shared" si="32"/>
        <v>358.05128205128204</v>
      </c>
      <c r="AB39" s="54">
        <f t="shared" si="33"/>
        <v>0.21483076923076924</v>
      </c>
      <c r="AC39" s="281">
        <f t="shared" si="34"/>
        <v>1.45</v>
      </c>
      <c r="AD39" s="191">
        <f t="shared" si="35"/>
        <v>2.3961600000000001</v>
      </c>
      <c r="AE39" s="197">
        <v>14.2</v>
      </c>
      <c r="AF39" s="198">
        <f t="shared" si="36"/>
        <v>52.831566886279006</v>
      </c>
      <c r="AG39" s="236"/>
    </row>
    <row r="40" spans="1:33" x14ac:dyDescent="0.2">
      <c r="A40" s="182" t="s">
        <v>94</v>
      </c>
      <c r="B40" s="17"/>
      <c r="C40" s="227"/>
      <c r="D40" s="213"/>
      <c r="E40" s="118" t="s">
        <v>492</v>
      </c>
      <c r="F40" s="18" t="s">
        <v>122</v>
      </c>
      <c r="G40" s="19">
        <v>245.7</v>
      </c>
      <c r="H40" s="124">
        <v>19</v>
      </c>
      <c r="I40" s="162">
        <v>295</v>
      </c>
      <c r="J40" s="1580"/>
      <c r="K40" s="1581"/>
      <c r="L40" s="451">
        <v>81.263999999999996</v>
      </c>
      <c r="M40" s="452">
        <v>81.263999999999996</v>
      </c>
      <c r="N40" s="65">
        <f t="shared" si="28"/>
        <v>330.74481074481076</v>
      </c>
      <c r="O40" s="65">
        <f t="shared" si="29"/>
        <v>0.33074481074481077</v>
      </c>
      <c r="P40" s="65"/>
      <c r="Q40" s="65">
        <v>244</v>
      </c>
      <c r="R40" s="65">
        <v>4</v>
      </c>
      <c r="S40" s="65"/>
      <c r="T40" s="65">
        <v>429</v>
      </c>
      <c r="U40" s="65"/>
      <c r="V40" s="65">
        <v>305</v>
      </c>
      <c r="W40" s="65"/>
      <c r="X40" s="110">
        <f t="shared" si="30"/>
        <v>5079</v>
      </c>
      <c r="Y40" s="81"/>
      <c r="Z40" s="141" t="str">
        <f t="shared" si="31"/>
        <v/>
      </c>
      <c r="AA40" s="371">
        <f t="shared" si="32"/>
        <v>333.04918032786884</v>
      </c>
      <c r="AB40" s="54">
        <f t="shared" si="33"/>
        <v>0.26643934426229504</v>
      </c>
      <c r="AC40" s="281">
        <f t="shared" si="34"/>
        <v>1.4065573770491804</v>
      </c>
      <c r="AD40" s="191">
        <f t="shared" si="35"/>
        <v>2.81088</v>
      </c>
      <c r="AE40" s="197">
        <v>19</v>
      </c>
      <c r="AF40" s="198">
        <f t="shared" si="36"/>
        <v>49.804095294349281</v>
      </c>
      <c r="AG40" s="236"/>
    </row>
    <row r="41" spans="1:33" ht="13.5" thickBot="1" x14ac:dyDescent="0.25">
      <c r="A41" s="182" t="s">
        <v>94</v>
      </c>
      <c r="B41" s="21"/>
      <c r="C41" s="228"/>
      <c r="D41" s="214"/>
      <c r="E41" s="146" t="s">
        <v>493</v>
      </c>
      <c r="F41" s="22" t="s">
        <v>496</v>
      </c>
      <c r="G41" s="23">
        <v>387</v>
      </c>
      <c r="H41" s="125">
        <v>23</v>
      </c>
      <c r="I41" s="163">
        <v>283</v>
      </c>
      <c r="J41" s="1592" t="s">
        <v>497</v>
      </c>
      <c r="K41" s="1593">
        <v>387</v>
      </c>
      <c r="L41" s="453">
        <v>119.08799999999999</v>
      </c>
      <c r="M41" s="454">
        <v>119.08799999999999</v>
      </c>
      <c r="N41" s="65">
        <f t="shared" si="28"/>
        <v>307.72093023255815</v>
      </c>
      <c r="O41" s="68">
        <f t="shared" si="29"/>
        <v>0.30772093023255814</v>
      </c>
      <c r="P41" s="68"/>
      <c r="Q41" s="68">
        <v>288</v>
      </c>
      <c r="R41" s="68">
        <v>4</v>
      </c>
      <c r="S41" s="68"/>
      <c r="T41" s="68">
        <v>531</v>
      </c>
      <c r="U41" s="68"/>
      <c r="V41" s="68">
        <v>432</v>
      </c>
      <c r="W41" s="68"/>
      <c r="X41" s="110">
        <f t="shared" si="30"/>
        <v>7443</v>
      </c>
      <c r="Y41" s="82"/>
      <c r="Z41" s="141" t="str">
        <f t="shared" si="31"/>
        <v/>
      </c>
      <c r="AA41" s="371">
        <f t="shared" si="32"/>
        <v>413.5</v>
      </c>
      <c r="AB41" s="55">
        <f t="shared" si="33"/>
        <v>0.27566666666666667</v>
      </c>
      <c r="AC41" s="294">
        <f t="shared" si="34"/>
        <v>1.2291666666666667</v>
      </c>
      <c r="AD41" s="191">
        <f t="shared" si="35"/>
        <v>3.981312</v>
      </c>
      <c r="AE41" s="199">
        <v>27.2</v>
      </c>
      <c r="AF41" s="198">
        <f t="shared" si="36"/>
        <v>48.742711272336422</v>
      </c>
      <c r="AG41" s="236"/>
    </row>
    <row r="42" spans="1:33" ht="13.5" customHeight="1" thickBot="1" x14ac:dyDescent="0.25">
      <c r="A42" s="182"/>
      <c r="B42" s="48" t="s">
        <v>717</v>
      </c>
      <c r="C42" s="226"/>
      <c r="D42" s="212"/>
      <c r="E42" s="12" t="s">
        <v>505</v>
      </c>
      <c r="F42" s="13"/>
      <c r="G42" s="14" t="s">
        <v>22</v>
      </c>
      <c r="H42" s="132" t="s">
        <v>512</v>
      </c>
      <c r="I42" s="161"/>
      <c r="J42" s="1597"/>
      <c r="K42" s="1598" t="s">
        <v>22</v>
      </c>
      <c r="L42" s="248" t="s">
        <v>148</v>
      </c>
      <c r="M42" s="61" t="s">
        <v>149</v>
      </c>
      <c r="N42" s="61"/>
      <c r="O42" s="61"/>
      <c r="P42" s="61"/>
      <c r="Q42" s="61" t="s">
        <v>1737</v>
      </c>
      <c r="R42" s="61"/>
      <c r="S42" s="61" t="s">
        <v>506</v>
      </c>
      <c r="T42" s="61"/>
      <c r="U42" s="61" t="s">
        <v>104</v>
      </c>
      <c r="V42" s="62" t="s">
        <v>76</v>
      </c>
      <c r="W42" s="61" t="s">
        <v>105</v>
      </c>
      <c r="X42" s="109" t="s">
        <v>93</v>
      </c>
      <c r="Y42" s="215"/>
      <c r="Z42" s="164"/>
      <c r="AA42" s="380">
        <f>AVERAGE(AA43:AA47)</f>
        <v>208.20192057942057</v>
      </c>
      <c r="AB42" s="210">
        <f>AVERAGE(AB43:AB47)</f>
        <v>87.489977450045245</v>
      </c>
      <c r="AC42" s="1452">
        <f>AVERAGE(AC43:AC47)</f>
        <v>2.1668388552040323</v>
      </c>
      <c r="AD42" s="109" t="s">
        <v>650</v>
      </c>
      <c r="AE42" s="193"/>
      <c r="AF42" s="212"/>
      <c r="AG42" s="236"/>
    </row>
    <row r="43" spans="1:33" ht="13.5" thickBot="1" x14ac:dyDescent="0.25">
      <c r="A43" s="182"/>
      <c r="B43" s="17"/>
      <c r="C43" s="227"/>
      <c r="D43" s="213"/>
      <c r="E43" s="118" t="s">
        <v>508</v>
      </c>
      <c r="F43" s="18" t="s">
        <v>581</v>
      </c>
      <c r="G43" s="19">
        <v>84</v>
      </c>
      <c r="H43" s="124"/>
      <c r="I43" s="162"/>
      <c r="J43" s="1597"/>
      <c r="K43" s="1599"/>
      <c r="L43" s="249">
        <v>8632</v>
      </c>
      <c r="M43" s="65">
        <f>2*L43</f>
        <v>17264</v>
      </c>
      <c r="N43" s="65"/>
      <c r="O43" s="65"/>
      <c r="P43" s="65"/>
      <c r="Q43" s="65">
        <v>40</v>
      </c>
      <c r="R43" s="65">
        <v>4</v>
      </c>
      <c r="S43" s="65">
        <v>4</v>
      </c>
      <c r="T43" s="65">
        <v>341</v>
      </c>
      <c r="U43" s="65">
        <v>166</v>
      </c>
      <c r="V43" s="65">
        <v>118</v>
      </c>
      <c r="W43" s="65">
        <v>1</v>
      </c>
      <c r="X43" s="110"/>
      <c r="Y43" s="216"/>
      <c r="Z43" s="141"/>
      <c r="AA43" s="371">
        <f>L43/Q43</f>
        <v>215.8</v>
      </c>
      <c r="AB43" s="211">
        <f>L43/V43</f>
        <v>73.152542372881356</v>
      </c>
      <c r="AC43" s="281">
        <f>T43/V43</f>
        <v>2.8898305084745761</v>
      </c>
      <c r="AD43" s="191">
        <f>(U43*576+V43*4608+W43*589824)/1000000</f>
        <v>1.2291840000000001</v>
      </c>
      <c r="AE43" s="17"/>
      <c r="AF43" s="218"/>
      <c r="AG43" s="236"/>
    </row>
    <row r="44" spans="1:33" ht="13.5" thickBot="1" x14ac:dyDescent="0.25">
      <c r="A44" s="182"/>
      <c r="B44" s="17"/>
      <c r="C44" s="227"/>
      <c r="D44" s="213"/>
      <c r="E44" s="118" t="s">
        <v>509</v>
      </c>
      <c r="F44" s="18" t="s">
        <v>582</v>
      </c>
      <c r="G44" s="19">
        <v>122.5</v>
      </c>
      <c r="H44" s="124"/>
      <c r="I44" s="162"/>
      <c r="J44" s="1597"/>
      <c r="K44" s="1599"/>
      <c r="L44" s="249">
        <v>13408</v>
      </c>
      <c r="M44" s="65">
        <f>2*L44</f>
        <v>26816</v>
      </c>
      <c r="N44" s="65"/>
      <c r="O44" s="65"/>
      <c r="P44" s="65"/>
      <c r="Q44" s="65">
        <v>56</v>
      </c>
      <c r="R44" s="65">
        <v>4</v>
      </c>
      <c r="S44" s="65">
        <v>8</v>
      </c>
      <c r="T44" s="65">
        <v>341</v>
      </c>
      <c r="U44" s="65">
        <v>197</v>
      </c>
      <c r="V44" s="65">
        <v>140</v>
      </c>
      <c r="W44" s="65">
        <v>1</v>
      </c>
      <c r="X44" s="110"/>
      <c r="Y44" s="216"/>
      <c r="Z44" s="141"/>
      <c r="AA44" s="371">
        <f>L44/Q44</f>
        <v>239.42857142857142</v>
      </c>
      <c r="AB44" s="211">
        <f>L44/V44</f>
        <v>95.771428571428572</v>
      </c>
      <c r="AC44" s="281">
        <f>T44/V44</f>
        <v>2.4357142857142855</v>
      </c>
      <c r="AD44" s="191">
        <f>(U44*576+V44*4608+W44*589824)/1000000</f>
        <v>1.3484160000000001</v>
      </c>
      <c r="AE44" s="17"/>
      <c r="AF44" s="218"/>
      <c r="AG44" s="236"/>
    </row>
    <row r="45" spans="1:33" ht="13.5" thickBot="1" x14ac:dyDescent="0.25">
      <c r="A45" s="182"/>
      <c r="B45" s="17"/>
      <c r="C45" s="227"/>
      <c r="D45" s="213"/>
      <c r="E45" s="118" t="s">
        <v>510</v>
      </c>
      <c r="F45" s="18"/>
      <c r="G45" s="19"/>
      <c r="H45" s="124"/>
      <c r="I45" s="162"/>
      <c r="J45" s="1597"/>
      <c r="K45" s="1599"/>
      <c r="L45" s="249">
        <v>20064</v>
      </c>
      <c r="M45" s="65">
        <f>2*L45</f>
        <v>40128</v>
      </c>
      <c r="N45" s="65"/>
      <c r="O45" s="65"/>
      <c r="P45" s="65"/>
      <c r="Q45" s="65">
        <v>104</v>
      </c>
      <c r="R45" s="65">
        <v>8</v>
      </c>
      <c r="S45" s="65">
        <v>8</v>
      </c>
      <c r="T45" s="65">
        <v>514</v>
      </c>
      <c r="U45" s="65">
        <v>313</v>
      </c>
      <c r="V45" s="65">
        <v>242</v>
      </c>
      <c r="W45" s="65">
        <v>2</v>
      </c>
      <c r="X45" s="110"/>
      <c r="Y45" s="216"/>
      <c r="Z45" s="141"/>
      <c r="AA45" s="371">
        <f>L45/Q45</f>
        <v>192.92307692307693</v>
      </c>
      <c r="AB45" s="211">
        <f>L45/V45</f>
        <v>82.909090909090907</v>
      </c>
      <c r="AC45" s="281">
        <f>T45/V45</f>
        <v>2.1239669421487601</v>
      </c>
      <c r="AD45" s="191">
        <f>(U45*576+V45*4608+W45*589824)/1000000</f>
        <v>2.4750719999999999</v>
      </c>
      <c r="AE45" s="17"/>
      <c r="AF45" s="218"/>
      <c r="AG45" s="236"/>
    </row>
    <row r="46" spans="1:33" ht="13.5" thickBot="1" x14ac:dyDescent="0.25">
      <c r="A46" s="182"/>
      <c r="B46" s="17"/>
      <c r="C46" s="227"/>
      <c r="D46" s="213"/>
      <c r="E46" s="118" t="s">
        <v>511</v>
      </c>
      <c r="F46" s="18"/>
      <c r="G46" s="19"/>
      <c r="H46" s="124"/>
      <c r="I46" s="162"/>
      <c r="J46" s="1597"/>
      <c r="K46" s="1599"/>
      <c r="L46" s="249">
        <v>24040</v>
      </c>
      <c r="M46" s="65">
        <f>2*L46</f>
        <v>48080</v>
      </c>
      <c r="N46" s="65"/>
      <c r="O46" s="65"/>
      <c r="P46" s="65"/>
      <c r="Q46" s="65">
        <v>128</v>
      </c>
      <c r="R46" s="65">
        <v>8</v>
      </c>
      <c r="S46" s="65">
        <v>12</v>
      </c>
      <c r="T46" s="65">
        <v>514</v>
      </c>
      <c r="U46" s="65">
        <v>326</v>
      </c>
      <c r="V46" s="65">
        <v>252</v>
      </c>
      <c r="W46" s="65">
        <v>2</v>
      </c>
      <c r="X46" s="110"/>
      <c r="Y46" s="216"/>
      <c r="Z46" s="141"/>
      <c r="AA46" s="371">
        <f>L46/Q46</f>
        <v>187.8125</v>
      </c>
      <c r="AB46" s="211">
        <f>L46/V46</f>
        <v>95.396825396825392</v>
      </c>
      <c r="AC46" s="281">
        <f>T46/V46</f>
        <v>2.0396825396825395</v>
      </c>
      <c r="AD46" s="191">
        <f>(U46*576+V46*4608+W46*589824)/1000000</f>
        <v>2.5286400000000002</v>
      </c>
      <c r="AE46" s="17"/>
      <c r="AF46" s="218"/>
      <c r="AG46" s="236"/>
    </row>
    <row r="47" spans="1:33" ht="13.5" thickBot="1" x14ac:dyDescent="0.25">
      <c r="A47" s="182"/>
      <c r="B47" s="21"/>
      <c r="C47" s="228"/>
      <c r="D47" s="214"/>
      <c r="E47" s="146" t="s">
        <v>507</v>
      </c>
      <c r="F47" s="22"/>
      <c r="G47" s="23"/>
      <c r="H47" s="125"/>
      <c r="I47" s="163"/>
      <c r="J47" s="1597"/>
      <c r="K47" s="1599"/>
      <c r="L47" s="250">
        <v>36088</v>
      </c>
      <c r="M47" s="68">
        <f>2*L47</f>
        <v>72176</v>
      </c>
      <c r="N47" s="68"/>
      <c r="O47" s="68"/>
      <c r="P47" s="68"/>
      <c r="Q47" s="68">
        <v>176</v>
      </c>
      <c r="R47" s="68">
        <v>8</v>
      </c>
      <c r="S47" s="68">
        <v>12</v>
      </c>
      <c r="T47" s="68">
        <v>538</v>
      </c>
      <c r="U47" s="68">
        <v>478</v>
      </c>
      <c r="V47" s="68">
        <v>400</v>
      </c>
      <c r="W47" s="68">
        <v>4</v>
      </c>
      <c r="X47" s="111"/>
      <c r="Y47" s="217"/>
      <c r="Z47" s="142"/>
      <c r="AA47" s="371">
        <f>L47/Q47</f>
        <v>205.04545454545453</v>
      </c>
      <c r="AB47" s="202">
        <f>L47/V47</f>
        <v>90.22</v>
      </c>
      <c r="AC47" s="294">
        <f>T47/V47</f>
        <v>1.345</v>
      </c>
      <c r="AD47" s="191">
        <f>(U47*576+V47*4608+W47*589824)/1000000</f>
        <v>4.477824</v>
      </c>
      <c r="AE47" s="21"/>
      <c r="AF47" s="219"/>
      <c r="AG47" s="236"/>
    </row>
    <row r="48" spans="1:33" ht="13.5" customHeight="1" x14ac:dyDescent="0.2">
      <c r="A48" s="182"/>
      <c r="B48" s="48" t="s">
        <v>717</v>
      </c>
      <c r="C48" s="226"/>
      <c r="D48" s="212"/>
      <c r="E48" s="12" t="s">
        <v>446</v>
      </c>
      <c r="F48" s="466" t="s">
        <v>1012</v>
      </c>
      <c r="G48" s="14" t="s">
        <v>22</v>
      </c>
      <c r="H48" s="40" t="s">
        <v>513</v>
      </c>
      <c r="I48" s="161"/>
      <c r="J48" s="136"/>
      <c r="K48" s="16" t="s">
        <v>22</v>
      </c>
      <c r="L48" s="486" t="s">
        <v>1442</v>
      </c>
      <c r="M48" s="61" t="s">
        <v>989</v>
      </c>
      <c r="N48" s="380">
        <f>AVERAGE(N49:N50)</f>
        <v>165.20663407955882</v>
      </c>
      <c r="O48" s="61"/>
      <c r="P48" s="61"/>
      <c r="Q48" s="61" t="s">
        <v>1737</v>
      </c>
      <c r="R48" s="61"/>
      <c r="S48" s="61"/>
      <c r="T48" s="61"/>
      <c r="U48" s="61" t="s">
        <v>449</v>
      </c>
      <c r="V48" s="62" t="s">
        <v>157</v>
      </c>
      <c r="W48" s="62" t="s">
        <v>450</v>
      </c>
      <c r="X48" s="109" t="s">
        <v>25</v>
      </c>
      <c r="Y48" s="80"/>
      <c r="Z48" s="164"/>
      <c r="AA48" s="372">
        <f>AVERAGE(AA49:AA50)</f>
        <v>150.4810474537037</v>
      </c>
      <c r="AB48" s="92">
        <f>AVERAGE(AB49:AB50)</f>
        <v>0.22245370370370371</v>
      </c>
      <c r="AC48" s="1452">
        <f>AVERAGE(AC49:AC50)</f>
        <v>3.8222222222222224</v>
      </c>
      <c r="AD48" s="109" t="s">
        <v>650</v>
      </c>
      <c r="AE48" s="193"/>
      <c r="AF48" s="196">
        <f>AVERAGE(AF49:AF50)</f>
        <v>149.52990939571151</v>
      </c>
      <c r="AG48" s="236"/>
    </row>
    <row r="49" spans="1:33" x14ac:dyDescent="0.2">
      <c r="A49" s="182" t="s">
        <v>26</v>
      </c>
      <c r="B49" s="41" t="s">
        <v>702</v>
      </c>
      <c r="C49" s="230" t="s">
        <v>697</v>
      </c>
      <c r="D49" s="213" t="s">
        <v>811</v>
      </c>
      <c r="E49" s="118" t="s">
        <v>1958</v>
      </c>
      <c r="F49" s="18" t="s">
        <v>590</v>
      </c>
      <c r="G49" s="19">
        <v>354</v>
      </c>
      <c r="H49" s="126">
        <v>23</v>
      </c>
      <c r="I49" s="166">
        <v>288</v>
      </c>
      <c r="J49" s="138"/>
      <c r="K49" s="20"/>
      <c r="L49" s="456">
        <f>10*X49/1000</f>
        <v>23.75</v>
      </c>
      <c r="M49" s="457">
        <f t="shared" ref="M49:M50" si="37">26.5*X49/1000</f>
        <v>62.9375</v>
      </c>
      <c r="N49" s="65">
        <f t="shared" ref="N49:N50" si="38">IF(AND(G49&lt;&gt;"",M49&lt;&gt;""),1000*M49/G49,"")</f>
        <v>177.78954802259886</v>
      </c>
      <c r="O49" s="65">
        <f t="shared" ref="O49:O50" si="39">IF(AND(G49&lt;&gt;"",L49&lt;&gt;""),L49/G49,"")</f>
        <v>6.7090395480225995E-2</v>
      </c>
      <c r="P49" s="65"/>
      <c r="Q49" s="65">
        <v>216</v>
      </c>
      <c r="R49" s="65">
        <v>4</v>
      </c>
      <c r="S49" s="65"/>
      <c r="T49" s="65">
        <v>480</v>
      </c>
      <c r="U49" s="151">
        <v>928</v>
      </c>
      <c r="V49" s="65">
        <v>108</v>
      </c>
      <c r="W49" s="65">
        <v>6</v>
      </c>
      <c r="X49" s="388">
        <v>2375</v>
      </c>
      <c r="Y49" s="81"/>
      <c r="Z49" s="141"/>
      <c r="AA49" s="371">
        <f t="shared" ref="AA49:AA50" si="40">500*M49/Q49</f>
        <v>145.68865740740742</v>
      </c>
      <c r="AB49" s="54">
        <f t="shared" ref="AB49:AB50" si="41">L49/V49</f>
        <v>0.21990740740740741</v>
      </c>
      <c r="AC49" s="281">
        <f t="shared" ref="AC49:AC50" si="42">T49/V49</f>
        <v>4.4444444444444446</v>
      </c>
      <c r="AD49" s="191">
        <f t="shared" ref="AD49:AD50" si="43">(U49*640+V49*9216+W49*147456)/1000000</f>
        <v>2.4739840000000002</v>
      </c>
      <c r="AE49" s="17">
        <v>22</v>
      </c>
      <c r="AF49" s="198">
        <f t="shared" ref="AF49:AF50" si="44">(AE49*1000000-V49*36*256)/(5000*L49)</f>
        <v>176.88144842105262</v>
      </c>
      <c r="AG49" s="236" t="s">
        <v>709</v>
      </c>
    </row>
    <row r="50" spans="1:33" ht="13.5" thickBot="1" x14ac:dyDescent="0.25">
      <c r="A50" s="182" t="s">
        <v>26</v>
      </c>
      <c r="B50" s="41" t="s">
        <v>702</v>
      </c>
      <c r="C50" s="230" t="s">
        <v>697</v>
      </c>
      <c r="D50" s="213" t="s">
        <v>811</v>
      </c>
      <c r="E50" s="118" t="s">
        <v>498</v>
      </c>
      <c r="F50" s="30" t="s">
        <v>576</v>
      </c>
      <c r="G50" s="31">
        <v>586</v>
      </c>
      <c r="H50" s="126">
        <v>23</v>
      </c>
      <c r="I50" s="166">
        <v>288</v>
      </c>
      <c r="J50" s="137"/>
      <c r="K50" s="32"/>
      <c r="L50" s="456">
        <f t="shared" ref="L50" si="45">10*X50/1000</f>
        <v>33.75</v>
      </c>
      <c r="M50" s="457">
        <f t="shared" si="37"/>
        <v>89.4375</v>
      </c>
      <c r="N50" s="65">
        <f t="shared" si="38"/>
        <v>152.62372013651878</v>
      </c>
      <c r="O50" s="65">
        <f t="shared" si="39"/>
        <v>5.7593856655290106E-2</v>
      </c>
      <c r="P50" s="65"/>
      <c r="Q50" s="65">
        <v>288</v>
      </c>
      <c r="R50" s="65">
        <v>4</v>
      </c>
      <c r="S50" s="65"/>
      <c r="T50" s="65">
        <v>480</v>
      </c>
      <c r="U50" s="151">
        <v>1318</v>
      </c>
      <c r="V50" s="65">
        <v>150</v>
      </c>
      <c r="W50" s="65">
        <v>6</v>
      </c>
      <c r="X50" s="388">
        <v>3375</v>
      </c>
      <c r="Y50" s="83"/>
      <c r="Z50" s="172"/>
      <c r="AA50" s="371">
        <f t="shared" si="40"/>
        <v>155.2734375</v>
      </c>
      <c r="AB50" s="54">
        <f t="shared" si="41"/>
        <v>0.22500000000000001</v>
      </c>
      <c r="AC50" s="281">
        <f t="shared" si="42"/>
        <v>3.2</v>
      </c>
      <c r="AD50" s="191">
        <f t="shared" si="43"/>
        <v>3.1106560000000001</v>
      </c>
      <c r="AE50" s="17">
        <v>22</v>
      </c>
      <c r="AF50" s="198">
        <f t="shared" si="44"/>
        <v>122.17837037037037</v>
      </c>
      <c r="AG50" s="236" t="s">
        <v>723</v>
      </c>
    </row>
    <row r="51" spans="1:33" x14ac:dyDescent="0.2">
      <c r="A51" s="182"/>
      <c r="B51" s="48" t="s">
        <v>717</v>
      </c>
      <c r="C51" s="226"/>
      <c r="D51" s="212"/>
      <c r="E51" s="12" t="s">
        <v>835</v>
      </c>
      <c r="F51" s="466" t="s">
        <v>1017</v>
      </c>
      <c r="G51" s="14" t="s">
        <v>22</v>
      </c>
      <c r="H51" s="132" t="s">
        <v>528</v>
      </c>
      <c r="I51" s="161"/>
      <c r="J51" s="136"/>
      <c r="K51" s="16" t="s">
        <v>22</v>
      </c>
      <c r="L51" s="486" t="s">
        <v>23</v>
      </c>
      <c r="M51" s="61"/>
      <c r="N51" s="380">
        <f>AVERAGE(N52:N58)</f>
        <v>515.52886984669544</v>
      </c>
      <c r="O51" s="61"/>
      <c r="P51" s="61"/>
      <c r="Q51" s="61" t="s">
        <v>1737</v>
      </c>
      <c r="R51" s="61"/>
      <c r="S51" s="399" t="s">
        <v>850</v>
      </c>
      <c r="T51" s="61"/>
      <c r="U51" s="61" t="s">
        <v>634</v>
      </c>
      <c r="V51" s="62" t="s">
        <v>157</v>
      </c>
      <c r="W51" s="61"/>
      <c r="X51" s="109" t="s">
        <v>93</v>
      </c>
      <c r="Y51" s="215"/>
      <c r="Z51" s="164"/>
      <c r="AA51" s="210">
        <f>AVERAGE(AA52:AA58)</f>
        <v>374.47502556699385</v>
      </c>
      <c r="AB51" s="395" t="e">
        <f>AVERAGE(AB52:AB58)</f>
        <v>#DIV/0!</v>
      </c>
      <c r="AC51" s="907">
        <f>AVERAGE(AC52:AC58)</f>
        <v>4.6371211032928352</v>
      </c>
      <c r="AD51" s="109" t="s">
        <v>650</v>
      </c>
      <c r="AE51" s="201"/>
      <c r="AF51" s="196">
        <f>AVERAGE(AF52:AF67)</f>
        <v>74.689508027424822</v>
      </c>
    </row>
    <row r="52" spans="1:33" x14ac:dyDescent="0.2">
      <c r="A52" s="523" t="s">
        <v>929</v>
      </c>
      <c r="B52" s="17"/>
      <c r="C52" s="227"/>
      <c r="D52" s="213"/>
      <c r="E52" s="118" t="s">
        <v>836</v>
      </c>
      <c r="F52" s="45" t="s">
        <v>1241</v>
      </c>
      <c r="G52" s="19">
        <v>12.57</v>
      </c>
      <c r="H52" s="124">
        <v>11</v>
      </c>
      <c r="I52" s="162">
        <v>94</v>
      </c>
      <c r="J52" s="140"/>
      <c r="K52" s="153"/>
      <c r="L52" s="451">
        <v>6.2720000000000002</v>
      </c>
      <c r="M52" s="452">
        <v>6.2720000000000002</v>
      </c>
      <c r="N52" s="65">
        <f t="shared" ref="N52:N67" si="46">IF(AND(G52&lt;&gt;"",M52&lt;&gt;""),1000*M52/G52,"")</f>
        <v>498.96579156722356</v>
      </c>
      <c r="O52" s="65"/>
      <c r="P52" s="65"/>
      <c r="Q52" s="65">
        <v>15</v>
      </c>
      <c r="R52" s="65">
        <v>2</v>
      </c>
      <c r="S52" s="65"/>
      <c r="T52" s="65">
        <v>182</v>
      </c>
      <c r="U52" s="65"/>
      <c r="V52" s="65">
        <v>30</v>
      </c>
      <c r="W52" s="65"/>
      <c r="X52" s="110">
        <f t="shared" ref="X52:X67" si="47">1000*L52/16</f>
        <v>392</v>
      </c>
      <c r="Y52" s="216">
        <v>3</v>
      </c>
      <c r="Z52" s="141">
        <f t="shared" ref="Z52:Z67" si="48">IF(AND(L52&lt;&gt;"",Y52&lt;&gt;""),1000*L52/Y52,"")</f>
        <v>2090.6666666666665</v>
      </c>
      <c r="AA52" s="371">
        <f t="shared" ref="AA52:AA67" si="49">1000*M52/Q52</f>
        <v>418.13333333333333</v>
      </c>
      <c r="AB52" s="390"/>
      <c r="AC52" s="281">
        <f t="shared" ref="AC52:AC67" si="50">T52/V52</f>
        <v>6.0666666666666664</v>
      </c>
      <c r="AD52" s="191">
        <f t="shared" ref="AD52:AD67" si="51">256*36*V52/1000000</f>
        <v>0.27648</v>
      </c>
      <c r="AE52" s="197"/>
      <c r="AF52" s="198"/>
      <c r="AG52" s="236"/>
    </row>
    <row r="53" spans="1:33" x14ac:dyDescent="0.2">
      <c r="A53" s="523" t="s">
        <v>929</v>
      </c>
      <c r="B53" s="17"/>
      <c r="C53" s="227"/>
      <c r="D53" s="213"/>
      <c r="E53" s="118" t="s">
        <v>837</v>
      </c>
      <c r="F53" s="45" t="s">
        <v>1241</v>
      </c>
      <c r="G53" s="19">
        <v>22.45</v>
      </c>
      <c r="H53" s="124">
        <v>11</v>
      </c>
      <c r="I53" s="162">
        <v>94</v>
      </c>
      <c r="J53" s="140"/>
      <c r="K53" s="153"/>
      <c r="L53" s="451">
        <v>10.32</v>
      </c>
      <c r="M53" s="452">
        <v>10.32</v>
      </c>
      <c r="N53" s="65">
        <f t="shared" si="46"/>
        <v>459.68819599109133</v>
      </c>
      <c r="O53" s="65"/>
      <c r="P53" s="65"/>
      <c r="Q53" s="65">
        <v>23</v>
      </c>
      <c r="R53" s="65">
        <v>2</v>
      </c>
      <c r="S53" s="65"/>
      <c r="T53" s="65">
        <v>182</v>
      </c>
      <c r="U53" s="65"/>
      <c r="V53" s="65">
        <v>46</v>
      </c>
      <c r="W53" s="65"/>
      <c r="X53" s="110">
        <f t="shared" si="47"/>
        <v>645</v>
      </c>
      <c r="Y53" s="216"/>
      <c r="Z53" s="141" t="str">
        <f t="shared" si="48"/>
        <v/>
      </c>
      <c r="AA53" s="371">
        <f t="shared" si="49"/>
        <v>448.69565217391306</v>
      </c>
      <c r="AB53" s="390"/>
      <c r="AC53" s="281">
        <f t="shared" si="50"/>
        <v>3.9565217391304346</v>
      </c>
      <c r="AD53" s="191">
        <f t="shared" si="51"/>
        <v>0.42393599999999998</v>
      </c>
      <c r="AE53" s="197"/>
      <c r="AF53" s="198"/>
      <c r="AG53" s="236"/>
    </row>
    <row r="54" spans="1:33" x14ac:dyDescent="0.2">
      <c r="A54" s="523" t="s">
        <v>929</v>
      </c>
      <c r="B54" s="17"/>
      <c r="C54" s="227"/>
      <c r="D54" s="213"/>
      <c r="E54" s="118" t="s">
        <v>838</v>
      </c>
      <c r="F54" s="45" t="s">
        <v>1242</v>
      </c>
      <c r="G54" s="19">
        <v>23.14</v>
      </c>
      <c r="H54" s="124">
        <v>17</v>
      </c>
      <c r="I54" s="162">
        <v>168</v>
      </c>
      <c r="J54" s="140"/>
      <c r="K54" s="153"/>
      <c r="L54" s="451">
        <v>15.407999999999999</v>
      </c>
      <c r="M54" s="452">
        <v>15.407999999999999</v>
      </c>
      <c r="N54" s="65">
        <f t="shared" si="46"/>
        <v>665.85998271391531</v>
      </c>
      <c r="O54" s="65"/>
      <c r="P54" s="65"/>
      <c r="Q54" s="65">
        <v>56</v>
      </c>
      <c r="R54" s="65">
        <v>4</v>
      </c>
      <c r="S54" s="65"/>
      <c r="T54" s="65">
        <v>346</v>
      </c>
      <c r="U54" s="65"/>
      <c r="V54" s="65">
        <v>56</v>
      </c>
      <c r="W54" s="65"/>
      <c r="X54" s="110">
        <f t="shared" si="47"/>
        <v>963</v>
      </c>
      <c r="Y54" s="216"/>
      <c r="Z54" s="141" t="str">
        <f t="shared" si="48"/>
        <v/>
      </c>
      <c r="AA54" s="371">
        <f t="shared" si="49"/>
        <v>275.14285714285717</v>
      </c>
      <c r="AB54" s="390"/>
      <c r="AC54" s="281">
        <f t="shared" si="50"/>
        <v>6.1785714285714288</v>
      </c>
      <c r="AD54" s="191">
        <f t="shared" si="51"/>
        <v>0.516096</v>
      </c>
      <c r="AE54" s="197">
        <v>3.8055699999999999</v>
      </c>
      <c r="AF54" s="198">
        <f>(AE54*1000000-V54*36*256)/(4000*L54)</f>
        <v>53.372825804776738</v>
      </c>
      <c r="AG54" s="236"/>
    </row>
    <row r="55" spans="1:33" x14ac:dyDescent="0.2">
      <c r="A55" s="523" t="s">
        <v>929</v>
      </c>
      <c r="B55" s="17"/>
      <c r="C55" s="227"/>
      <c r="D55" s="213"/>
      <c r="E55" s="118" t="s">
        <v>1537</v>
      </c>
      <c r="F55" s="18" t="s">
        <v>1139</v>
      </c>
      <c r="G55" s="19">
        <v>44.4</v>
      </c>
      <c r="H55" s="124">
        <v>14</v>
      </c>
      <c r="I55" s="162">
        <v>72</v>
      </c>
      <c r="J55" s="140"/>
      <c r="K55" s="153"/>
      <c r="L55" s="451">
        <v>22.32</v>
      </c>
      <c r="M55" s="452">
        <v>22.32</v>
      </c>
      <c r="N55" s="65">
        <f>IF(AND(G55&lt;&gt;"",M55&lt;&gt;""),1000*M55/G55,"")</f>
        <v>502.70270270270271</v>
      </c>
      <c r="O55" s="65"/>
      <c r="P55" s="65"/>
      <c r="Q55" s="65">
        <v>66</v>
      </c>
      <c r="R55" s="65">
        <v>3</v>
      </c>
      <c r="S55" s="65"/>
      <c r="T55" s="65">
        <v>153</v>
      </c>
      <c r="U55" s="65"/>
      <c r="V55" s="65">
        <v>66</v>
      </c>
      <c r="W55" s="65"/>
      <c r="X55" s="110">
        <f>1000*L55/16</f>
        <v>1395</v>
      </c>
      <c r="Y55" s="216"/>
      <c r="Z55" s="141" t="str">
        <f>IF(AND(L55&lt;&gt;"",Y55&lt;&gt;""),1000*L55/Y55,"")</f>
        <v/>
      </c>
      <c r="AA55" s="371">
        <f>1000*M55/Q55</f>
        <v>338.18181818181819</v>
      </c>
      <c r="AB55" s="390"/>
      <c r="AC55" s="281">
        <f>T55/V55</f>
        <v>2.3181818181818183</v>
      </c>
      <c r="AD55" s="191">
        <f>256*36*V55/1000000</f>
        <v>0.60825600000000002</v>
      </c>
      <c r="AE55" s="197">
        <v>7.6000420000000002</v>
      </c>
      <c r="AF55" s="198">
        <f>(AE55*1000000-V55*36*256)/(4000*L55)</f>
        <v>78.313015232974905</v>
      </c>
      <c r="AG55" s="236"/>
    </row>
    <row r="56" spans="1:33" x14ac:dyDescent="0.2">
      <c r="A56" s="523" t="s">
        <v>929</v>
      </c>
      <c r="B56" s="17"/>
      <c r="C56" s="227"/>
      <c r="D56" s="213"/>
      <c r="E56" s="118" t="s">
        <v>839</v>
      </c>
      <c r="F56" s="45" t="s">
        <v>993</v>
      </c>
      <c r="G56" s="19">
        <v>42.01</v>
      </c>
      <c r="H56" s="124">
        <v>23</v>
      </c>
      <c r="I56" s="162">
        <v>331</v>
      </c>
      <c r="J56" s="140"/>
      <c r="K56" s="153"/>
      <c r="L56" s="451">
        <v>28.847999999999999</v>
      </c>
      <c r="M56" s="452">
        <v>28.847999999999999</v>
      </c>
      <c r="N56" s="65">
        <f t="shared" si="46"/>
        <v>686.69364437038803</v>
      </c>
      <c r="O56" s="65"/>
      <c r="P56" s="65"/>
      <c r="Q56" s="65">
        <v>66</v>
      </c>
      <c r="R56" s="65">
        <v>4</v>
      </c>
      <c r="S56" s="65"/>
      <c r="T56" s="65">
        <v>535</v>
      </c>
      <c r="U56" s="65"/>
      <c r="V56" s="65">
        <v>66</v>
      </c>
      <c r="W56" s="65"/>
      <c r="X56" s="110">
        <f t="shared" si="47"/>
        <v>1803</v>
      </c>
      <c r="Y56" s="216"/>
      <c r="Z56" s="141" t="str">
        <f t="shared" si="48"/>
        <v/>
      </c>
      <c r="AA56" s="371">
        <f t="shared" si="49"/>
        <v>437.09090909090907</v>
      </c>
      <c r="AB56" s="390"/>
      <c r="AC56" s="281">
        <f t="shared" si="50"/>
        <v>8.1060606060606055</v>
      </c>
      <c r="AD56" s="191">
        <f t="shared" si="51"/>
        <v>0.60825600000000002</v>
      </c>
      <c r="AE56" s="197">
        <v>7.6000420000000002</v>
      </c>
      <c r="AF56" s="198">
        <f>(AE56*1000000-V56*36*256)/(4000*L56)</f>
        <v>60.591600804215197</v>
      </c>
      <c r="AG56" s="236"/>
    </row>
    <row r="57" spans="1:33" x14ac:dyDescent="0.2">
      <c r="A57" s="523" t="s">
        <v>929</v>
      </c>
      <c r="B57" s="17"/>
      <c r="C57" s="227"/>
      <c r="D57" s="213"/>
      <c r="E57" s="118" t="s">
        <v>840</v>
      </c>
      <c r="F57" s="45" t="s">
        <v>1138</v>
      </c>
      <c r="G57" s="19">
        <v>97.16</v>
      </c>
      <c r="H57" s="124">
        <v>23</v>
      </c>
      <c r="I57" s="162">
        <v>331</v>
      </c>
      <c r="J57" s="140"/>
      <c r="K57" s="153"/>
      <c r="L57" s="451">
        <v>39.6</v>
      </c>
      <c r="M57" s="452">
        <v>39.6</v>
      </c>
      <c r="N57" s="65">
        <f t="shared" si="46"/>
        <v>407.57513379991769</v>
      </c>
      <c r="O57" s="65"/>
      <c r="P57" s="65"/>
      <c r="Q57" s="65">
        <v>116</v>
      </c>
      <c r="R57" s="65">
        <v>4</v>
      </c>
      <c r="S57" s="65"/>
      <c r="T57" s="65">
        <v>535</v>
      </c>
      <c r="U57" s="65"/>
      <c r="V57" s="65">
        <v>123</v>
      </c>
      <c r="W57" s="65"/>
      <c r="X57" s="110">
        <f t="shared" si="47"/>
        <v>2475</v>
      </c>
      <c r="Y57" s="216"/>
      <c r="Z57" s="141" t="str">
        <f t="shared" si="48"/>
        <v/>
      </c>
      <c r="AA57" s="371">
        <f t="shared" si="49"/>
        <v>341.37931034482756</v>
      </c>
      <c r="AB57" s="390"/>
      <c r="AC57" s="281">
        <f t="shared" si="50"/>
        <v>4.3495934959349594</v>
      </c>
      <c r="AD57" s="191">
        <f t="shared" si="51"/>
        <v>1.1335679999999999</v>
      </c>
      <c r="AE57" s="197"/>
      <c r="AF57" s="198"/>
      <c r="AG57" s="236"/>
    </row>
    <row r="58" spans="1:33" x14ac:dyDescent="0.2">
      <c r="A58" s="523" t="s">
        <v>929</v>
      </c>
      <c r="B58" s="17"/>
      <c r="C58" s="227"/>
      <c r="D58" s="213"/>
      <c r="E58" s="118" t="s">
        <v>841</v>
      </c>
      <c r="F58" s="45" t="s">
        <v>1135</v>
      </c>
      <c r="G58" s="19">
        <v>144.25</v>
      </c>
      <c r="H58" s="124">
        <v>23</v>
      </c>
      <c r="I58" s="162">
        <v>327</v>
      </c>
      <c r="J58" s="140"/>
      <c r="K58" s="153"/>
      <c r="L58" s="451">
        <v>55.856000000000002</v>
      </c>
      <c r="M58" s="452">
        <v>55.856000000000002</v>
      </c>
      <c r="N58" s="65">
        <f t="shared" si="46"/>
        <v>387.21663778162912</v>
      </c>
      <c r="O58" s="65"/>
      <c r="P58" s="65"/>
      <c r="Q58" s="65">
        <v>154</v>
      </c>
      <c r="R58" s="65">
        <v>4</v>
      </c>
      <c r="S58" s="65"/>
      <c r="T58" s="65">
        <v>377</v>
      </c>
      <c r="U58" s="65"/>
      <c r="V58" s="65">
        <v>254</v>
      </c>
      <c r="W58" s="65"/>
      <c r="X58" s="110">
        <f t="shared" si="47"/>
        <v>3491</v>
      </c>
      <c r="Y58" s="216"/>
      <c r="Z58" s="141" t="str">
        <f t="shared" si="48"/>
        <v/>
      </c>
      <c r="AA58" s="371">
        <f t="shared" si="49"/>
        <v>362.7012987012987</v>
      </c>
      <c r="AB58" s="390"/>
      <c r="AC58" s="281">
        <f t="shared" si="50"/>
        <v>1.484251968503937</v>
      </c>
      <c r="AD58" s="191">
        <f t="shared" si="51"/>
        <v>2.3408639999999998</v>
      </c>
      <c r="AE58" s="197"/>
      <c r="AF58" s="198"/>
      <c r="AG58" s="236"/>
    </row>
    <row r="59" spans="1:33" x14ac:dyDescent="0.2">
      <c r="A59" s="523" t="s">
        <v>929</v>
      </c>
      <c r="B59" s="17"/>
      <c r="C59" s="227"/>
      <c r="D59" s="213"/>
      <c r="E59" s="118" t="s">
        <v>842</v>
      </c>
      <c r="F59" s="45" t="s">
        <v>1135</v>
      </c>
      <c r="G59" s="19">
        <v>227.46</v>
      </c>
      <c r="H59" s="124">
        <v>23</v>
      </c>
      <c r="I59" s="162">
        <v>295</v>
      </c>
      <c r="J59" s="140"/>
      <c r="K59" s="153"/>
      <c r="L59" s="451">
        <v>75.408000000000001</v>
      </c>
      <c r="M59" s="452">
        <v>75.408000000000001</v>
      </c>
      <c r="N59" s="65">
        <f t="shared" si="46"/>
        <v>331.52202585069904</v>
      </c>
      <c r="O59" s="65"/>
      <c r="P59" s="65"/>
      <c r="Q59" s="65">
        <v>200</v>
      </c>
      <c r="R59" s="65">
        <v>4</v>
      </c>
      <c r="S59" s="65"/>
      <c r="T59" s="65">
        <v>429</v>
      </c>
      <c r="U59" s="65"/>
      <c r="V59" s="65">
        <v>298</v>
      </c>
      <c r="W59" s="65"/>
      <c r="X59" s="110">
        <f t="shared" si="47"/>
        <v>4713</v>
      </c>
      <c r="Y59" s="216"/>
      <c r="Z59" s="141" t="str">
        <f t="shared" si="48"/>
        <v/>
      </c>
      <c r="AA59" s="371">
        <f t="shared" si="49"/>
        <v>377.04</v>
      </c>
      <c r="AB59" s="390"/>
      <c r="AC59" s="281">
        <f t="shared" si="50"/>
        <v>1.4395973154362416</v>
      </c>
      <c r="AD59" s="191">
        <f t="shared" si="51"/>
        <v>2.7463679999999999</v>
      </c>
      <c r="AE59" s="197">
        <v>24.5</v>
      </c>
      <c r="AF59" s="198">
        <f t="shared" ref="AF59:AF67" si="52">(AE59*1000000-V59*36*256)/(4000*L59)</f>
        <v>72.119775090176105</v>
      </c>
      <c r="AG59" s="236"/>
    </row>
    <row r="60" spans="1:33" x14ac:dyDescent="0.2">
      <c r="A60" s="523" t="s">
        <v>929</v>
      </c>
      <c r="B60" s="17"/>
      <c r="C60" s="227"/>
      <c r="D60" s="213"/>
      <c r="E60" s="118" t="s">
        <v>843</v>
      </c>
      <c r="F60" s="45" t="s">
        <v>993</v>
      </c>
      <c r="G60" s="19">
        <v>315.52</v>
      </c>
      <c r="H60" s="124">
        <v>23</v>
      </c>
      <c r="I60" s="162">
        <v>283</v>
      </c>
      <c r="J60" s="140"/>
      <c r="K60" s="153"/>
      <c r="L60" s="451">
        <v>114.48</v>
      </c>
      <c r="M60" s="452">
        <v>114.48</v>
      </c>
      <c r="N60" s="65">
        <f t="shared" si="46"/>
        <v>362.82961460446251</v>
      </c>
      <c r="O60" s="65"/>
      <c r="P60" s="65"/>
      <c r="Q60" s="65">
        <v>266</v>
      </c>
      <c r="R60" s="65">
        <v>4</v>
      </c>
      <c r="S60" s="65"/>
      <c r="T60" s="65">
        <v>531</v>
      </c>
      <c r="U60" s="65"/>
      <c r="V60" s="65">
        <v>423</v>
      </c>
      <c r="W60" s="65"/>
      <c r="X60" s="110">
        <f t="shared" si="47"/>
        <v>7155</v>
      </c>
      <c r="Y60" s="216"/>
      <c r="Z60" s="141" t="str">
        <f t="shared" si="48"/>
        <v/>
      </c>
      <c r="AA60" s="371">
        <f t="shared" si="49"/>
        <v>430.37593984962405</v>
      </c>
      <c r="AB60" s="390"/>
      <c r="AC60" s="281">
        <f t="shared" si="50"/>
        <v>1.2553191489361701</v>
      </c>
      <c r="AD60" s="191">
        <f t="shared" si="51"/>
        <v>3.8983680000000001</v>
      </c>
      <c r="AE60" s="197">
        <v>47.6</v>
      </c>
      <c r="AF60" s="198">
        <f t="shared" si="52"/>
        <v>95.435080363382255</v>
      </c>
      <c r="AG60" s="236"/>
    </row>
    <row r="61" spans="1:33" x14ac:dyDescent="0.2">
      <c r="A61" s="523" t="s">
        <v>929</v>
      </c>
      <c r="B61" s="17"/>
      <c r="C61" s="227"/>
      <c r="D61" s="213"/>
      <c r="E61" s="118" t="s">
        <v>844</v>
      </c>
      <c r="F61" s="18" t="s">
        <v>994</v>
      </c>
      <c r="G61" s="19">
        <v>23.96</v>
      </c>
      <c r="H61" s="124">
        <v>11</v>
      </c>
      <c r="I61" s="162">
        <v>72</v>
      </c>
      <c r="J61" s="140"/>
      <c r="K61" s="153"/>
      <c r="L61" s="451">
        <v>14.4</v>
      </c>
      <c r="M61" s="452">
        <v>14.4</v>
      </c>
      <c r="N61" s="65">
        <f t="shared" si="46"/>
        <v>601.00166944908176</v>
      </c>
      <c r="O61" s="65"/>
      <c r="P61" s="65"/>
      <c r="Q61" s="65">
        <v>0</v>
      </c>
      <c r="R61" s="65">
        <v>4</v>
      </c>
      <c r="S61" s="65">
        <v>2</v>
      </c>
      <c r="T61" s="65">
        <v>72</v>
      </c>
      <c r="U61" s="65">
        <v>1</v>
      </c>
      <c r="V61" s="65">
        <v>58</v>
      </c>
      <c r="W61" s="65"/>
      <c r="X61" s="110">
        <f t="shared" si="47"/>
        <v>900</v>
      </c>
      <c r="Y61" s="216">
        <v>6</v>
      </c>
      <c r="Z61" s="141">
        <f t="shared" si="48"/>
        <v>2400</v>
      </c>
      <c r="AA61" s="371" t="e">
        <f t="shared" si="49"/>
        <v>#DIV/0!</v>
      </c>
      <c r="AB61" s="390"/>
      <c r="AC61" s="281">
        <f t="shared" si="50"/>
        <v>1.2413793103448276</v>
      </c>
      <c r="AD61" s="191">
        <f t="shared" si="51"/>
        <v>0.534528</v>
      </c>
      <c r="AE61" s="197">
        <v>3.8055699999999999</v>
      </c>
      <c r="AF61" s="198">
        <f t="shared" si="52"/>
        <v>56.788923611111109</v>
      </c>
      <c r="AG61" s="236"/>
    </row>
    <row r="62" spans="1:33" x14ac:dyDescent="0.2">
      <c r="A62" s="523" t="s">
        <v>929</v>
      </c>
      <c r="B62" s="17"/>
      <c r="C62" s="227"/>
      <c r="D62" s="213"/>
      <c r="E62" s="118" t="s">
        <v>845</v>
      </c>
      <c r="F62" s="18" t="s">
        <v>992</v>
      </c>
      <c r="G62" s="19">
        <v>50.95</v>
      </c>
      <c r="H62" s="124">
        <v>14</v>
      </c>
      <c r="I62" s="162">
        <v>72</v>
      </c>
      <c r="J62" s="140"/>
      <c r="K62" s="153"/>
      <c r="L62" s="451">
        <v>21.28</v>
      </c>
      <c r="M62" s="452">
        <v>21.28</v>
      </c>
      <c r="N62" s="65">
        <f t="shared" si="46"/>
        <v>417.66437684003921</v>
      </c>
      <c r="O62" s="65"/>
      <c r="P62" s="65"/>
      <c r="Q62" s="65">
        <v>40</v>
      </c>
      <c r="R62" s="65">
        <v>3</v>
      </c>
      <c r="S62" s="65">
        <v>4</v>
      </c>
      <c r="T62" s="65">
        <v>150</v>
      </c>
      <c r="U62" s="65">
        <v>1</v>
      </c>
      <c r="V62" s="65">
        <v>82</v>
      </c>
      <c r="W62" s="65"/>
      <c r="X62" s="110">
        <f t="shared" si="47"/>
        <v>1330</v>
      </c>
      <c r="Y62" s="216"/>
      <c r="Z62" s="141" t="str">
        <f t="shared" si="48"/>
        <v/>
      </c>
      <c r="AA62" s="371">
        <f t="shared" si="49"/>
        <v>532</v>
      </c>
      <c r="AB62" s="390"/>
      <c r="AC62" s="281">
        <f t="shared" si="50"/>
        <v>1.8292682926829269</v>
      </c>
      <c r="AD62" s="191">
        <f t="shared" si="51"/>
        <v>0.75571200000000005</v>
      </c>
      <c r="AE62" s="197">
        <v>7.6000420000000002</v>
      </c>
      <c r="AF62" s="198">
        <f t="shared" si="52"/>
        <v>80.408012218045116</v>
      </c>
      <c r="AG62" s="236"/>
    </row>
    <row r="63" spans="1:33" x14ac:dyDescent="0.2">
      <c r="A63" s="523" t="s">
        <v>929</v>
      </c>
      <c r="B63" s="17"/>
      <c r="C63" s="227"/>
      <c r="D63" s="213"/>
      <c r="E63" s="118" t="s">
        <v>846</v>
      </c>
      <c r="F63" s="45" t="s">
        <v>1140</v>
      </c>
      <c r="G63" s="19">
        <v>78.900000000000006</v>
      </c>
      <c r="H63" s="124">
        <v>14</v>
      </c>
      <c r="I63" s="162">
        <v>72</v>
      </c>
      <c r="J63" s="140"/>
      <c r="K63" s="153"/>
      <c r="L63" s="451">
        <v>29.44</v>
      </c>
      <c r="M63" s="452">
        <v>29.44</v>
      </c>
      <c r="N63" s="65">
        <f t="shared" si="46"/>
        <v>373.13054499366285</v>
      </c>
      <c r="O63" s="65"/>
      <c r="P63" s="65"/>
      <c r="Q63" s="65">
        <v>80</v>
      </c>
      <c r="R63" s="65">
        <v>4</v>
      </c>
      <c r="S63" s="65">
        <v>4</v>
      </c>
      <c r="T63" s="65">
        <v>150</v>
      </c>
      <c r="U63" s="65">
        <v>1</v>
      </c>
      <c r="V63" s="65">
        <v>117</v>
      </c>
      <c r="W63" s="65"/>
      <c r="X63" s="110">
        <f t="shared" si="47"/>
        <v>1840</v>
      </c>
      <c r="Y63" s="216"/>
      <c r="Z63" s="141" t="str">
        <f t="shared" si="48"/>
        <v/>
      </c>
      <c r="AA63" s="371">
        <f t="shared" si="49"/>
        <v>368</v>
      </c>
      <c r="AB63" s="390"/>
      <c r="AC63" s="281">
        <f t="shared" si="50"/>
        <v>1.2820512820512822</v>
      </c>
      <c r="AD63" s="191">
        <f t="shared" si="51"/>
        <v>1.0782719999999999</v>
      </c>
      <c r="AE63" s="197">
        <v>7.6000420000000002</v>
      </c>
      <c r="AF63" s="198">
        <f t="shared" si="52"/>
        <v>55.381878396739133</v>
      </c>
      <c r="AG63" s="236"/>
    </row>
    <row r="64" spans="1:33" x14ac:dyDescent="0.2">
      <c r="A64" s="523" t="s">
        <v>929</v>
      </c>
      <c r="B64" s="17"/>
      <c r="C64" s="227"/>
      <c r="D64" s="213"/>
      <c r="E64" s="118" t="s">
        <v>847</v>
      </c>
      <c r="F64" s="45" t="s">
        <v>1136</v>
      </c>
      <c r="G64" s="19">
        <v>161.6</v>
      </c>
      <c r="H64" s="124">
        <v>23</v>
      </c>
      <c r="I64" s="162">
        <v>290</v>
      </c>
      <c r="J64" s="140"/>
      <c r="K64" s="153"/>
      <c r="L64" s="451">
        <v>49.887999999999998</v>
      </c>
      <c r="M64" s="452">
        <v>49.887999999999998</v>
      </c>
      <c r="N64" s="65">
        <f t="shared" si="46"/>
        <v>308.71287128712873</v>
      </c>
      <c r="O64" s="65"/>
      <c r="P64" s="65"/>
      <c r="Q64" s="65">
        <v>140</v>
      </c>
      <c r="R64" s="65">
        <v>4</v>
      </c>
      <c r="S64" s="65">
        <v>8</v>
      </c>
      <c r="T64" s="65">
        <v>310</v>
      </c>
      <c r="U64" s="65">
        <v>1</v>
      </c>
      <c r="V64" s="65">
        <v>272</v>
      </c>
      <c r="W64" s="65"/>
      <c r="X64" s="110">
        <f t="shared" si="47"/>
        <v>3118</v>
      </c>
      <c r="Y64" s="216"/>
      <c r="Z64" s="141" t="str">
        <f t="shared" si="48"/>
        <v/>
      </c>
      <c r="AA64" s="371">
        <f t="shared" si="49"/>
        <v>356.34285714285716</v>
      </c>
      <c r="AB64" s="390"/>
      <c r="AC64" s="281">
        <f t="shared" si="50"/>
        <v>1.1397058823529411</v>
      </c>
      <c r="AD64" s="191">
        <f t="shared" si="51"/>
        <v>2.5067520000000001</v>
      </c>
      <c r="AE64" s="197">
        <v>24.5</v>
      </c>
      <c r="AF64" s="198">
        <f t="shared" si="52"/>
        <v>110.21311738293778</v>
      </c>
      <c r="AG64" s="236"/>
    </row>
    <row r="65" spans="1:33" x14ac:dyDescent="0.2">
      <c r="A65" s="523" t="s">
        <v>929</v>
      </c>
      <c r="B65" s="17"/>
      <c r="C65" s="227"/>
      <c r="D65" s="213"/>
      <c r="E65" s="118" t="s">
        <v>848</v>
      </c>
      <c r="F65" s="45" t="s">
        <v>996</v>
      </c>
      <c r="G65" s="19">
        <v>198.5</v>
      </c>
      <c r="H65" s="124">
        <v>23</v>
      </c>
      <c r="I65" s="162">
        <v>290</v>
      </c>
      <c r="J65" s="140"/>
      <c r="K65" s="153"/>
      <c r="L65" s="451">
        <v>73.92</v>
      </c>
      <c r="M65" s="452">
        <v>73.92</v>
      </c>
      <c r="N65" s="65">
        <f t="shared" si="46"/>
        <v>372.39294710327454</v>
      </c>
      <c r="O65" s="65"/>
      <c r="P65" s="65"/>
      <c r="Q65" s="65">
        <v>198</v>
      </c>
      <c r="R65" s="65">
        <v>8</v>
      </c>
      <c r="S65" s="65">
        <v>8</v>
      </c>
      <c r="T65" s="65">
        <v>310</v>
      </c>
      <c r="U65" s="65">
        <v>1</v>
      </c>
      <c r="V65" s="65">
        <v>451</v>
      </c>
      <c r="W65" s="65"/>
      <c r="X65" s="110">
        <f t="shared" si="47"/>
        <v>4620</v>
      </c>
      <c r="Y65" s="216"/>
      <c r="Z65" s="141" t="str">
        <f t="shared" si="48"/>
        <v/>
      </c>
      <c r="AA65" s="371">
        <f t="shared" si="49"/>
        <v>373.33333333333331</v>
      </c>
      <c r="AB65" s="390"/>
      <c r="AC65" s="281">
        <f t="shared" si="50"/>
        <v>0.68736141906873616</v>
      </c>
      <c r="AD65" s="191">
        <f t="shared" si="51"/>
        <v>4.1564160000000001</v>
      </c>
      <c r="AE65" s="197">
        <v>24.5</v>
      </c>
      <c r="AF65" s="198">
        <f t="shared" si="52"/>
        <v>68.802705627705635</v>
      </c>
      <c r="AG65" s="236"/>
    </row>
    <row r="66" spans="1:33" x14ac:dyDescent="0.2">
      <c r="A66" s="523" t="s">
        <v>929</v>
      </c>
      <c r="B66" s="17"/>
      <c r="C66" s="227"/>
      <c r="D66" s="213"/>
      <c r="E66" s="118" t="s">
        <v>849</v>
      </c>
      <c r="F66" s="45" t="s">
        <v>1137</v>
      </c>
      <c r="G66" s="19">
        <v>278.5</v>
      </c>
      <c r="H66" s="124">
        <v>23</v>
      </c>
      <c r="I66" s="162">
        <v>270</v>
      </c>
      <c r="J66" s="140"/>
      <c r="K66" s="153"/>
      <c r="L66" s="451">
        <v>109.42400000000001</v>
      </c>
      <c r="M66" s="452">
        <v>109.42400000000001</v>
      </c>
      <c r="N66" s="65">
        <f t="shared" si="46"/>
        <v>392.90484739676839</v>
      </c>
      <c r="O66" s="65"/>
      <c r="P66" s="65"/>
      <c r="Q66" s="65">
        <v>280</v>
      </c>
      <c r="R66" s="65">
        <v>8</v>
      </c>
      <c r="S66" s="65">
        <v>8</v>
      </c>
      <c r="T66" s="65">
        <v>475</v>
      </c>
      <c r="U66" s="65">
        <v>1</v>
      </c>
      <c r="V66" s="65">
        <v>596</v>
      </c>
      <c r="W66" s="65"/>
      <c r="X66" s="110">
        <f t="shared" si="47"/>
        <v>6839</v>
      </c>
      <c r="Y66" s="216"/>
      <c r="Z66" s="141" t="str">
        <f t="shared" si="48"/>
        <v/>
      </c>
      <c r="AA66" s="371">
        <f t="shared" si="49"/>
        <v>390.8</v>
      </c>
      <c r="AB66" s="390"/>
      <c r="AC66" s="281">
        <f t="shared" si="50"/>
        <v>0.79697986577181212</v>
      </c>
      <c r="AD66" s="191">
        <f t="shared" si="51"/>
        <v>5.4927359999999998</v>
      </c>
      <c r="AE66" s="197">
        <v>47.6</v>
      </c>
      <c r="AF66" s="198">
        <f t="shared" si="52"/>
        <v>96.202076326948387</v>
      </c>
      <c r="AG66" s="236"/>
    </row>
    <row r="67" spans="1:33" ht="13.5" thickBot="1" x14ac:dyDescent="0.25">
      <c r="A67" s="523" t="s">
        <v>929</v>
      </c>
      <c r="B67" s="21"/>
      <c r="C67" s="228"/>
      <c r="D67" s="214"/>
      <c r="E67" s="146" t="s">
        <v>995</v>
      </c>
      <c r="F67" s="22" t="s">
        <v>996</v>
      </c>
      <c r="G67" s="23">
        <v>369.5</v>
      </c>
      <c r="H67" s="125">
        <v>23</v>
      </c>
      <c r="I67" s="163">
        <v>270</v>
      </c>
      <c r="J67" s="140"/>
      <c r="K67" s="153"/>
      <c r="L67" s="453">
        <v>149.76</v>
      </c>
      <c r="M67" s="454">
        <v>149.76</v>
      </c>
      <c r="N67" s="65">
        <f t="shared" si="46"/>
        <v>405.3044654939107</v>
      </c>
      <c r="O67" s="68"/>
      <c r="P67" s="68"/>
      <c r="Q67" s="68">
        <v>360</v>
      </c>
      <c r="R67" s="68">
        <v>8</v>
      </c>
      <c r="S67" s="68">
        <v>8</v>
      </c>
      <c r="T67" s="68">
        <v>475</v>
      </c>
      <c r="U67" s="68">
        <v>1</v>
      </c>
      <c r="V67" s="68">
        <v>703</v>
      </c>
      <c r="W67" s="68"/>
      <c r="X67" s="110">
        <f t="shared" si="47"/>
        <v>9360</v>
      </c>
      <c r="Y67" s="217"/>
      <c r="Z67" s="141" t="str">
        <f t="shared" si="48"/>
        <v/>
      </c>
      <c r="AA67" s="371">
        <f t="shared" si="49"/>
        <v>416</v>
      </c>
      <c r="AB67" s="396"/>
      <c r="AC67" s="281">
        <f t="shared" si="50"/>
        <v>0.67567567567567566</v>
      </c>
      <c r="AD67" s="191">
        <f t="shared" si="51"/>
        <v>6.4788480000000002</v>
      </c>
      <c r="AE67" s="199">
        <v>47.6</v>
      </c>
      <c r="AF67" s="198">
        <f t="shared" si="52"/>
        <v>68.645085470085476</v>
      </c>
      <c r="AG67" s="236"/>
    </row>
    <row r="68" spans="1:33" ht="13.5" customHeight="1" x14ac:dyDescent="0.2">
      <c r="A68" s="182"/>
      <c r="B68" s="48" t="s">
        <v>717</v>
      </c>
      <c r="C68" s="226"/>
      <c r="D68" s="212"/>
      <c r="E68" s="12" t="s">
        <v>685</v>
      </c>
      <c r="F68" s="466" t="s">
        <v>1017</v>
      </c>
      <c r="G68" s="14" t="s">
        <v>22</v>
      </c>
      <c r="H68" s="132" t="s">
        <v>512</v>
      </c>
      <c r="I68" s="161"/>
      <c r="J68" s="136"/>
      <c r="K68" s="16" t="s">
        <v>22</v>
      </c>
      <c r="L68" s="486" t="s">
        <v>1442</v>
      </c>
      <c r="M68" s="860" t="s">
        <v>1549</v>
      </c>
      <c r="N68" s="380">
        <f>AVERAGE(N69:N69)</f>
        <v>143.19666666666666</v>
      </c>
      <c r="O68" s="61"/>
      <c r="P68" s="61"/>
      <c r="Q68" s="61" t="s">
        <v>1737</v>
      </c>
      <c r="R68" s="61"/>
      <c r="S68" s="61" t="s">
        <v>694</v>
      </c>
      <c r="T68" s="61"/>
      <c r="U68" s="61" t="s">
        <v>449</v>
      </c>
      <c r="V68" s="62" t="s">
        <v>157</v>
      </c>
      <c r="W68" s="62" t="s">
        <v>450</v>
      </c>
      <c r="X68" s="109" t="s">
        <v>25</v>
      </c>
      <c r="Y68" s="215"/>
      <c r="Z68" s="164"/>
      <c r="AA68" s="370">
        <f>AVERAGE(AA69:AA69)</f>
        <v>185.16810344827587</v>
      </c>
      <c r="AB68" s="210">
        <f>AVERAGE(AB69:AB69)</f>
        <v>5.6583072100313485E-2</v>
      </c>
      <c r="AC68" s="1452">
        <f>AVERAGE(AC69:AC69)</f>
        <v>1.1410658307210031</v>
      </c>
      <c r="AD68" s="109" t="s">
        <v>650</v>
      </c>
      <c r="AE68" s="193"/>
      <c r="AF68" s="212"/>
      <c r="AG68" s="236" t="s">
        <v>724</v>
      </c>
    </row>
    <row r="69" spans="1:33" ht="13.5" thickBot="1" x14ac:dyDescent="0.25">
      <c r="A69" s="182" t="s">
        <v>26</v>
      </c>
      <c r="B69" s="17"/>
      <c r="C69" s="230" t="s">
        <v>697</v>
      </c>
      <c r="D69" s="213"/>
      <c r="E69" s="118" t="s">
        <v>688</v>
      </c>
      <c r="F69" s="45" t="s">
        <v>1243</v>
      </c>
      <c r="G69" s="19">
        <v>300</v>
      </c>
      <c r="H69" s="124">
        <v>17</v>
      </c>
      <c r="I69" s="162">
        <v>156</v>
      </c>
      <c r="J69" s="140"/>
      <c r="K69" s="153"/>
      <c r="L69" s="451">
        <v>18.05</v>
      </c>
      <c r="M69" s="457">
        <f t="shared" ref="M69" si="53">23.8*X69/1000</f>
        <v>42.959000000000003</v>
      </c>
      <c r="N69" s="65">
        <f t="shared" ref="N69" si="54">IF(AND(G69&lt;&gt;"",M69&lt;&gt;""),1000*M69/G69,"")</f>
        <v>143.19666666666666</v>
      </c>
      <c r="O69" s="65"/>
      <c r="P69" s="65"/>
      <c r="Q69" s="65">
        <v>232</v>
      </c>
      <c r="R69" s="65">
        <v>4</v>
      </c>
      <c r="S69" s="65">
        <v>8</v>
      </c>
      <c r="T69" s="65">
        <v>364</v>
      </c>
      <c r="U69" s="65">
        <v>903</v>
      </c>
      <c r="V69" s="65">
        <v>319</v>
      </c>
      <c r="W69" s="65"/>
      <c r="X69" s="110">
        <f t="shared" ref="X69" si="55">1000*L69/10</f>
        <v>1805</v>
      </c>
      <c r="Y69" s="216"/>
      <c r="Z69" s="141"/>
      <c r="AA69" s="371">
        <f t="shared" ref="AA69" si="56">1000*M69/Q69</f>
        <v>185.16810344827587</v>
      </c>
      <c r="AB69" s="211">
        <f t="shared" ref="AB69" si="57">L69/V69</f>
        <v>5.6583072100313485E-2</v>
      </c>
      <c r="AC69" s="281">
        <f t="shared" ref="AC69" si="58">T69/V69</f>
        <v>1.1410658307210031</v>
      </c>
      <c r="AD69" s="191">
        <f t="shared" ref="AD69" si="59">(U69*640+V69*9216+W69*147456)/1000000</f>
        <v>3.5178240000000001</v>
      </c>
      <c r="AE69" s="17"/>
      <c r="AF69" s="218"/>
      <c r="AG69" s="516" t="s">
        <v>723</v>
      </c>
    </row>
    <row r="70" spans="1:33" x14ac:dyDescent="0.2">
      <c r="A70" s="182"/>
      <c r="B70" s="48" t="s">
        <v>717</v>
      </c>
      <c r="C70" s="226"/>
      <c r="D70" s="212"/>
      <c r="E70" s="12" t="s">
        <v>1409</v>
      </c>
      <c r="F70" s="466" t="s">
        <v>1013</v>
      </c>
      <c r="G70" s="14" t="s">
        <v>22</v>
      </c>
      <c r="H70" s="132" t="s">
        <v>525</v>
      </c>
      <c r="I70" s="147"/>
      <c r="J70" s="145"/>
      <c r="K70" s="16" t="s">
        <v>22</v>
      </c>
      <c r="L70" s="244" t="s">
        <v>23</v>
      </c>
      <c r="M70" s="60"/>
      <c r="N70" s="385">
        <f>AVERAGE(N74:N77)</f>
        <v>87.872353418297422</v>
      </c>
      <c r="O70" s="61"/>
      <c r="P70" s="61"/>
      <c r="Q70" s="61"/>
      <c r="R70" s="61"/>
      <c r="S70" s="61"/>
      <c r="T70" s="61"/>
      <c r="U70" s="61"/>
      <c r="V70" s="62"/>
      <c r="W70" s="61" t="s">
        <v>66</v>
      </c>
      <c r="X70" s="109" t="s">
        <v>25</v>
      </c>
      <c r="Y70" s="80" t="s">
        <v>65</v>
      </c>
      <c r="Z70" s="164"/>
      <c r="AA70" s="373"/>
      <c r="AB70" s="92"/>
      <c r="AC70" s="98"/>
      <c r="AD70" s="109" t="s">
        <v>66</v>
      </c>
      <c r="AE70" s="193"/>
      <c r="AF70" s="212"/>
      <c r="AG70" s="516" t="s">
        <v>1417</v>
      </c>
    </row>
    <row r="71" spans="1:33" x14ac:dyDescent="0.2">
      <c r="A71" s="182" t="s">
        <v>26</v>
      </c>
      <c r="B71" s="41" t="s">
        <v>701</v>
      </c>
      <c r="C71" s="296"/>
      <c r="D71" s="300" t="s">
        <v>708</v>
      </c>
      <c r="E71" s="1003" t="s">
        <v>1410</v>
      </c>
      <c r="F71" s="304" t="s">
        <v>1418</v>
      </c>
      <c r="G71" s="38">
        <v>0.9</v>
      </c>
      <c r="H71" s="129">
        <v>4.5</v>
      </c>
      <c r="I71" s="1002">
        <v>30</v>
      </c>
      <c r="J71" s="483"/>
      <c r="K71" s="39"/>
      <c r="L71" s="455">
        <f t="shared" ref="L71:L77" si="60">X71/100</f>
        <v>0.04</v>
      </c>
      <c r="M71" s="452">
        <f>X71/100</f>
        <v>0.04</v>
      </c>
      <c r="N71" s="65">
        <f t="shared" ref="N71:N77" si="61">IF(AND(G71&lt;&gt;"",M71&lt;&gt;""),1000*M71/G71,"")</f>
        <v>44.444444444444443</v>
      </c>
      <c r="O71" s="71"/>
      <c r="P71" s="71"/>
      <c r="Q71" s="71"/>
      <c r="R71" s="1004" t="s">
        <v>1422</v>
      </c>
      <c r="S71" s="71"/>
      <c r="T71" s="71">
        <v>54</v>
      </c>
      <c r="U71" s="71"/>
      <c r="V71" s="77"/>
      <c r="W71" s="71"/>
      <c r="X71" s="117">
        <v>4</v>
      </c>
      <c r="Y71" s="89"/>
      <c r="Z71" s="172"/>
      <c r="AA71" s="375"/>
      <c r="AB71" s="95"/>
      <c r="AC71" s="107"/>
      <c r="AD71" s="110">
        <v>8192</v>
      </c>
      <c r="AE71" s="17"/>
      <c r="AF71" s="213"/>
      <c r="AG71" s="236"/>
    </row>
    <row r="72" spans="1:33" x14ac:dyDescent="0.2">
      <c r="A72" s="182" t="s">
        <v>26</v>
      </c>
      <c r="B72" s="41" t="s">
        <v>701</v>
      </c>
      <c r="C72" s="296"/>
      <c r="D72" s="470" t="s">
        <v>702</v>
      </c>
      <c r="E72" s="1003" t="s">
        <v>1411</v>
      </c>
      <c r="F72" s="304" t="s">
        <v>1418</v>
      </c>
      <c r="G72" s="38">
        <v>1.7</v>
      </c>
      <c r="H72" s="129">
        <v>4.5</v>
      </c>
      <c r="I72" s="1002">
        <v>30</v>
      </c>
      <c r="J72" s="483"/>
      <c r="K72" s="39"/>
      <c r="L72" s="455">
        <f t="shared" si="60"/>
        <v>0.08</v>
      </c>
      <c r="M72" s="452">
        <f t="shared" ref="M72:M77" si="62">X72/100</f>
        <v>0.08</v>
      </c>
      <c r="N72" s="65">
        <f t="shared" si="61"/>
        <v>47.058823529411768</v>
      </c>
      <c r="O72" s="71"/>
      <c r="P72" s="71"/>
      <c r="Q72" s="71"/>
      <c r="R72" s="1004" t="s">
        <v>1422</v>
      </c>
      <c r="S72" s="71"/>
      <c r="T72" s="71">
        <v>79</v>
      </c>
      <c r="U72" s="71"/>
      <c r="V72" s="77"/>
      <c r="W72" s="71"/>
      <c r="X72" s="117">
        <v>8</v>
      </c>
      <c r="Y72" s="89"/>
      <c r="Z72" s="172"/>
      <c r="AA72" s="375"/>
      <c r="AB72" s="95"/>
      <c r="AC72" s="107"/>
      <c r="AD72" s="110">
        <v>8192</v>
      </c>
      <c r="AE72" s="17"/>
      <c r="AF72" s="213"/>
      <c r="AG72" s="236"/>
    </row>
    <row r="73" spans="1:33" x14ac:dyDescent="0.2">
      <c r="A73" s="182" t="s">
        <v>26</v>
      </c>
      <c r="B73" s="41" t="s">
        <v>701</v>
      </c>
      <c r="C73" s="296"/>
      <c r="D73" s="470" t="s">
        <v>702</v>
      </c>
      <c r="E73" s="1003" t="s">
        <v>1416</v>
      </c>
      <c r="F73" s="304" t="s">
        <v>1418</v>
      </c>
      <c r="G73" s="38">
        <v>3.5</v>
      </c>
      <c r="H73" s="129">
        <v>5</v>
      </c>
      <c r="I73" s="1002">
        <v>52</v>
      </c>
      <c r="J73" s="483"/>
      <c r="K73" s="39"/>
      <c r="L73" s="455">
        <f t="shared" si="60"/>
        <v>0.16</v>
      </c>
      <c r="M73" s="452">
        <f t="shared" si="62"/>
        <v>0.16</v>
      </c>
      <c r="N73" s="65">
        <f t="shared" si="61"/>
        <v>45.714285714285715</v>
      </c>
      <c r="O73" s="71"/>
      <c r="P73" s="71"/>
      <c r="Q73" s="71"/>
      <c r="R73" s="1004" t="s">
        <v>1422</v>
      </c>
      <c r="S73" s="71"/>
      <c r="T73" s="71">
        <v>79</v>
      </c>
      <c r="U73" s="71"/>
      <c r="V73" s="77"/>
      <c r="W73" s="71"/>
      <c r="X73" s="117">
        <v>16</v>
      </c>
      <c r="Y73" s="89"/>
      <c r="Z73" s="172"/>
      <c r="AA73" s="375"/>
      <c r="AB73" s="95"/>
      <c r="AC73" s="107"/>
      <c r="AD73" s="110">
        <v>8192</v>
      </c>
      <c r="AE73" s="17"/>
      <c r="AF73" s="213"/>
      <c r="AG73" s="236"/>
    </row>
    <row r="74" spans="1:33" x14ac:dyDescent="0.2">
      <c r="A74" s="182" t="s">
        <v>26</v>
      </c>
      <c r="B74" s="41" t="s">
        <v>701</v>
      </c>
      <c r="C74" s="227"/>
      <c r="D74" s="213" t="s">
        <v>708</v>
      </c>
      <c r="E74" s="134" t="s">
        <v>1412</v>
      </c>
      <c r="F74" s="45" t="s">
        <v>1419</v>
      </c>
      <c r="G74" s="19">
        <v>4.9000000000000004</v>
      </c>
      <c r="H74" s="124">
        <v>5</v>
      </c>
      <c r="I74" s="148">
        <v>52</v>
      </c>
      <c r="J74" s="138" t="s">
        <v>67</v>
      </c>
      <c r="K74" s="20">
        <v>11.9</v>
      </c>
      <c r="L74" s="455">
        <f t="shared" si="60"/>
        <v>0.24</v>
      </c>
      <c r="M74" s="452">
        <f t="shared" si="62"/>
        <v>0.24</v>
      </c>
      <c r="N74" s="65">
        <f t="shared" si="61"/>
        <v>48.979591836734691</v>
      </c>
      <c r="O74" s="65">
        <f>IF(AND(G74&lt;&gt;"",L74&lt;&gt;""),L74/G74,"")</f>
        <v>4.8979591836734691E-2</v>
      </c>
      <c r="P74" s="65"/>
      <c r="Q74" s="65"/>
      <c r="R74" s="1004" t="s">
        <v>1422</v>
      </c>
      <c r="S74" s="65"/>
      <c r="T74" s="65">
        <v>114</v>
      </c>
      <c r="U74" s="65"/>
      <c r="V74" s="65"/>
      <c r="W74" s="65"/>
      <c r="X74" s="110">
        <v>24</v>
      </c>
      <c r="Y74" s="81"/>
      <c r="Z74" s="141" t="str">
        <f>IF(AND(L74&lt;&gt;"",Y74&lt;&gt;""),1000*L74/Y74,"")</f>
        <v/>
      </c>
      <c r="AA74" s="371"/>
      <c r="AB74" s="54"/>
      <c r="AC74" s="99"/>
      <c r="AD74" s="110">
        <v>8192</v>
      </c>
      <c r="AE74" s="17"/>
      <c r="AF74" s="213"/>
      <c r="AG74" s="236"/>
    </row>
    <row r="75" spans="1:33" x14ac:dyDescent="0.2">
      <c r="A75" s="182" t="s">
        <v>26</v>
      </c>
      <c r="B75" s="41" t="s">
        <v>701</v>
      </c>
      <c r="C75" s="227"/>
      <c r="D75" s="213" t="s">
        <v>708</v>
      </c>
      <c r="E75" s="134" t="s">
        <v>1413</v>
      </c>
      <c r="F75" s="45" t="s">
        <v>1420</v>
      </c>
      <c r="G75" s="19">
        <v>7.5</v>
      </c>
      <c r="H75" s="124">
        <v>6</v>
      </c>
      <c r="I75" s="148">
        <v>74</v>
      </c>
      <c r="J75" s="138" t="s">
        <v>69</v>
      </c>
      <c r="K75" s="20">
        <v>43.3</v>
      </c>
      <c r="L75" s="455">
        <f t="shared" si="60"/>
        <v>0.56999999999999995</v>
      </c>
      <c r="M75" s="452">
        <f t="shared" si="62"/>
        <v>0.56999999999999995</v>
      </c>
      <c r="N75" s="65">
        <f t="shared" si="61"/>
        <v>76</v>
      </c>
      <c r="O75" s="65">
        <f>IF(AND(G75&lt;&gt;"",L75&lt;&gt;""),L75/G75,"")</f>
        <v>7.5999999999999998E-2</v>
      </c>
      <c r="P75" s="65"/>
      <c r="Q75" s="65"/>
      <c r="R75" s="1004" t="s">
        <v>1422</v>
      </c>
      <c r="S75" s="65"/>
      <c r="T75" s="65">
        <v>159</v>
      </c>
      <c r="U75" s="65"/>
      <c r="V75" s="65"/>
      <c r="W75" s="65"/>
      <c r="X75" s="110">
        <v>57</v>
      </c>
      <c r="Y75" s="81"/>
      <c r="Z75" s="141" t="str">
        <f>IF(AND(L75&lt;&gt;"",Y75&lt;&gt;""),1000*L75/Y75,"")</f>
        <v/>
      </c>
      <c r="AA75" s="371"/>
      <c r="AB75" s="54"/>
      <c r="AC75" s="99"/>
      <c r="AD75" s="110">
        <v>8192</v>
      </c>
      <c r="AE75" s="17"/>
      <c r="AF75" s="213"/>
      <c r="AG75" s="236"/>
    </row>
    <row r="76" spans="1:33" x14ac:dyDescent="0.2">
      <c r="A76" s="182" t="s">
        <v>26</v>
      </c>
      <c r="B76" s="41" t="s">
        <v>701</v>
      </c>
      <c r="C76" s="227"/>
      <c r="D76" s="229" t="s">
        <v>702</v>
      </c>
      <c r="E76" s="134" t="s">
        <v>1414</v>
      </c>
      <c r="F76" s="45" t="s">
        <v>1419</v>
      </c>
      <c r="G76" s="19">
        <v>11</v>
      </c>
      <c r="H76" s="124">
        <v>17</v>
      </c>
      <c r="I76" s="148">
        <v>114</v>
      </c>
      <c r="J76" s="138" t="s">
        <v>69</v>
      </c>
      <c r="K76" s="20">
        <v>60</v>
      </c>
      <c r="L76" s="455">
        <f t="shared" si="60"/>
        <v>1.27</v>
      </c>
      <c r="M76" s="452">
        <f t="shared" si="62"/>
        <v>1.27</v>
      </c>
      <c r="N76" s="65">
        <f t="shared" si="61"/>
        <v>115.45454545454545</v>
      </c>
      <c r="O76" s="65">
        <f>IF(AND(G76&lt;&gt;"",L76&lt;&gt;""),L76/G76,"")</f>
        <v>0.11545454545454546</v>
      </c>
      <c r="P76" s="65"/>
      <c r="Q76" s="65"/>
      <c r="R76" s="1004" t="s">
        <v>1422</v>
      </c>
      <c r="S76" s="65"/>
      <c r="T76" s="65">
        <v>271</v>
      </c>
      <c r="U76" s="65"/>
      <c r="V76" s="65"/>
      <c r="W76" s="65"/>
      <c r="X76" s="110">
        <v>127</v>
      </c>
      <c r="Y76" s="81"/>
      <c r="Z76" s="141" t="str">
        <f>IF(AND(L76&lt;&gt;"",Y76&lt;&gt;""),1000*L76/Y76,"")</f>
        <v/>
      </c>
      <c r="AA76" s="371"/>
      <c r="AB76" s="54"/>
      <c r="AC76" s="99"/>
      <c r="AD76" s="110">
        <v>8192</v>
      </c>
      <c r="AE76" s="17"/>
      <c r="AF76" s="213"/>
      <c r="AG76" s="236"/>
    </row>
    <row r="77" spans="1:33" ht="12.75" customHeight="1" thickBot="1" x14ac:dyDescent="0.25">
      <c r="A77" s="182" t="s">
        <v>26</v>
      </c>
      <c r="B77" s="33" t="s">
        <v>701</v>
      </c>
      <c r="C77" s="228"/>
      <c r="D77" s="213" t="s">
        <v>708</v>
      </c>
      <c r="E77" s="417" t="s">
        <v>1415</v>
      </c>
      <c r="F77" s="133" t="s">
        <v>1421</v>
      </c>
      <c r="G77" s="23">
        <v>19.899999999999999</v>
      </c>
      <c r="H77" s="125">
        <v>17</v>
      </c>
      <c r="I77" s="149">
        <v>203</v>
      </c>
      <c r="J77" s="150" t="s">
        <v>74</v>
      </c>
      <c r="K77" s="24">
        <v>92.8</v>
      </c>
      <c r="L77" s="455">
        <f t="shared" si="60"/>
        <v>2.21</v>
      </c>
      <c r="M77" s="452">
        <f t="shared" si="62"/>
        <v>2.21</v>
      </c>
      <c r="N77" s="65">
        <f t="shared" si="61"/>
        <v>111.05527638190955</v>
      </c>
      <c r="O77" s="68">
        <f>IF(AND(G77&lt;&gt;"",L77&lt;&gt;""),L77/G77,"")</f>
        <v>0.11105527638190955</v>
      </c>
      <c r="P77" s="68"/>
      <c r="Q77" s="68"/>
      <c r="R77" s="1004" t="s">
        <v>1422</v>
      </c>
      <c r="S77" s="68"/>
      <c r="T77" s="68">
        <v>271</v>
      </c>
      <c r="U77" s="68"/>
      <c r="V77" s="68"/>
      <c r="W77" s="68"/>
      <c r="X77" s="111">
        <v>221</v>
      </c>
      <c r="Y77" s="82"/>
      <c r="Z77" s="141" t="str">
        <f>IF(AND(L77&lt;&gt;"",Y77&lt;&gt;""),1000*L77/Y77,"")</f>
        <v/>
      </c>
      <c r="AA77" s="371"/>
      <c r="AB77" s="55"/>
      <c r="AC77" s="100"/>
      <c r="AD77" s="111">
        <v>8192</v>
      </c>
      <c r="AE77" s="21"/>
      <c r="AF77" s="214"/>
      <c r="AG77" s="236"/>
    </row>
    <row r="78" spans="1:33" x14ac:dyDescent="0.2">
      <c r="A78" s="182"/>
      <c r="B78" s="48" t="s">
        <v>717</v>
      </c>
      <c r="C78" s="226"/>
      <c r="D78" s="212"/>
      <c r="E78" s="12" t="s">
        <v>1041</v>
      </c>
      <c r="F78" s="466" t="s">
        <v>1018</v>
      </c>
      <c r="G78" s="14" t="s">
        <v>22</v>
      </c>
      <c r="H78" s="132" t="s">
        <v>513</v>
      </c>
      <c r="I78" s="161"/>
      <c r="J78" s="136"/>
      <c r="K78" s="16" t="s">
        <v>22</v>
      </c>
      <c r="L78" s="486" t="s">
        <v>1442</v>
      </c>
      <c r="M78" s="61" t="s">
        <v>989</v>
      </c>
      <c r="N78" s="380">
        <f>AVERAGE(N79:N87)</f>
        <v>762.0710363449848</v>
      </c>
      <c r="O78" s="61"/>
      <c r="P78" s="399" t="s">
        <v>1171</v>
      </c>
      <c r="Q78" s="61" t="s">
        <v>1737</v>
      </c>
      <c r="R78" s="61"/>
      <c r="S78" s="61" t="s">
        <v>1053</v>
      </c>
      <c r="T78" s="61"/>
      <c r="U78" s="61" t="s">
        <v>1047</v>
      </c>
      <c r="V78" s="468" t="s">
        <v>1048</v>
      </c>
      <c r="W78" s="61" t="s">
        <v>634</v>
      </c>
      <c r="X78" s="109" t="s">
        <v>25</v>
      </c>
      <c r="Y78" s="215"/>
      <c r="Z78" s="164"/>
      <c r="AA78" s="370">
        <f>AVERAGE(AA79:AA87)</f>
        <v>386.27982011109702</v>
      </c>
      <c r="AB78" s="370">
        <v>0</v>
      </c>
      <c r="AC78" s="907">
        <f>AVERAGE(AC79:AC87)</f>
        <v>1.2713840251116215</v>
      </c>
      <c r="AD78" s="109" t="s">
        <v>650</v>
      </c>
      <c r="AE78" s="201"/>
      <c r="AF78" s="1115" t="e">
        <f>AVERAGE(AF79:AF87)</f>
        <v>#DIV/0!</v>
      </c>
      <c r="AG78"/>
    </row>
    <row r="79" spans="1:33" x14ac:dyDescent="0.2">
      <c r="A79" s="182" t="s">
        <v>929</v>
      </c>
      <c r="B79" s="17" t="s">
        <v>702</v>
      </c>
      <c r="C79" s="230"/>
      <c r="D79" s="213" t="s">
        <v>708</v>
      </c>
      <c r="E79" s="910" t="s">
        <v>1971</v>
      </c>
      <c r="F79" s="45" t="s">
        <v>1383</v>
      </c>
      <c r="G79" s="1114">
        <v>34.81</v>
      </c>
      <c r="H79" s="124">
        <v>15</v>
      </c>
      <c r="I79" s="162">
        <v>144</v>
      </c>
      <c r="J79" s="138"/>
      <c r="K79" s="20"/>
      <c r="L79" s="456">
        <v>9.4339999999999993</v>
      </c>
      <c r="M79" s="457">
        <v>25.000099999999996</v>
      </c>
      <c r="N79" s="65">
        <f t="shared" ref="N79:N87" si="63">IF(AND(G79&lt;&gt;"",M79&lt;&gt;""),1000*M79/G79,"")</f>
        <v>718.1873024992816</v>
      </c>
      <c r="O79" s="64"/>
      <c r="P79" s="64"/>
      <c r="Q79" s="65">
        <v>50</v>
      </c>
      <c r="R79" s="65">
        <v>4</v>
      </c>
      <c r="S79" s="65"/>
      <c r="T79" s="65">
        <v>224</v>
      </c>
      <c r="U79" s="64">
        <v>1</v>
      </c>
      <c r="V79" s="65">
        <v>166</v>
      </c>
      <c r="W79" s="65"/>
      <c r="X79" s="110">
        <v>943.4</v>
      </c>
      <c r="Y79" s="81"/>
      <c r="Z79" s="141"/>
      <c r="AA79" s="378">
        <f t="shared" ref="AA79:AA87" si="64">M79*1000/Q79</f>
        <v>500.0019999999999</v>
      </c>
      <c r="AB79" s="906">
        <v>0</v>
      </c>
      <c r="AC79" s="216">
        <v>1.8313253012048192</v>
      </c>
      <c r="AD79" s="191">
        <v>1.69984</v>
      </c>
      <c r="AE79" s="188"/>
      <c r="AF79" s="198"/>
      <c r="AG79" s="6" t="s">
        <v>235</v>
      </c>
    </row>
    <row r="80" spans="1:33" x14ac:dyDescent="0.2">
      <c r="A80" s="182" t="s">
        <v>929</v>
      </c>
      <c r="B80" s="17" t="s">
        <v>702</v>
      </c>
      <c r="C80" s="230"/>
      <c r="D80" s="213" t="s">
        <v>708</v>
      </c>
      <c r="E80" s="910" t="s">
        <v>1559</v>
      </c>
      <c r="F80" s="45" t="s">
        <v>1384</v>
      </c>
      <c r="G80" s="1114">
        <v>59.57</v>
      </c>
      <c r="H80" s="124">
        <v>15</v>
      </c>
      <c r="I80" s="162">
        <v>112</v>
      </c>
      <c r="J80" s="138"/>
      <c r="K80" s="20"/>
      <c r="L80" s="456">
        <v>11.9</v>
      </c>
      <c r="M80" s="457">
        <v>30.999700000000001</v>
      </c>
      <c r="N80" s="65">
        <f t="shared" si="63"/>
        <v>520.39113647809302</v>
      </c>
      <c r="O80" s="64"/>
      <c r="P80" s="64"/>
      <c r="Q80" s="65">
        <v>102</v>
      </c>
      <c r="R80" s="65">
        <v>4</v>
      </c>
      <c r="S80" s="65" t="s">
        <v>1055</v>
      </c>
      <c r="T80" s="65">
        <v>208</v>
      </c>
      <c r="U80" s="64">
        <v>1</v>
      </c>
      <c r="V80" s="65">
        <v>138</v>
      </c>
      <c r="W80" s="65">
        <v>1</v>
      </c>
      <c r="X80" s="110">
        <v>1169.8</v>
      </c>
      <c r="Y80" s="81"/>
      <c r="Z80" s="141"/>
      <c r="AA80" s="378">
        <f t="shared" si="64"/>
        <v>303.91862745098041</v>
      </c>
      <c r="AB80" s="154">
        <v>0</v>
      </c>
      <c r="AC80" s="281">
        <v>1.6231884057971016</v>
      </c>
      <c r="AD80" s="191">
        <v>1.4131199999999999</v>
      </c>
      <c r="AE80" s="188"/>
      <c r="AF80" s="198"/>
    </row>
    <row r="81" spans="1:33" x14ac:dyDescent="0.2">
      <c r="A81" s="182"/>
      <c r="B81" s="41" t="s">
        <v>702</v>
      </c>
      <c r="C81" s="230"/>
      <c r="D81" s="229" t="s">
        <v>708</v>
      </c>
      <c r="E81" s="910" t="s">
        <v>1972</v>
      </c>
      <c r="F81" s="45" t="s">
        <v>1258</v>
      </c>
      <c r="G81" s="1114">
        <v>61.72</v>
      </c>
      <c r="H81" s="124">
        <v>19</v>
      </c>
      <c r="I81" s="162">
        <v>227</v>
      </c>
      <c r="J81" s="138"/>
      <c r="K81" s="20"/>
      <c r="L81" s="456">
        <v>15.093999999999999</v>
      </c>
      <c r="M81" s="457">
        <v>39.999099999999999</v>
      </c>
      <c r="N81" s="65">
        <f t="shared" si="63"/>
        <v>648.07355800388848</v>
      </c>
      <c r="O81" s="64"/>
      <c r="P81" s="64">
        <v>2</v>
      </c>
      <c r="Q81" s="65">
        <v>168</v>
      </c>
      <c r="R81" s="65">
        <v>8</v>
      </c>
      <c r="S81" s="65"/>
      <c r="T81" s="65">
        <v>326</v>
      </c>
      <c r="U81" s="253">
        <v>2</v>
      </c>
      <c r="V81" s="65">
        <v>220</v>
      </c>
      <c r="W81" s="65"/>
      <c r="X81" s="110">
        <v>1509.3999999999999</v>
      </c>
      <c r="Y81" s="81"/>
      <c r="Z81" s="141"/>
      <c r="AA81" s="378">
        <f t="shared" si="64"/>
        <v>238.08988095238095</v>
      </c>
      <c r="AB81" s="154"/>
      <c r="AC81" s="281">
        <v>1.4181818181818182</v>
      </c>
      <c r="AD81" s="191">
        <v>2.2528000000000001</v>
      </c>
      <c r="AE81" s="188"/>
      <c r="AF81" s="198"/>
      <c r="AG81" s="492" t="s">
        <v>1561</v>
      </c>
    </row>
    <row r="82" spans="1:33" x14ac:dyDescent="0.2">
      <c r="A82" s="182" t="s">
        <v>929</v>
      </c>
      <c r="B82" s="17" t="s">
        <v>702</v>
      </c>
      <c r="C82" s="230"/>
      <c r="D82" s="213" t="s">
        <v>708</v>
      </c>
      <c r="E82" s="910" t="s">
        <v>1558</v>
      </c>
      <c r="F82" s="45" t="s">
        <v>1383</v>
      </c>
      <c r="G82" s="1114">
        <v>49.4</v>
      </c>
      <c r="H82" s="124">
        <v>15</v>
      </c>
      <c r="I82" s="162">
        <v>144</v>
      </c>
      <c r="J82" s="138"/>
      <c r="K82" s="20"/>
      <c r="L82" s="456">
        <v>18.48</v>
      </c>
      <c r="M82" s="457">
        <v>47.999449999999996</v>
      </c>
      <c r="N82" s="65">
        <f t="shared" si="63"/>
        <v>971.64878542510121</v>
      </c>
      <c r="O82" s="64"/>
      <c r="P82" s="64"/>
      <c r="Q82" s="65">
        <v>132</v>
      </c>
      <c r="R82" s="65">
        <v>4</v>
      </c>
      <c r="S82" s="65"/>
      <c r="T82" s="65">
        <v>224</v>
      </c>
      <c r="U82" s="64">
        <v>1</v>
      </c>
      <c r="V82" s="65">
        <v>264</v>
      </c>
      <c r="W82" s="65"/>
      <c r="X82" s="110">
        <v>1811.3</v>
      </c>
      <c r="Y82" s="81"/>
      <c r="Z82" s="141"/>
      <c r="AA82" s="378">
        <f t="shared" si="64"/>
        <v>363.63219696969696</v>
      </c>
      <c r="AB82" s="154"/>
      <c r="AC82" s="281">
        <v>1.1515151515151516</v>
      </c>
      <c r="AD82" s="191">
        <v>2.70336</v>
      </c>
      <c r="AE82" s="188"/>
      <c r="AF82" s="198"/>
      <c r="AG82" s="492" t="s">
        <v>1552</v>
      </c>
    </row>
    <row r="83" spans="1:33" x14ac:dyDescent="0.2">
      <c r="A83" s="182" t="s">
        <v>929</v>
      </c>
      <c r="B83" s="17" t="s">
        <v>702</v>
      </c>
      <c r="C83" s="230"/>
      <c r="D83" s="213" t="s">
        <v>708</v>
      </c>
      <c r="E83" s="910" t="s">
        <v>1560</v>
      </c>
      <c r="F83" s="45" t="s">
        <v>1278</v>
      </c>
      <c r="G83" s="1114">
        <v>93.91</v>
      </c>
      <c r="H83" s="124">
        <v>19</v>
      </c>
      <c r="I83" s="162">
        <v>240</v>
      </c>
      <c r="J83" s="138"/>
      <c r="K83" s="20"/>
      <c r="L83" s="456">
        <v>18.867999999999999</v>
      </c>
      <c r="M83" s="457">
        <v>50.000199999999992</v>
      </c>
      <c r="N83" s="65">
        <f t="shared" si="63"/>
        <v>532.42679160898729</v>
      </c>
      <c r="O83" s="64"/>
      <c r="P83" s="64"/>
      <c r="Q83" s="65">
        <v>140</v>
      </c>
      <c r="R83" s="65">
        <v>6</v>
      </c>
      <c r="S83" s="65" t="s">
        <v>1056</v>
      </c>
      <c r="T83" s="65">
        <v>336</v>
      </c>
      <c r="U83" s="64">
        <v>2</v>
      </c>
      <c r="V83" s="65">
        <v>244</v>
      </c>
      <c r="W83" s="65">
        <v>1</v>
      </c>
      <c r="X83" s="110">
        <v>1886.8</v>
      </c>
      <c r="Y83" s="81"/>
      <c r="Z83" s="141"/>
      <c r="AA83" s="378">
        <f t="shared" si="64"/>
        <v>357.14428571428562</v>
      </c>
      <c r="AB83" s="154">
        <v>0</v>
      </c>
      <c r="AC83" s="281">
        <v>1.5081967213114753</v>
      </c>
      <c r="AD83" s="191">
        <v>2.4985599999999999</v>
      </c>
      <c r="AE83" s="188"/>
      <c r="AF83" s="198"/>
      <c r="AG83"/>
    </row>
    <row r="84" spans="1:33" x14ac:dyDescent="0.2">
      <c r="A84" s="182" t="s">
        <v>929</v>
      </c>
      <c r="B84" s="17" t="s">
        <v>702</v>
      </c>
      <c r="C84" s="230"/>
      <c r="D84" s="213" t="s">
        <v>708</v>
      </c>
      <c r="E84" s="910" t="s">
        <v>1973</v>
      </c>
      <c r="F84" s="45" t="s">
        <v>1278</v>
      </c>
      <c r="G84" s="1114">
        <v>88.04</v>
      </c>
      <c r="H84" s="124">
        <v>19</v>
      </c>
      <c r="I84" s="162">
        <v>238</v>
      </c>
      <c r="J84" s="138"/>
      <c r="K84" s="20"/>
      <c r="L84" s="456">
        <v>29.08</v>
      </c>
      <c r="M84" s="457">
        <v>76.500199999999992</v>
      </c>
      <c r="N84" s="65">
        <f t="shared" si="63"/>
        <v>868.92548841435701</v>
      </c>
      <c r="O84" s="64"/>
      <c r="P84" s="64"/>
      <c r="Q84" s="65">
        <v>300</v>
      </c>
      <c r="R84" s="65">
        <v>6</v>
      </c>
      <c r="S84" s="65"/>
      <c r="T84" s="65">
        <v>240</v>
      </c>
      <c r="U84" s="64">
        <v>2</v>
      </c>
      <c r="V84" s="65">
        <v>372</v>
      </c>
      <c r="W84" s="65"/>
      <c r="X84" s="110">
        <v>2886.7999999999997</v>
      </c>
      <c r="Y84" s="81"/>
      <c r="Z84" s="141"/>
      <c r="AA84" s="378">
        <f t="shared" si="64"/>
        <v>255.00066666666666</v>
      </c>
      <c r="AB84" s="154">
        <v>0</v>
      </c>
      <c r="AC84" s="281">
        <v>0.967741935483871</v>
      </c>
      <c r="AD84" s="191">
        <v>3.8092800000000002</v>
      </c>
      <c r="AE84" s="188"/>
      <c r="AF84" s="198"/>
      <c r="AG84" s="6" t="s">
        <v>1054</v>
      </c>
    </row>
    <row r="85" spans="1:33" x14ac:dyDescent="0.2">
      <c r="A85" s="182" t="s">
        <v>929</v>
      </c>
      <c r="B85" s="41" t="s">
        <v>702</v>
      </c>
      <c r="C85" s="230"/>
      <c r="D85" s="229" t="s">
        <v>708</v>
      </c>
      <c r="E85" s="910" t="s">
        <v>1974</v>
      </c>
      <c r="F85" s="45" t="s">
        <v>1258</v>
      </c>
      <c r="G85" s="1114">
        <v>97.4</v>
      </c>
      <c r="H85" s="124">
        <v>19</v>
      </c>
      <c r="I85" s="162">
        <v>227</v>
      </c>
      <c r="J85" s="138"/>
      <c r="K85" s="20"/>
      <c r="L85" s="456">
        <v>32.075000000000003</v>
      </c>
      <c r="M85" s="457">
        <v>84.998750000000001</v>
      </c>
      <c r="N85" s="65">
        <f t="shared" si="63"/>
        <v>872.67710472279259</v>
      </c>
      <c r="O85" s="64"/>
      <c r="P85" s="64">
        <v>2</v>
      </c>
      <c r="Q85" s="65">
        <v>174</v>
      </c>
      <c r="R85" s="65">
        <v>9</v>
      </c>
      <c r="S85" s="65"/>
      <c r="T85" s="65">
        <v>469</v>
      </c>
      <c r="U85" s="253">
        <v>2</v>
      </c>
      <c r="V85" s="65">
        <v>388</v>
      </c>
      <c r="W85" s="65"/>
      <c r="X85" s="110">
        <v>3207.5000000000005</v>
      </c>
      <c r="Y85" s="81"/>
      <c r="Z85" s="141"/>
      <c r="AA85" s="378">
        <f t="shared" si="64"/>
        <v>488.49856321839081</v>
      </c>
      <c r="AB85" s="154"/>
      <c r="AC85" s="281">
        <v>1.2268041237113403</v>
      </c>
      <c r="AD85" s="191">
        <v>3.9731200000000002</v>
      </c>
      <c r="AE85" s="188"/>
      <c r="AF85" s="198"/>
      <c r="AG85" s="492" t="s">
        <v>1561</v>
      </c>
    </row>
    <row r="86" spans="1:33" x14ac:dyDescent="0.2">
      <c r="A86" s="182" t="s">
        <v>929</v>
      </c>
      <c r="B86" s="41" t="s">
        <v>702</v>
      </c>
      <c r="C86" s="230"/>
      <c r="D86" s="229" t="s">
        <v>708</v>
      </c>
      <c r="E86" s="910" t="s">
        <v>1975</v>
      </c>
      <c r="F86" s="45" t="s">
        <v>1258</v>
      </c>
      <c r="G86" s="1114">
        <v>139.56</v>
      </c>
      <c r="H86" s="124">
        <v>19</v>
      </c>
      <c r="I86" s="162">
        <v>227</v>
      </c>
      <c r="J86" s="138"/>
      <c r="K86" s="20"/>
      <c r="L86" s="456">
        <v>41.509</v>
      </c>
      <c r="M86" s="457">
        <v>109.99884999999999</v>
      </c>
      <c r="N86" s="65">
        <f t="shared" si="63"/>
        <v>788.18321868730288</v>
      </c>
      <c r="O86" s="64"/>
      <c r="P86" s="64">
        <v>2</v>
      </c>
      <c r="Q86" s="65">
        <v>224</v>
      </c>
      <c r="R86" s="65">
        <v>9</v>
      </c>
      <c r="S86" s="65"/>
      <c r="T86" s="65">
        <v>469</v>
      </c>
      <c r="U86" s="151">
        <v>2</v>
      </c>
      <c r="V86" s="65">
        <v>502</v>
      </c>
      <c r="W86" s="65"/>
      <c r="X86" s="110">
        <v>4150.8999999999996</v>
      </c>
      <c r="Y86" s="81"/>
      <c r="Z86" s="141"/>
      <c r="AA86" s="378">
        <f t="shared" si="64"/>
        <v>491.06629464285709</v>
      </c>
      <c r="AB86" s="235"/>
      <c r="AC86" s="908">
        <v>0.94820717131474108</v>
      </c>
      <c r="AD86" s="191">
        <v>5.1404800000000002</v>
      </c>
      <c r="AE86" s="188"/>
      <c r="AF86" s="198"/>
      <c r="AG86" s="492" t="s">
        <v>1561</v>
      </c>
    </row>
    <row r="87" spans="1:33" ht="13.5" thickBot="1" x14ac:dyDescent="0.25">
      <c r="A87" s="182" t="s">
        <v>929</v>
      </c>
      <c r="B87" s="25" t="s">
        <v>702</v>
      </c>
      <c r="C87" s="303"/>
      <c r="D87" s="240" t="s">
        <v>708</v>
      </c>
      <c r="E87" s="910" t="s">
        <v>1976</v>
      </c>
      <c r="F87" s="45" t="s">
        <v>1258</v>
      </c>
      <c r="G87" s="1114">
        <v>159.36000000000001</v>
      </c>
      <c r="H87" s="124">
        <v>19</v>
      </c>
      <c r="I87" s="162">
        <v>230</v>
      </c>
      <c r="J87" s="138"/>
      <c r="K87" s="20"/>
      <c r="L87" s="456">
        <v>56.48</v>
      </c>
      <c r="M87" s="457">
        <v>149.49975000000001</v>
      </c>
      <c r="N87" s="65">
        <f t="shared" si="63"/>
        <v>938.12594126506019</v>
      </c>
      <c r="O87" s="64"/>
      <c r="P87" s="64"/>
      <c r="Q87" s="65">
        <v>312</v>
      </c>
      <c r="R87" s="65">
        <v>7</v>
      </c>
      <c r="S87" s="65"/>
      <c r="T87" s="65">
        <v>480</v>
      </c>
      <c r="U87" s="65">
        <v>2</v>
      </c>
      <c r="V87" s="65">
        <v>636</v>
      </c>
      <c r="W87" s="65"/>
      <c r="X87" s="110">
        <v>5641.5</v>
      </c>
      <c r="Y87" s="81"/>
      <c r="Z87" s="141"/>
      <c r="AA87" s="378">
        <f t="shared" si="64"/>
        <v>479.16586538461536</v>
      </c>
      <c r="AB87" s="235">
        <v>0</v>
      </c>
      <c r="AC87" s="908">
        <v>0.76729559748427678</v>
      </c>
      <c r="AD87" s="191">
        <v>6.5126400000000002</v>
      </c>
      <c r="AE87" s="188"/>
      <c r="AF87" s="198"/>
      <c r="AG87" s="6" t="s">
        <v>1070</v>
      </c>
    </row>
    <row r="88" spans="1:33" x14ac:dyDescent="0.2">
      <c r="A88" s="182"/>
      <c r="B88" s="48" t="s">
        <v>717</v>
      </c>
      <c r="C88" s="226"/>
      <c r="D88" s="212"/>
      <c r="E88" s="12" t="s">
        <v>1592</v>
      </c>
      <c r="F88" s="466" t="s">
        <v>1584</v>
      </c>
      <c r="G88" s="14" t="s">
        <v>22</v>
      </c>
      <c r="H88" s="132" t="s">
        <v>528</v>
      </c>
      <c r="I88" s="147"/>
      <c r="J88" s="145"/>
      <c r="K88" s="16" t="s">
        <v>22</v>
      </c>
      <c r="L88" s="248" t="s">
        <v>23</v>
      </c>
      <c r="M88" s="60"/>
      <c r="N88" s="385">
        <f>AVERAGE(N89:N95)</f>
        <v>645.69376610135544</v>
      </c>
      <c r="O88" s="61"/>
      <c r="P88" s="61"/>
      <c r="Q88" s="399" t="s">
        <v>92</v>
      </c>
      <c r="R88" s="61"/>
      <c r="S88" s="61" t="s">
        <v>1595</v>
      </c>
      <c r="T88" s="61"/>
      <c r="U88" s="61" t="s">
        <v>1593</v>
      </c>
      <c r="V88" s="62" t="s">
        <v>157</v>
      </c>
      <c r="W88" s="61" t="s">
        <v>1329</v>
      </c>
      <c r="X88" s="109" t="s">
        <v>25</v>
      </c>
      <c r="Y88" s="80" t="s">
        <v>65</v>
      </c>
      <c r="Z88" s="164"/>
      <c r="AA88" s="372">
        <f>AVERAGE(AA89:AA95)</f>
        <v>305.09379509379511</v>
      </c>
      <c r="AB88" s="92"/>
      <c r="AC88" s="398">
        <f>AVERAGE(AC89:AC95)</f>
        <v>6.8044642320988924</v>
      </c>
      <c r="AD88" s="109" t="s">
        <v>650</v>
      </c>
      <c r="AE88" s="193"/>
      <c r="AF88" s="212"/>
      <c r="AG88" s="516" t="s">
        <v>1583</v>
      </c>
    </row>
    <row r="89" spans="1:33" x14ac:dyDescent="0.2">
      <c r="A89" s="182" t="s">
        <v>26</v>
      </c>
      <c r="B89" s="1145" t="s">
        <v>1594</v>
      </c>
      <c r="C89" s="1144" t="s">
        <v>697</v>
      </c>
      <c r="D89" s="300" t="s">
        <v>702</v>
      </c>
      <c r="E89" s="1003" t="s">
        <v>1585</v>
      </c>
      <c r="F89" s="304" t="s">
        <v>1680</v>
      </c>
      <c r="G89" s="38">
        <v>3.78</v>
      </c>
      <c r="H89" s="1547">
        <v>3</v>
      </c>
      <c r="I89" s="1002">
        <v>27</v>
      </c>
      <c r="J89" s="483"/>
      <c r="K89" s="39"/>
      <c r="L89" s="451">
        <f t="shared" ref="L89:L95" si="65">X89/100</f>
        <v>2</v>
      </c>
      <c r="M89" s="452">
        <f>X89/100</f>
        <v>2</v>
      </c>
      <c r="N89" s="65">
        <f t="shared" ref="N89:N104" si="66">IF(AND(G89&lt;&gt;"",M89&lt;&gt;""),1000*M89/G89,"")</f>
        <v>529.10052910052912</v>
      </c>
      <c r="O89" s="71"/>
      <c r="P89" s="71"/>
      <c r="Q89" s="71">
        <v>16</v>
      </c>
      <c r="R89" s="1004">
        <v>2</v>
      </c>
      <c r="S89" s="71"/>
      <c r="T89" s="71">
        <v>160</v>
      </c>
      <c r="U89" s="71"/>
      <c r="V89" s="77">
        <v>12</v>
      </c>
      <c r="W89" s="71">
        <v>12</v>
      </c>
      <c r="X89" s="117">
        <v>200</v>
      </c>
      <c r="Y89" s="89">
        <v>1.5</v>
      </c>
      <c r="Z89" s="141">
        <f>IF(AND(L89&lt;&gt;"",Y89&lt;&gt;""),1000*L89/Y89,"")</f>
        <v>1333.3333333333333</v>
      </c>
      <c r="AA89" s="378">
        <f t="shared" ref="AA89:AA104" si="67">M89*1000/Q89</f>
        <v>125</v>
      </c>
      <c r="AB89" s="95"/>
      <c r="AC89" s="99">
        <f>T89/V89</f>
        <v>13.333333333333334</v>
      </c>
      <c r="AD89" s="191">
        <f>256*36*V89/1000000</f>
        <v>0.110592</v>
      </c>
      <c r="AE89" s="17"/>
      <c r="AF89" s="213"/>
      <c r="AG89" s="236" t="s">
        <v>1596</v>
      </c>
    </row>
    <row r="90" spans="1:33" x14ac:dyDescent="0.2">
      <c r="A90" s="182" t="s">
        <v>26</v>
      </c>
      <c r="B90" s="1145" t="s">
        <v>1594</v>
      </c>
      <c r="C90" s="1144" t="s">
        <v>697</v>
      </c>
      <c r="D90" s="470" t="s">
        <v>702</v>
      </c>
      <c r="E90" s="1003" t="s">
        <v>1586</v>
      </c>
      <c r="F90" s="304" t="s">
        <v>1709</v>
      </c>
      <c r="G90" s="38">
        <v>9.6300000000000008</v>
      </c>
      <c r="H90" s="1547">
        <v>8</v>
      </c>
      <c r="I90" s="1002">
        <v>112</v>
      </c>
      <c r="J90" s="483"/>
      <c r="K90" s="39"/>
      <c r="L90" s="451">
        <f t="shared" si="65"/>
        <v>4</v>
      </c>
      <c r="M90" s="452">
        <f t="shared" ref="M90:M95" si="68">X90/100</f>
        <v>4</v>
      </c>
      <c r="N90" s="65">
        <f t="shared" si="66"/>
        <v>415.36863966770505</v>
      </c>
      <c r="O90" s="71"/>
      <c r="P90" s="71"/>
      <c r="Q90" s="71">
        <v>20</v>
      </c>
      <c r="R90" s="1004">
        <v>2</v>
      </c>
      <c r="S90" s="71">
        <v>1</v>
      </c>
      <c r="T90" s="71">
        <v>246</v>
      </c>
      <c r="U90" s="71"/>
      <c r="V90" s="77">
        <v>21</v>
      </c>
      <c r="W90" s="71">
        <v>156</v>
      </c>
      <c r="X90" s="117">
        <v>400</v>
      </c>
      <c r="Y90" s="89"/>
      <c r="Z90" s="172"/>
      <c r="AA90" s="378">
        <f t="shared" si="67"/>
        <v>200</v>
      </c>
      <c r="AB90" s="95"/>
      <c r="AC90" s="99">
        <f t="shared" ref="AC90:AC104" si="69">T90/V90</f>
        <v>11.714285714285714</v>
      </c>
      <c r="AD90" s="191">
        <f t="shared" ref="AD90:AD104" si="70">256*36*V90/1000000</f>
        <v>0.19353600000000001</v>
      </c>
      <c r="AE90" s="17"/>
      <c r="AF90" s="213"/>
      <c r="AG90" s="516" t="s">
        <v>1783</v>
      </c>
    </row>
    <row r="91" spans="1:33" x14ac:dyDescent="0.2">
      <c r="A91" s="182" t="s">
        <v>26</v>
      </c>
      <c r="B91" s="1145" t="s">
        <v>1594</v>
      </c>
      <c r="C91" s="1144" t="s">
        <v>697</v>
      </c>
      <c r="D91" s="470" t="s">
        <v>702</v>
      </c>
      <c r="E91" s="1003" t="s">
        <v>1587</v>
      </c>
      <c r="F91" s="304" t="s">
        <v>1709</v>
      </c>
      <c r="G91" s="38">
        <v>11.16</v>
      </c>
      <c r="H91" s="1547">
        <v>4</v>
      </c>
      <c r="I91" s="1002">
        <v>56</v>
      </c>
      <c r="J91" s="483"/>
      <c r="K91" s="39"/>
      <c r="L91" s="451">
        <f t="shared" si="65"/>
        <v>8</v>
      </c>
      <c r="M91" s="452">
        <f t="shared" si="68"/>
        <v>8</v>
      </c>
      <c r="N91" s="65">
        <f t="shared" si="66"/>
        <v>716.84587813620067</v>
      </c>
      <c r="O91" s="71"/>
      <c r="P91" s="71"/>
      <c r="Q91" s="71">
        <v>24</v>
      </c>
      <c r="R91" s="1004">
        <v>2</v>
      </c>
      <c r="S91" s="71">
        <v>1</v>
      </c>
      <c r="T91" s="71">
        <v>250</v>
      </c>
      <c r="U91" s="71"/>
      <c r="V91" s="77">
        <v>42</v>
      </c>
      <c r="W91" s="71">
        <v>172</v>
      </c>
      <c r="X91" s="117">
        <v>800</v>
      </c>
      <c r="Y91" s="89"/>
      <c r="Z91" s="172"/>
      <c r="AA91" s="378">
        <f t="shared" si="67"/>
        <v>333.33333333333331</v>
      </c>
      <c r="AB91" s="95"/>
      <c r="AC91" s="99">
        <f t="shared" si="69"/>
        <v>5.9523809523809526</v>
      </c>
      <c r="AD91" s="191">
        <f t="shared" si="70"/>
        <v>0.38707200000000003</v>
      </c>
      <c r="AE91" s="17"/>
      <c r="AF91" s="213"/>
      <c r="AG91" s="236"/>
    </row>
    <row r="92" spans="1:33" x14ac:dyDescent="0.2">
      <c r="A92" s="182" t="s">
        <v>26</v>
      </c>
      <c r="B92" s="1145" t="s">
        <v>1594</v>
      </c>
      <c r="C92" s="1144" t="s">
        <v>697</v>
      </c>
      <c r="D92" s="213" t="s">
        <v>702</v>
      </c>
      <c r="E92" s="134" t="s">
        <v>1588</v>
      </c>
      <c r="F92" s="45" t="s">
        <v>1709</v>
      </c>
      <c r="G92" s="19">
        <v>27.36</v>
      </c>
      <c r="H92" s="124">
        <v>11</v>
      </c>
      <c r="I92" s="148">
        <v>130</v>
      </c>
      <c r="J92" s="138" t="s">
        <v>67</v>
      </c>
      <c r="K92" s="20">
        <v>11.9</v>
      </c>
      <c r="L92" s="451">
        <f t="shared" si="65"/>
        <v>16</v>
      </c>
      <c r="M92" s="452">
        <f t="shared" si="68"/>
        <v>16</v>
      </c>
      <c r="N92" s="65">
        <f t="shared" si="66"/>
        <v>584.79532163742692</v>
      </c>
      <c r="O92" s="65">
        <f>IF(AND(G92&lt;&gt;"",L92&lt;&gt;""),L92/G92,"")</f>
        <v>0.58479532163742687</v>
      </c>
      <c r="P92" s="65"/>
      <c r="Q92" s="65">
        <v>45</v>
      </c>
      <c r="R92" s="1004">
        <v>4</v>
      </c>
      <c r="S92" s="65">
        <v>1</v>
      </c>
      <c r="T92" s="65">
        <v>320</v>
      </c>
      <c r="U92" s="65" t="s">
        <v>1184</v>
      </c>
      <c r="V92" s="65">
        <v>61</v>
      </c>
      <c r="W92" s="65">
        <v>296</v>
      </c>
      <c r="X92" s="110">
        <v>1600</v>
      </c>
      <c r="Y92" s="81"/>
      <c r="Z92" s="141" t="str">
        <f>IF(AND(L92&lt;&gt;"",Y92&lt;&gt;""),1000*L92/Y92,"")</f>
        <v/>
      </c>
      <c r="AA92" s="378">
        <f t="shared" si="67"/>
        <v>355.55555555555554</v>
      </c>
      <c r="AB92" s="54"/>
      <c r="AC92" s="99">
        <f t="shared" si="69"/>
        <v>5.2459016393442619</v>
      </c>
      <c r="AD92" s="191">
        <f t="shared" si="70"/>
        <v>0.56217600000000001</v>
      </c>
      <c r="AE92" s="17"/>
      <c r="AF92" s="213"/>
      <c r="AG92" s="236"/>
    </row>
    <row r="93" spans="1:33" x14ac:dyDescent="0.2">
      <c r="A93" s="182" t="s">
        <v>26</v>
      </c>
      <c r="B93" s="1145" t="s">
        <v>1594</v>
      </c>
      <c r="C93" s="1144" t="s">
        <v>697</v>
      </c>
      <c r="D93" s="213" t="s">
        <v>702</v>
      </c>
      <c r="E93" s="134" t="s">
        <v>1589</v>
      </c>
      <c r="F93" s="45" t="s">
        <v>1710</v>
      </c>
      <c r="G93" s="19">
        <v>39.51</v>
      </c>
      <c r="H93" s="124">
        <v>17</v>
      </c>
      <c r="I93" s="148">
        <v>178</v>
      </c>
      <c r="J93" s="138" t="s">
        <v>69</v>
      </c>
      <c r="K93" s="20">
        <v>43.3</v>
      </c>
      <c r="L93" s="451">
        <f t="shared" si="65"/>
        <v>25</v>
      </c>
      <c r="M93" s="452">
        <f t="shared" si="68"/>
        <v>25</v>
      </c>
      <c r="N93" s="65">
        <f t="shared" si="66"/>
        <v>632.75120222728424</v>
      </c>
      <c r="O93" s="65">
        <f>IF(AND(G93&lt;&gt;"",L93&lt;&gt;""),L93/G93,"")</f>
        <v>0.63275120222728432</v>
      </c>
      <c r="P93" s="65"/>
      <c r="Q93" s="65">
        <v>55</v>
      </c>
      <c r="R93" s="1004">
        <v>4</v>
      </c>
      <c r="S93" s="65">
        <v>2</v>
      </c>
      <c r="T93" s="65">
        <v>380</v>
      </c>
      <c r="U93" s="65" t="s">
        <v>1184</v>
      </c>
      <c r="V93" s="65">
        <v>75</v>
      </c>
      <c r="W93" s="65">
        <v>400</v>
      </c>
      <c r="X93" s="110">
        <v>2500</v>
      </c>
      <c r="Y93" s="81"/>
      <c r="Z93" s="141" t="str">
        <f>IF(AND(L93&lt;&gt;"",Y93&lt;&gt;""),1000*L93/Y93,"")</f>
        <v/>
      </c>
      <c r="AA93" s="378">
        <f t="shared" si="67"/>
        <v>454.54545454545456</v>
      </c>
      <c r="AB93" s="54"/>
      <c r="AC93" s="99">
        <f t="shared" si="69"/>
        <v>5.0666666666666664</v>
      </c>
      <c r="AD93" s="191">
        <f t="shared" si="70"/>
        <v>0.69120000000000004</v>
      </c>
      <c r="AE93" s="17"/>
      <c r="AF93" s="213"/>
      <c r="AG93" s="236"/>
    </row>
    <row r="94" spans="1:33" x14ac:dyDescent="0.2">
      <c r="A94" s="182" t="s">
        <v>26</v>
      </c>
      <c r="B94" s="1145" t="s">
        <v>1594</v>
      </c>
      <c r="C94" s="1144" t="s">
        <v>697</v>
      </c>
      <c r="D94" s="229" t="s">
        <v>702</v>
      </c>
      <c r="E94" s="134" t="s">
        <v>1590</v>
      </c>
      <c r="F94" s="45" t="s">
        <v>1710</v>
      </c>
      <c r="G94" s="19">
        <v>51.66</v>
      </c>
      <c r="H94" s="124">
        <v>17</v>
      </c>
      <c r="I94" s="148">
        <v>178</v>
      </c>
      <c r="J94" s="138" t="s">
        <v>69</v>
      </c>
      <c r="K94" s="20">
        <v>60</v>
      </c>
      <c r="L94" s="451">
        <f t="shared" si="65"/>
        <v>40</v>
      </c>
      <c r="M94" s="452">
        <f t="shared" si="68"/>
        <v>40</v>
      </c>
      <c r="N94" s="65">
        <f t="shared" si="66"/>
        <v>774.29345722028654</v>
      </c>
      <c r="O94" s="65">
        <f>IF(AND(G94&lt;&gt;"",L94&lt;&gt;""),L94/G94,"")</f>
        <v>0.77429345722028653</v>
      </c>
      <c r="P94" s="65"/>
      <c r="Q94" s="65">
        <v>125</v>
      </c>
      <c r="R94" s="1004">
        <v>4</v>
      </c>
      <c r="S94" s="65">
        <v>2</v>
      </c>
      <c r="T94" s="65">
        <v>500</v>
      </c>
      <c r="U94" s="65" t="s">
        <v>1184</v>
      </c>
      <c r="V94" s="65">
        <v>140</v>
      </c>
      <c r="W94" s="65">
        <v>736</v>
      </c>
      <c r="X94" s="110">
        <v>4000</v>
      </c>
      <c r="Y94" s="81"/>
      <c r="Z94" s="141" t="str">
        <f>IF(AND(L94&lt;&gt;"",Y94&lt;&gt;""),1000*L94/Y94,"")</f>
        <v/>
      </c>
      <c r="AA94" s="378">
        <f t="shared" si="67"/>
        <v>320</v>
      </c>
      <c r="AB94" s="54"/>
      <c r="AC94" s="99">
        <f t="shared" si="69"/>
        <v>3.5714285714285716</v>
      </c>
      <c r="AD94" s="191">
        <f t="shared" si="70"/>
        <v>1.2902400000000001</v>
      </c>
      <c r="AE94" s="17"/>
      <c r="AF94" s="213"/>
      <c r="AG94" s="236"/>
    </row>
    <row r="95" spans="1:33" ht="12.75" customHeight="1" thickBot="1" x14ac:dyDescent="0.25">
      <c r="A95" s="182" t="s">
        <v>26</v>
      </c>
      <c r="B95" s="1273" t="s">
        <v>1594</v>
      </c>
      <c r="C95" s="1274" t="s">
        <v>697</v>
      </c>
      <c r="D95" s="240" t="s">
        <v>702</v>
      </c>
      <c r="E95" s="526" t="s">
        <v>1591</v>
      </c>
      <c r="F95" s="1082" t="s">
        <v>1710</v>
      </c>
      <c r="G95" s="27">
        <v>57.69</v>
      </c>
      <c r="H95" s="127">
        <v>17</v>
      </c>
      <c r="I95" s="1270">
        <v>178</v>
      </c>
      <c r="J95" s="139" t="s">
        <v>74</v>
      </c>
      <c r="K95" s="28">
        <v>92.8</v>
      </c>
      <c r="L95" s="1083">
        <f t="shared" si="65"/>
        <v>50</v>
      </c>
      <c r="M95" s="1271">
        <f t="shared" si="68"/>
        <v>50</v>
      </c>
      <c r="N95" s="73">
        <f t="shared" si="66"/>
        <v>866.70133472005546</v>
      </c>
      <c r="O95" s="73">
        <f>IF(AND(G95&lt;&gt;"",L95&lt;&gt;""),L95/G95,"")</f>
        <v>0.86670133472005551</v>
      </c>
      <c r="P95" s="73"/>
      <c r="Q95" s="73">
        <v>144</v>
      </c>
      <c r="R95" s="1272">
        <v>4</v>
      </c>
      <c r="S95" s="73">
        <v>2</v>
      </c>
      <c r="T95" s="73">
        <v>500</v>
      </c>
      <c r="U95" s="73" t="s">
        <v>1184</v>
      </c>
      <c r="V95" s="73">
        <v>182</v>
      </c>
      <c r="W95" s="73">
        <v>736</v>
      </c>
      <c r="X95" s="112">
        <v>5000</v>
      </c>
      <c r="Y95" s="84"/>
      <c r="Z95" s="173" t="str">
        <f>IF(AND(L95&lt;&gt;"",Y95&lt;&gt;""),1000*L95/Y95,"")</f>
        <v/>
      </c>
      <c r="AA95" s="477">
        <f t="shared" si="67"/>
        <v>347.22222222222223</v>
      </c>
      <c r="AB95" s="57"/>
      <c r="AC95" s="101">
        <f t="shared" si="69"/>
        <v>2.7472527472527473</v>
      </c>
      <c r="AD95" s="478">
        <f t="shared" si="70"/>
        <v>1.6773119999999999</v>
      </c>
      <c r="AE95" s="25"/>
      <c r="AF95" s="240"/>
      <c r="AG95" s="236"/>
    </row>
    <row r="96" spans="1:33" ht="12.75" customHeight="1" x14ac:dyDescent="0.2">
      <c r="A96" s="182"/>
      <c r="B96" s="48" t="s">
        <v>717</v>
      </c>
      <c r="C96" s="226"/>
      <c r="D96" s="212"/>
      <c r="E96" s="12" t="s">
        <v>1849</v>
      </c>
      <c r="F96" s="466" t="s">
        <v>1437</v>
      </c>
      <c r="G96" s="14" t="s">
        <v>22</v>
      </c>
      <c r="H96" s="132" t="s">
        <v>528</v>
      </c>
      <c r="I96" s="147"/>
      <c r="J96" s="145"/>
      <c r="K96" s="16" t="s">
        <v>22</v>
      </c>
      <c r="L96" s="1030" t="s">
        <v>1848</v>
      </c>
      <c r="M96" s="61"/>
      <c r="N96" s="385">
        <f>AVERAGE(N97:N104)</f>
        <v>1144.4009185650407</v>
      </c>
      <c r="O96" s="61"/>
      <c r="P96" s="61"/>
      <c r="Q96" s="399" t="s">
        <v>92</v>
      </c>
      <c r="R96" s="61"/>
      <c r="S96" s="399"/>
      <c r="T96" s="61"/>
      <c r="U96" s="399"/>
      <c r="V96" s="468" t="s">
        <v>157</v>
      </c>
      <c r="W96" s="61"/>
      <c r="X96" s="109" t="s">
        <v>25</v>
      </c>
      <c r="Y96" s="80" t="s">
        <v>65</v>
      </c>
      <c r="Z96" s="164"/>
      <c r="AA96" s="372" t="e">
        <f>AVERAGE(AA97:AA104:AG233AA244)</f>
        <v>#NAME?</v>
      </c>
      <c r="AB96" s="92"/>
      <c r="AC96" s="907">
        <f>AVERAGE(AC97:AC104)</f>
        <v>3.3880710133149101</v>
      </c>
      <c r="AD96" s="109" t="s">
        <v>650</v>
      </c>
      <c r="AE96" s="193"/>
      <c r="AF96" s="212"/>
      <c r="AG96" s="516" t="s">
        <v>1858</v>
      </c>
    </row>
    <row r="97" spans="1:33" ht="12.75" customHeight="1" x14ac:dyDescent="0.2">
      <c r="A97" s="182" t="s">
        <v>26</v>
      </c>
      <c r="B97" s="1145"/>
      <c r="C97" s="1144"/>
      <c r="D97" s="213"/>
      <c r="E97" s="910" t="s">
        <v>1850</v>
      </c>
      <c r="F97" s="45" t="s">
        <v>1894</v>
      </c>
      <c r="G97" s="19">
        <v>7.02</v>
      </c>
      <c r="H97" s="124">
        <v>14</v>
      </c>
      <c r="I97" s="409">
        <v>176</v>
      </c>
      <c r="J97" s="138"/>
      <c r="K97" s="20"/>
      <c r="L97" s="451">
        <v>6.2720000000000002</v>
      </c>
      <c r="M97" s="452">
        <v>6.2720000000000002</v>
      </c>
      <c r="N97" s="65">
        <f t="shared" si="66"/>
        <v>893.44729344729353</v>
      </c>
      <c r="O97" s="65"/>
      <c r="P97" s="65"/>
      <c r="Q97" s="65">
        <v>15</v>
      </c>
      <c r="R97" s="469">
        <v>2</v>
      </c>
      <c r="S97" s="65"/>
      <c r="T97" s="65">
        <v>176</v>
      </c>
      <c r="U97" s="65"/>
      <c r="V97" s="65">
        <v>30</v>
      </c>
      <c r="W97" s="65"/>
      <c r="X97" s="110"/>
      <c r="Y97" s="81"/>
      <c r="Z97" s="141"/>
      <c r="AA97" s="378">
        <f t="shared" si="67"/>
        <v>418.13333333333333</v>
      </c>
      <c r="AB97" s="54"/>
      <c r="AC97" s="281">
        <f t="shared" si="69"/>
        <v>5.8666666666666663</v>
      </c>
      <c r="AD97" s="191">
        <f t="shared" si="70"/>
        <v>0.27648</v>
      </c>
      <c r="AE97" s="17"/>
      <c r="AF97" s="213"/>
      <c r="AG97" s="236"/>
    </row>
    <row r="98" spans="1:33" ht="12.75" customHeight="1" x14ac:dyDescent="0.2">
      <c r="A98" s="523" t="s">
        <v>26</v>
      </c>
      <c r="B98" s="1145"/>
      <c r="C98" s="1144"/>
      <c r="D98" s="213"/>
      <c r="E98" s="910" t="s">
        <v>1851</v>
      </c>
      <c r="F98" s="45" t="s">
        <v>1892</v>
      </c>
      <c r="G98" s="19">
        <v>9.3800000000000008</v>
      </c>
      <c r="H98" s="124">
        <v>8</v>
      </c>
      <c r="I98" s="409">
        <v>71</v>
      </c>
      <c r="J98" s="138"/>
      <c r="K98" s="20"/>
      <c r="L98" s="451">
        <v>10.32</v>
      </c>
      <c r="M98" s="452">
        <v>10.32</v>
      </c>
      <c r="N98" s="65">
        <f t="shared" si="66"/>
        <v>1100.2132196162047</v>
      </c>
      <c r="O98" s="65"/>
      <c r="P98" s="65"/>
      <c r="Q98" s="65">
        <v>23</v>
      </c>
      <c r="R98" s="469">
        <v>2</v>
      </c>
      <c r="S98" s="65"/>
      <c r="T98" s="65">
        <v>176</v>
      </c>
      <c r="U98" s="65"/>
      <c r="V98" s="65">
        <v>46</v>
      </c>
      <c r="W98" s="65"/>
      <c r="X98" s="110"/>
      <c r="Y98" s="81"/>
      <c r="Z98" s="141"/>
      <c r="AA98" s="378">
        <f t="shared" si="67"/>
        <v>448.69565217391306</v>
      </c>
      <c r="AB98" s="54"/>
      <c r="AC98" s="281">
        <f t="shared" si="69"/>
        <v>3.8260869565217392</v>
      </c>
      <c r="AD98" s="191">
        <f t="shared" si="70"/>
        <v>0.42393599999999998</v>
      </c>
      <c r="AE98" s="17"/>
      <c r="AF98" s="213"/>
      <c r="AG98" s="236"/>
    </row>
    <row r="99" spans="1:33" ht="12.75" customHeight="1" x14ac:dyDescent="0.2">
      <c r="A99" s="523" t="s">
        <v>740</v>
      </c>
      <c r="B99" s="1145"/>
      <c r="C99" s="1144"/>
      <c r="D99" s="213"/>
      <c r="E99" s="910" t="s">
        <v>1852</v>
      </c>
      <c r="F99" s="45" t="s">
        <v>1893</v>
      </c>
      <c r="G99" s="19">
        <v>13.98</v>
      </c>
      <c r="H99" s="124">
        <v>8</v>
      </c>
      <c r="I99" s="409">
        <v>71</v>
      </c>
      <c r="J99" s="138"/>
      <c r="K99" s="20"/>
      <c r="L99" s="451">
        <v>15.407999999999999</v>
      </c>
      <c r="M99" s="452">
        <v>15.407999999999999</v>
      </c>
      <c r="N99" s="65">
        <f t="shared" si="66"/>
        <v>1102.145922746781</v>
      </c>
      <c r="O99" s="65"/>
      <c r="P99" s="65"/>
      <c r="Q99" s="65">
        <v>56</v>
      </c>
      <c r="R99" s="469">
        <v>4</v>
      </c>
      <c r="S99" s="65"/>
      <c r="T99" s="65">
        <v>340</v>
      </c>
      <c r="U99" s="65"/>
      <c r="V99" s="65">
        <v>56</v>
      </c>
      <c r="W99" s="65"/>
      <c r="X99" s="110"/>
      <c r="Y99" s="81"/>
      <c r="Z99" s="141"/>
      <c r="AA99" s="378">
        <f t="shared" si="67"/>
        <v>275.14285714285717</v>
      </c>
      <c r="AB99" s="54"/>
      <c r="AC99" s="281">
        <f t="shared" si="69"/>
        <v>6.0714285714285712</v>
      </c>
      <c r="AD99" s="191">
        <f t="shared" si="70"/>
        <v>0.516096</v>
      </c>
      <c r="AE99" s="17"/>
      <c r="AF99" s="213"/>
      <c r="AG99" s="236"/>
    </row>
    <row r="100" spans="1:33" ht="12.75" customHeight="1" x14ac:dyDescent="0.2">
      <c r="A100" s="523" t="s">
        <v>26</v>
      </c>
      <c r="B100" s="1145"/>
      <c r="C100" s="1144"/>
      <c r="D100" s="213"/>
      <c r="E100" s="910" t="s">
        <v>1853</v>
      </c>
      <c r="F100" s="45" t="s">
        <v>1892</v>
      </c>
      <c r="G100" s="19">
        <v>19.690000000000001</v>
      </c>
      <c r="H100" s="124">
        <v>14</v>
      </c>
      <c r="I100" s="409">
        <v>150</v>
      </c>
      <c r="J100" s="138"/>
      <c r="K100" s="20"/>
      <c r="L100" s="451">
        <v>24.623999999999999</v>
      </c>
      <c r="M100" s="452">
        <v>24.623999999999999</v>
      </c>
      <c r="N100" s="65">
        <f t="shared" si="66"/>
        <v>1250.5840528186895</v>
      </c>
      <c r="O100" s="65"/>
      <c r="P100" s="65"/>
      <c r="Q100" s="65">
        <v>66</v>
      </c>
      <c r="R100" s="469">
        <v>4</v>
      </c>
      <c r="S100" s="65"/>
      <c r="T100" s="65">
        <v>325</v>
      </c>
      <c r="U100" s="65"/>
      <c r="V100" s="65">
        <v>66</v>
      </c>
      <c r="W100" s="65"/>
      <c r="X100" s="110"/>
      <c r="Y100" s="81"/>
      <c r="Z100" s="141"/>
      <c r="AA100" s="378">
        <f t="shared" si="67"/>
        <v>373.09090909090907</v>
      </c>
      <c r="AB100" s="54"/>
      <c r="AC100" s="281">
        <f t="shared" si="69"/>
        <v>4.9242424242424239</v>
      </c>
      <c r="AD100" s="191">
        <f t="shared" si="70"/>
        <v>0.60825600000000002</v>
      </c>
      <c r="AE100" s="17"/>
      <c r="AF100" s="213"/>
      <c r="AG100" s="236"/>
    </row>
    <row r="101" spans="1:33" ht="12.75" customHeight="1" x14ac:dyDescent="0.2">
      <c r="A101" s="523" t="s">
        <v>26</v>
      </c>
      <c r="B101" s="1145"/>
      <c r="C101" s="1144"/>
      <c r="D101" s="213"/>
      <c r="E101" s="910" t="s">
        <v>1854</v>
      </c>
      <c r="F101" s="45" t="s">
        <v>1890</v>
      </c>
      <c r="G101" s="19">
        <v>29.14</v>
      </c>
      <c r="H101" s="124">
        <v>19</v>
      </c>
      <c r="I101" s="409">
        <v>325</v>
      </c>
      <c r="J101" s="138"/>
      <c r="K101" s="20"/>
      <c r="L101" s="451">
        <v>39.6</v>
      </c>
      <c r="M101" s="452">
        <v>39.6</v>
      </c>
      <c r="N101" s="65">
        <f t="shared" si="66"/>
        <v>1358.9567604667125</v>
      </c>
      <c r="O101" s="65"/>
      <c r="P101" s="65"/>
      <c r="Q101" s="65">
        <v>126</v>
      </c>
      <c r="R101" s="469">
        <v>4</v>
      </c>
      <c r="S101" s="65"/>
      <c r="T101" s="65">
        <v>325</v>
      </c>
      <c r="U101" s="65"/>
      <c r="V101" s="65">
        <v>126</v>
      </c>
      <c r="W101" s="65"/>
      <c r="X101" s="110"/>
      <c r="Y101" s="81"/>
      <c r="Z101" s="141"/>
      <c r="AA101" s="378">
        <f t="shared" si="67"/>
        <v>314.28571428571428</v>
      </c>
      <c r="AB101" s="54"/>
      <c r="AC101" s="281">
        <f t="shared" si="69"/>
        <v>2.5793650793650795</v>
      </c>
      <c r="AD101" s="191">
        <f t="shared" si="70"/>
        <v>1.161216</v>
      </c>
      <c r="AE101" s="17"/>
      <c r="AF101" s="213"/>
      <c r="AG101" s="236"/>
    </row>
    <row r="102" spans="1:33" ht="12.75" customHeight="1" x14ac:dyDescent="0.2">
      <c r="A102" s="523" t="s">
        <v>26</v>
      </c>
      <c r="B102" s="1145"/>
      <c r="C102" s="1144"/>
      <c r="D102" s="213"/>
      <c r="E102" s="910" t="s">
        <v>1855</v>
      </c>
      <c r="F102" s="45" t="s">
        <v>1890</v>
      </c>
      <c r="G102" s="19">
        <v>46.2</v>
      </c>
      <c r="H102" s="124">
        <v>19</v>
      </c>
      <c r="I102" s="409">
        <v>321</v>
      </c>
      <c r="J102" s="138"/>
      <c r="K102" s="20"/>
      <c r="L102" s="451">
        <v>55.856000000000002</v>
      </c>
      <c r="M102" s="452">
        <v>55.856000000000002</v>
      </c>
      <c r="N102" s="65">
        <f t="shared" si="66"/>
        <v>1209.0043290043288</v>
      </c>
      <c r="O102" s="65"/>
      <c r="P102" s="65"/>
      <c r="Q102" s="65">
        <v>156</v>
      </c>
      <c r="R102" s="469">
        <v>4</v>
      </c>
      <c r="S102" s="65"/>
      <c r="T102" s="65">
        <v>321</v>
      </c>
      <c r="U102" s="65"/>
      <c r="V102" s="65">
        <v>260</v>
      </c>
      <c r="W102" s="65"/>
      <c r="X102" s="110"/>
      <c r="Y102" s="81"/>
      <c r="Z102" s="141"/>
      <c r="AA102" s="378">
        <f t="shared" si="67"/>
        <v>358.05128205128204</v>
      </c>
      <c r="AB102" s="54"/>
      <c r="AC102" s="281">
        <f t="shared" si="69"/>
        <v>1.2346153846153847</v>
      </c>
      <c r="AD102" s="191">
        <f t="shared" si="70"/>
        <v>2.3961600000000001</v>
      </c>
      <c r="AE102" s="17"/>
      <c r="AF102" s="213"/>
      <c r="AG102" s="236"/>
    </row>
    <row r="103" spans="1:33" ht="12.75" customHeight="1" x14ac:dyDescent="0.2">
      <c r="A103" s="523" t="s">
        <v>26</v>
      </c>
      <c r="B103" s="1145"/>
      <c r="C103" s="1144"/>
      <c r="D103" s="213"/>
      <c r="E103" s="910" t="s">
        <v>1856</v>
      </c>
      <c r="F103" s="45" t="s">
        <v>1890</v>
      </c>
      <c r="G103" s="19">
        <v>71.27</v>
      </c>
      <c r="H103" s="124">
        <v>19</v>
      </c>
      <c r="I103" s="409">
        <v>289</v>
      </c>
      <c r="J103" s="138"/>
      <c r="K103" s="20"/>
      <c r="L103" s="451">
        <v>81.263999999999996</v>
      </c>
      <c r="M103" s="452">
        <v>81.263999999999996</v>
      </c>
      <c r="N103" s="65">
        <f t="shared" si="66"/>
        <v>1140.2273046162481</v>
      </c>
      <c r="O103" s="65"/>
      <c r="P103" s="65"/>
      <c r="Q103" s="65">
        <v>244</v>
      </c>
      <c r="R103" s="469">
        <v>4</v>
      </c>
      <c r="S103" s="65"/>
      <c r="T103" s="65">
        <v>423</v>
      </c>
      <c r="U103" s="65"/>
      <c r="V103" s="65">
        <v>305</v>
      </c>
      <c r="W103" s="65"/>
      <c r="X103" s="110"/>
      <c r="Y103" s="81"/>
      <c r="Z103" s="141"/>
      <c r="AA103" s="378">
        <f t="shared" si="67"/>
        <v>333.04918032786884</v>
      </c>
      <c r="AB103" s="54"/>
      <c r="AC103" s="281">
        <f t="shared" si="69"/>
        <v>1.3868852459016394</v>
      </c>
      <c r="AD103" s="191">
        <f t="shared" si="70"/>
        <v>2.81088</v>
      </c>
      <c r="AE103" s="17"/>
      <c r="AF103" s="213"/>
      <c r="AG103" s="236"/>
    </row>
    <row r="104" spans="1:33" ht="12.75" customHeight="1" thickBot="1" x14ac:dyDescent="0.25">
      <c r="A104" s="523" t="s">
        <v>26</v>
      </c>
      <c r="B104" s="1146"/>
      <c r="C104" s="1275"/>
      <c r="D104" s="214"/>
      <c r="E104" s="1112" t="s">
        <v>1857</v>
      </c>
      <c r="F104" s="133" t="s">
        <v>1891</v>
      </c>
      <c r="G104" s="23">
        <v>108.2</v>
      </c>
      <c r="H104" s="125">
        <v>23</v>
      </c>
      <c r="I104" s="410">
        <v>277</v>
      </c>
      <c r="J104" s="150"/>
      <c r="K104" s="24"/>
      <c r="L104" s="453">
        <v>119.08799999999999</v>
      </c>
      <c r="M104" s="454">
        <v>119.08799999999999</v>
      </c>
      <c r="N104" s="65">
        <f t="shared" si="66"/>
        <v>1100.6284658040665</v>
      </c>
      <c r="O104" s="68"/>
      <c r="P104" s="68"/>
      <c r="Q104" s="68">
        <v>288</v>
      </c>
      <c r="R104" s="533">
        <v>4</v>
      </c>
      <c r="S104" s="68"/>
      <c r="T104" s="68">
        <v>525</v>
      </c>
      <c r="U104" s="68"/>
      <c r="V104" s="68">
        <v>432</v>
      </c>
      <c r="W104" s="68"/>
      <c r="X104" s="111"/>
      <c r="Y104" s="82"/>
      <c r="Z104" s="142"/>
      <c r="AA104" s="378">
        <f t="shared" si="67"/>
        <v>413.5</v>
      </c>
      <c r="AB104" s="55"/>
      <c r="AC104" s="281">
        <f t="shared" si="69"/>
        <v>1.2152777777777777</v>
      </c>
      <c r="AD104" s="191">
        <f t="shared" si="70"/>
        <v>3.981312</v>
      </c>
      <c r="AE104" s="21"/>
      <c r="AF104" s="214"/>
      <c r="AG104" s="236"/>
    </row>
    <row r="105" spans="1:33" ht="13.5" customHeight="1" x14ac:dyDescent="0.2">
      <c r="A105" s="183"/>
      <c r="B105" s="448" t="s">
        <v>2128</v>
      </c>
      <c r="C105" s="296"/>
      <c r="D105" s="300"/>
      <c r="E105" s="482" t="s">
        <v>2160</v>
      </c>
      <c r="F105" s="304" t="s">
        <v>1584</v>
      </c>
      <c r="G105" s="38" t="s">
        <v>22</v>
      </c>
      <c r="H105" s="1396" t="s">
        <v>2282</v>
      </c>
      <c r="I105" s="170"/>
      <c r="J105" s="483"/>
      <c r="K105" s="39" t="s">
        <v>22</v>
      </c>
      <c r="L105" s="247" t="s">
        <v>23</v>
      </c>
      <c r="M105" s="70"/>
      <c r="N105" s="484" t="e">
        <f>AVERAGE(N106:N108)</f>
        <v>#DIV/0!</v>
      </c>
      <c r="O105" s="71"/>
      <c r="P105" s="71"/>
      <c r="Q105" s="1004" t="s">
        <v>92</v>
      </c>
      <c r="R105" s="71"/>
      <c r="S105" s="71"/>
      <c r="T105" s="71"/>
      <c r="U105" s="71"/>
      <c r="V105" s="468" t="s">
        <v>2146</v>
      </c>
      <c r="W105" s="71" t="s">
        <v>66</v>
      </c>
      <c r="X105" s="117" t="s">
        <v>158</v>
      </c>
      <c r="Y105" s="89"/>
      <c r="Z105" s="172"/>
      <c r="AA105" s="375"/>
      <c r="AB105" s="95" t="e">
        <f>AVERAGE(AB106:AB108)</f>
        <v>#DIV/0!</v>
      </c>
      <c r="AC105" s="1459">
        <f>AVERAGE(AC106:AC108)</f>
        <v>6.5418219461697724</v>
      </c>
      <c r="AD105" s="109" t="s">
        <v>650</v>
      </c>
      <c r="AG105" s="471" t="s">
        <v>2147</v>
      </c>
    </row>
    <row r="106" spans="1:33" x14ac:dyDescent="0.2">
      <c r="A106" s="182"/>
      <c r="B106" s="41"/>
      <c r="C106" s="227"/>
      <c r="D106" s="213"/>
      <c r="E106" s="1036" t="s">
        <v>2162</v>
      </c>
      <c r="F106" s="45" t="s">
        <v>2163</v>
      </c>
      <c r="G106" s="19"/>
      <c r="H106" s="124">
        <v>8</v>
      </c>
      <c r="I106" s="162">
        <v>114</v>
      </c>
      <c r="J106" s="138"/>
      <c r="K106" s="20"/>
      <c r="L106" s="245">
        <v>20736</v>
      </c>
      <c r="M106" s="1326">
        <f>L106</f>
        <v>20736</v>
      </c>
      <c r="N106" s="65"/>
      <c r="O106" s="65"/>
      <c r="P106" s="65"/>
      <c r="Q106" s="65">
        <v>48</v>
      </c>
      <c r="R106" s="469" t="s">
        <v>2165</v>
      </c>
      <c r="S106" s="65"/>
      <c r="T106" s="65">
        <v>319</v>
      </c>
      <c r="U106" s="65"/>
      <c r="V106" s="65">
        <v>46</v>
      </c>
      <c r="W106" s="65"/>
      <c r="X106" s="110">
        <f>L106/8</f>
        <v>2592</v>
      </c>
      <c r="Y106" s="81"/>
      <c r="Z106" s="141"/>
      <c r="AA106" s="371"/>
      <c r="AB106" s="54"/>
      <c r="AC106" s="281">
        <f>T106/V106</f>
        <v>6.9347826086956523</v>
      </c>
      <c r="AD106" s="191">
        <f>V106*18*1024/1000000</f>
        <v>0.84787199999999996</v>
      </c>
      <c r="AF106" s="6"/>
      <c r="AG106" s="516" t="s">
        <v>2372</v>
      </c>
    </row>
    <row r="107" spans="1:33" x14ac:dyDescent="0.2">
      <c r="A107" s="182"/>
      <c r="B107" s="41"/>
      <c r="C107" s="227"/>
      <c r="D107" s="213"/>
      <c r="E107" s="1036" t="s">
        <v>2167</v>
      </c>
      <c r="F107" s="45" t="s">
        <v>2141</v>
      </c>
      <c r="G107" s="19"/>
      <c r="H107" s="124">
        <v>10</v>
      </c>
      <c r="I107" s="162">
        <v>66</v>
      </c>
      <c r="J107" s="138"/>
      <c r="K107" s="20"/>
      <c r="L107" s="245">
        <v>20736</v>
      </c>
      <c r="M107" s="1326">
        <f>L107</f>
        <v>20736</v>
      </c>
      <c r="N107" s="65"/>
      <c r="O107" s="65"/>
      <c r="P107" s="65"/>
      <c r="Q107" s="65">
        <v>48</v>
      </c>
      <c r="R107" s="469" t="s">
        <v>2165</v>
      </c>
      <c r="S107" s="65"/>
      <c r="T107" s="65">
        <v>384</v>
      </c>
      <c r="U107" s="65"/>
      <c r="V107" s="65">
        <v>46</v>
      </c>
      <c r="W107" s="469" t="s">
        <v>2371</v>
      </c>
      <c r="X107" s="110">
        <f>L107/8</f>
        <v>2592</v>
      </c>
      <c r="Y107" s="81"/>
      <c r="Z107" s="141"/>
      <c r="AA107" s="371"/>
      <c r="AB107" s="54"/>
      <c r="AC107" s="281">
        <f>T107/V107</f>
        <v>8.3478260869565215</v>
      </c>
      <c r="AD107" s="191">
        <f>V107*18*1024/1000000</f>
        <v>0.84787199999999996</v>
      </c>
      <c r="AF107" s="6"/>
      <c r="AG107" s="516" t="s">
        <v>2168</v>
      </c>
    </row>
    <row r="108" spans="1:33" ht="13.5" thickBot="1" x14ac:dyDescent="0.25">
      <c r="A108" s="182"/>
      <c r="B108" s="33"/>
      <c r="C108" s="228"/>
      <c r="D108" s="213"/>
      <c r="E108" s="1186" t="s">
        <v>2161</v>
      </c>
      <c r="F108" s="133" t="s">
        <v>2164</v>
      </c>
      <c r="G108" s="23"/>
      <c r="H108" s="125">
        <v>15</v>
      </c>
      <c r="I108" s="163">
        <v>319</v>
      </c>
      <c r="J108" s="150"/>
      <c r="K108" s="24"/>
      <c r="L108" s="246">
        <v>54720</v>
      </c>
      <c r="M108" s="1326">
        <f>L108</f>
        <v>54720</v>
      </c>
      <c r="N108" s="65"/>
      <c r="O108" s="68"/>
      <c r="P108" s="68"/>
      <c r="Q108" s="68">
        <v>40</v>
      </c>
      <c r="R108" s="533" t="s">
        <v>2166</v>
      </c>
      <c r="S108" s="68"/>
      <c r="T108" s="68">
        <v>608</v>
      </c>
      <c r="U108" s="68"/>
      <c r="V108" s="68">
        <v>140</v>
      </c>
      <c r="W108" s="68"/>
      <c r="X108" s="110">
        <f>L108/8</f>
        <v>6840</v>
      </c>
      <c r="Y108" s="82"/>
      <c r="Z108" s="142"/>
      <c r="AA108" s="371"/>
      <c r="AB108" s="55"/>
      <c r="AC108" s="281">
        <f>T108/V108</f>
        <v>4.3428571428571425</v>
      </c>
      <c r="AD108" s="191">
        <f>V108*18*1024/1000000</f>
        <v>2.5804800000000001</v>
      </c>
      <c r="AF108" s="6"/>
      <c r="AG108" s="236"/>
    </row>
    <row r="109" spans="1:33" ht="13.5" customHeight="1" x14ac:dyDescent="0.2">
      <c r="A109" s="183"/>
      <c r="B109" s="48" t="s">
        <v>2128</v>
      </c>
      <c r="C109" s="226"/>
      <c r="D109" s="212"/>
      <c r="E109" s="12" t="s">
        <v>2129</v>
      </c>
      <c r="F109" s="466" t="s">
        <v>1584</v>
      </c>
      <c r="G109" s="14" t="s">
        <v>22</v>
      </c>
      <c r="H109" s="1029" t="s">
        <v>2130</v>
      </c>
      <c r="I109" s="161"/>
      <c r="J109" s="145"/>
      <c r="K109" s="16" t="s">
        <v>22</v>
      </c>
      <c r="L109" s="244" t="s">
        <v>23</v>
      </c>
      <c r="M109" s="60"/>
      <c r="N109" s="385" t="e">
        <f>AVERAGE(N110:N113)</f>
        <v>#DIV/0!</v>
      </c>
      <c r="O109" s="61"/>
      <c r="P109" s="399" t="s">
        <v>2134</v>
      </c>
      <c r="Q109" s="399" t="s">
        <v>92</v>
      </c>
      <c r="R109" s="61"/>
      <c r="S109" s="399" t="s">
        <v>2144</v>
      </c>
      <c r="T109" s="399"/>
      <c r="U109" s="399"/>
      <c r="V109" s="468" t="s">
        <v>2146</v>
      </c>
      <c r="W109" s="61" t="s">
        <v>66</v>
      </c>
      <c r="X109" s="522" t="s">
        <v>158</v>
      </c>
      <c r="Y109" s="80"/>
      <c r="Z109" s="164"/>
      <c r="AA109" s="373"/>
      <c r="AB109" s="92" t="e">
        <f>AVERAGE(AB110:AB113)</f>
        <v>#DIV/0!</v>
      </c>
      <c r="AC109" s="98">
        <f>AVERAGE(AC110:AC113)</f>
        <v>15.1875</v>
      </c>
      <c r="AD109" s="109" t="s">
        <v>650</v>
      </c>
      <c r="AG109" s="471" t="s">
        <v>2147</v>
      </c>
    </row>
    <row r="110" spans="1:33" x14ac:dyDescent="0.2">
      <c r="A110" s="182"/>
      <c r="B110" s="36" t="s">
        <v>701</v>
      </c>
      <c r="C110" s="296"/>
      <c r="D110" s="470"/>
      <c r="E110" s="1036" t="s">
        <v>2268</v>
      </c>
      <c r="F110" s="45" t="s">
        <v>2131</v>
      </c>
      <c r="G110" s="19"/>
      <c r="H110" s="1538">
        <v>1.8</v>
      </c>
      <c r="I110" s="162">
        <v>11</v>
      </c>
      <c r="J110" s="138"/>
      <c r="K110" s="20"/>
      <c r="L110" s="1325">
        <v>1152</v>
      </c>
      <c r="M110" s="1326">
        <f>L110</f>
        <v>1152</v>
      </c>
      <c r="N110" s="65"/>
      <c r="O110" s="65"/>
      <c r="P110" s="65"/>
      <c r="Q110" s="65"/>
      <c r="R110" s="469" t="s">
        <v>2155</v>
      </c>
      <c r="S110" s="65"/>
      <c r="T110" s="65">
        <v>25</v>
      </c>
      <c r="U110" s="65"/>
      <c r="V110" s="65">
        <v>4</v>
      </c>
      <c r="W110" s="469" t="s">
        <v>2159</v>
      </c>
      <c r="X110" s="110">
        <f>L110/8</f>
        <v>144</v>
      </c>
      <c r="Y110" s="81"/>
      <c r="Z110" s="141"/>
      <c r="AA110" s="371"/>
      <c r="AB110" s="54"/>
      <c r="AC110" s="99">
        <f>T110/V110</f>
        <v>6.25</v>
      </c>
      <c r="AD110" s="191">
        <f t="shared" ref="AD110:AD121" si="71">V110*18*1024/1000000</f>
        <v>7.3728000000000002E-2</v>
      </c>
      <c r="AF110" s="6"/>
      <c r="AG110" s="236" t="s">
        <v>2222</v>
      </c>
    </row>
    <row r="111" spans="1:33" x14ac:dyDescent="0.2">
      <c r="A111" s="182"/>
      <c r="B111" s="36" t="s">
        <v>701</v>
      </c>
      <c r="C111" s="227"/>
      <c r="D111" s="470"/>
      <c r="E111" s="1036" t="s">
        <v>2269</v>
      </c>
      <c r="F111" s="45" t="s">
        <v>2132</v>
      </c>
      <c r="G111" s="19"/>
      <c r="H111" s="1538">
        <v>2.5</v>
      </c>
      <c r="I111" s="162">
        <v>30</v>
      </c>
      <c r="J111" s="138"/>
      <c r="K111" s="20"/>
      <c r="L111" s="1325">
        <v>1728</v>
      </c>
      <c r="M111" s="1326">
        <f t="shared" ref="M111:M121" si="72">L111</f>
        <v>1728</v>
      </c>
      <c r="N111" s="65"/>
      <c r="O111" s="65"/>
      <c r="P111" s="65"/>
      <c r="Q111" s="65"/>
      <c r="R111" s="469" t="s">
        <v>2158</v>
      </c>
      <c r="S111" s="65"/>
      <c r="T111" s="65">
        <v>95</v>
      </c>
      <c r="U111" s="65"/>
      <c r="V111" s="65">
        <v>4</v>
      </c>
      <c r="W111" s="469" t="s">
        <v>1820</v>
      </c>
      <c r="X111" s="110">
        <f t="shared" ref="X111:X121" si="73">L111/8</f>
        <v>216</v>
      </c>
      <c r="Y111" s="81"/>
      <c r="Z111" s="141"/>
      <c r="AA111" s="371"/>
      <c r="AB111" s="54"/>
      <c r="AC111" s="99">
        <f>T111/V111</f>
        <v>23.75</v>
      </c>
      <c r="AD111" s="191">
        <f t="shared" si="71"/>
        <v>7.3728000000000002E-2</v>
      </c>
      <c r="AF111" s="6"/>
      <c r="AG111" s="516" t="s">
        <v>2133</v>
      </c>
    </row>
    <row r="112" spans="1:33" x14ac:dyDescent="0.2">
      <c r="A112" s="182"/>
      <c r="B112" s="36" t="s">
        <v>701</v>
      </c>
      <c r="C112" s="227"/>
      <c r="D112" s="470"/>
      <c r="E112" s="1036" t="s">
        <v>2270</v>
      </c>
      <c r="F112" s="45" t="s">
        <v>2132</v>
      </c>
      <c r="G112" s="19"/>
      <c r="H112" s="1538">
        <v>2.5</v>
      </c>
      <c r="I112" s="162">
        <v>30</v>
      </c>
      <c r="J112" s="138"/>
      <c r="K112" s="20"/>
      <c r="L112" s="1325">
        <v>1728</v>
      </c>
      <c r="M112" s="1326">
        <f t="shared" si="72"/>
        <v>1728</v>
      </c>
      <c r="N112" s="65"/>
      <c r="O112" s="65"/>
      <c r="P112" s="65">
        <v>1</v>
      </c>
      <c r="Q112" s="65"/>
      <c r="R112" s="469" t="s">
        <v>2158</v>
      </c>
      <c r="S112" s="65"/>
      <c r="T112" s="65">
        <v>95</v>
      </c>
      <c r="U112" s="65"/>
      <c r="V112" s="65">
        <v>4</v>
      </c>
      <c r="W112" s="469" t="s">
        <v>1820</v>
      </c>
      <c r="X112" s="110">
        <f t="shared" si="73"/>
        <v>216</v>
      </c>
      <c r="Y112" s="81"/>
      <c r="Z112" s="141"/>
      <c r="AA112" s="371"/>
      <c r="AB112" s="54"/>
      <c r="AC112" s="99">
        <f t="shared" ref="AC112:AC121" si="74">T112/V112</f>
        <v>23.75</v>
      </c>
      <c r="AD112" s="191">
        <f t="shared" si="71"/>
        <v>7.3728000000000002E-2</v>
      </c>
      <c r="AE112" t="s">
        <v>2273</v>
      </c>
      <c r="AF112" s="6"/>
      <c r="AG112" s="516" t="s">
        <v>2135</v>
      </c>
    </row>
    <row r="113" spans="1:33" x14ac:dyDescent="0.2">
      <c r="A113" s="182"/>
      <c r="B113" s="36" t="s">
        <v>701</v>
      </c>
      <c r="C113" s="227"/>
      <c r="D113" s="470"/>
      <c r="E113" s="1036" t="s">
        <v>2271</v>
      </c>
      <c r="F113" s="45" t="s">
        <v>2136</v>
      </c>
      <c r="G113" s="19"/>
      <c r="H113" s="1538">
        <v>4.5</v>
      </c>
      <c r="I113" s="162">
        <v>68</v>
      </c>
      <c r="J113" s="138"/>
      <c r="K113" s="20"/>
      <c r="L113" s="1325">
        <v>4068</v>
      </c>
      <c r="M113" s="1326">
        <f t="shared" si="72"/>
        <v>4068</v>
      </c>
      <c r="N113" s="65"/>
      <c r="O113" s="65"/>
      <c r="P113" s="65"/>
      <c r="Q113" s="65">
        <v>16</v>
      </c>
      <c r="R113" s="469" t="s">
        <v>2138</v>
      </c>
      <c r="S113" s="65"/>
      <c r="T113" s="65">
        <v>70</v>
      </c>
      <c r="U113" s="65"/>
      <c r="V113" s="65">
        <v>10</v>
      </c>
      <c r="W113" s="469" t="s">
        <v>2137</v>
      </c>
      <c r="X113" s="110">
        <f t="shared" si="73"/>
        <v>508.5</v>
      </c>
      <c r="Y113" s="81"/>
      <c r="Z113" s="141"/>
      <c r="AA113" s="371">
        <f>L113/Q113</f>
        <v>254.25</v>
      </c>
      <c r="AB113" s="54"/>
      <c r="AC113" s="99">
        <f t="shared" si="74"/>
        <v>7</v>
      </c>
      <c r="AD113" s="191">
        <f t="shared" si="71"/>
        <v>0.18432000000000001</v>
      </c>
      <c r="AF113" s="6"/>
      <c r="AG113" s="516" t="s">
        <v>2139</v>
      </c>
    </row>
    <row r="114" spans="1:33" x14ac:dyDescent="0.2">
      <c r="A114" s="182"/>
      <c r="B114" s="36" t="s">
        <v>701</v>
      </c>
      <c r="C114" s="227"/>
      <c r="D114" s="470"/>
      <c r="E114" s="1036" t="s">
        <v>2272</v>
      </c>
      <c r="F114" s="45" t="s">
        <v>2136</v>
      </c>
      <c r="G114" s="19"/>
      <c r="H114" s="1538">
        <v>4.5</v>
      </c>
      <c r="I114" s="162">
        <v>68</v>
      </c>
      <c r="J114" s="138"/>
      <c r="K114" s="20"/>
      <c r="L114" s="1325">
        <v>4068</v>
      </c>
      <c r="M114" s="1326">
        <f>L114</f>
        <v>4068</v>
      </c>
      <c r="N114" s="65"/>
      <c r="O114" s="65"/>
      <c r="P114" s="65">
        <v>1</v>
      </c>
      <c r="Q114" s="65">
        <v>16</v>
      </c>
      <c r="R114" s="469" t="s">
        <v>2138</v>
      </c>
      <c r="S114" s="65"/>
      <c r="T114" s="65">
        <v>70</v>
      </c>
      <c r="U114" s="65"/>
      <c r="V114" s="65">
        <v>10</v>
      </c>
      <c r="W114" s="469" t="s">
        <v>2137</v>
      </c>
      <c r="X114" s="110">
        <f>L114/8</f>
        <v>508.5</v>
      </c>
      <c r="Y114" s="81"/>
      <c r="Z114" s="141"/>
      <c r="AA114" s="371">
        <f>L114/Q114</f>
        <v>254.25</v>
      </c>
      <c r="AB114" s="54"/>
      <c r="AC114" s="99">
        <f>T114/V114</f>
        <v>7</v>
      </c>
      <c r="AD114" s="191">
        <f>V114*18*1024/1000000</f>
        <v>0.18432000000000001</v>
      </c>
      <c r="AE114" t="s">
        <v>2273</v>
      </c>
      <c r="AF114" s="6"/>
      <c r="AG114" s="516" t="s">
        <v>2139</v>
      </c>
    </row>
    <row r="115" spans="1:33" x14ac:dyDescent="0.2">
      <c r="A115" s="182"/>
      <c r="B115" s="36" t="s">
        <v>701</v>
      </c>
      <c r="C115" s="227"/>
      <c r="D115" s="229"/>
      <c r="E115" s="1036" t="s">
        <v>2140</v>
      </c>
      <c r="F115" s="45" t="s">
        <v>2141</v>
      </c>
      <c r="G115" s="19"/>
      <c r="H115" s="462">
        <v>10</v>
      </c>
      <c r="I115" s="162">
        <v>70</v>
      </c>
      <c r="J115" s="138"/>
      <c r="K115" s="20"/>
      <c r="L115" s="1325">
        <v>8640</v>
      </c>
      <c r="M115" s="1326">
        <f t="shared" si="72"/>
        <v>8640</v>
      </c>
      <c r="N115" s="65"/>
      <c r="O115" s="65"/>
      <c r="P115" s="65"/>
      <c r="Q115" s="65">
        <v>20</v>
      </c>
      <c r="R115" s="469" t="s">
        <v>2142</v>
      </c>
      <c r="S115" s="65"/>
      <c r="T115" s="65">
        <v>120</v>
      </c>
      <c r="U115" s="65"/>
      <c r="V115" s="65">
        <v>26</v>
      </c>
      <c r="W115" s="469" t="s">
        <v>2157</v>
      </c>
      <c r="X115" s="110">
        <f t="shared" si="73"/>
        <v>1080</v>
      </c>
      <c r="Y115" s="81"/>
      <c r="Z115" s="141"/>
      <c r="AA115" s="371">
        <f t="shared" ref="AA115:AA121" si="75">L115/Q115</f>
        <v>432</v>
      </c>
      <c r="AB115" s="54"/>
      <c r="AC115" s="99">
        <f t="shared" si="74"/>
        <v>4.615384615384615</v>
      </c>
      <c r="AD115" s="191">
        <f t="shared" si="71"/>
        <v>0.47923199999999999</v>
      </c>
      <c r="AF115" s="6"/>
      <c r="AG115" s="516" t="s">
        <v>2139</v>
      </c>
    </row>
    <row r="116" spans="1:33" x14ac:dyDescent="0.2">
      <c r="A116" s="182"/>
      <c r="B116" s="36" t="s">
        <v>701</v>
      </c>
      <c r="C116" s="227"/>
      <c r="D116" s="229"/>
      <c r="E116" s="1036" t="s">
        <v>2143</v>
      </c>
      <c r="F116" s="45" t="s">
        <v>2152</v>
      </c>
      <c r="G116" s="19"/>
      <c r="H116" s="1538">
        <v>2.4</v>
      </c>
      <c r="I116" s="162">
        <v>24</v>
      </c>
      <c r="J116" s="138"/>
      <c r="K116" s="20"/>
      <c r="L116" s="1325">
        <v>1152</v>
      </c>
      <c r="M116" s="1326">
        <f t="shared" si="72"/>
        <v>1152</v>
      </c>
      <c r="N116" s="65"/>
      <c r="O116" s="65"/>
      <c r="P116" s="65"/>
      <c r="Q116" s="65"/>
      <c r="R116" s="469" t="s">
        <v>2155</v>
      </c>
      <c r="S116" s="65"/>
      <c r="T116" s="65">
        <v>119</v>
      </c>
      <c r="U116" s="65"/>
      <c r="V116" s="65">
        <v>4</v>
      </c>
      <c r="W116" s="469" t="s">
        <v>2156</v>
      </c>
      <c r="X116" s="110">
        <f t="shared" si="73"/>
        <v>144</v>
      </c>
      <c r="Y116" s="81"/>
      <c r="Z116" s="141"/>
      <c r="AA116" s="371"/>
      <c r="AB116" s="54"/>
      <c r="AC116" s="99">
        <f t="shared" si="74"/>
        <v>29.75</v>
      </c>
      <c r="AD116" s="191">
        <f t="shared" si="71"/>
        <v>7.3728000000000002E-2</v>
      </c>
      <c r="AF116" s="6"/>
      <c r="AG116" s="516" t="s">
        <v>2145</v>
      </c>
    </row>
    <row r="117" spans="1:33" x14ac:dyDescent="0.2">
      <c r="A117" s="182"/>
      <c r="B117" s="36" t="s">
        <v>701</v>
      </c>
      <c r="C117" s="227"/>
      <c r="D117" s="229"/>
      <c r="E117" s="1036" t="s">
        <v>2148</v>
      </c>
      <c r="F117" s="45" t="s">
        <v>2153</v>
      </c>
      <c r="G117" s="19"/>
      <c r="H117" s="1538">
        <v>3.6</v>
      </c>
      <c r="I117" s="162">
        <v>57</v>
      </c>
      <c r="J117" s="138"/>
      <c r="K117" s="20"/>
      <c r="L117" s="1325">
        <v>2304</v>
      </c>
      <c r="M117" s="1326">
        <f t="shared" si="72"/>
        <v>2304</v>
      </c>
      <c r="N117" s="65"/>
      <c r="O117" s="65"/>
      <c r="P117" s="65"/>
      <c r="Q117" s="65">
        <v>16</v>
      </c>
      <c r="R117" s="469" t="s">
        <v>2138</v>
      </c>
      <c r="S117" s="65"/>
      <c r="T117" s="65">
        <v>207</v>
      </c>
      <c r="U117" s="65"/>
      <c r="V117" s="65">
        <v>10</v>
      </c>
      <c r="W117" s="469" t="s">
        <v>2137</v>
      </c>
      <c r="X117" s="110">
        <f t="shared" si="73"/>
        <v>288</v>
      </c>
      <c r="Y117" s="81"/>
      <c r="Z117" s="141"/>
      <c r="AA117" s="371">
        <f t="shared" si="75"/>
        <v>144</v>
      </c>
      <c r="AB117" s="54"/>
      <c r="AC117" s="99">
        <f t="shared" si="74"/>
        <v>20.7</v>
      </c>
      <c r="AD117" s="191">
        <f t="shared" si="71"/>
        <v>0.18432000000000001</v>
      </c>
      <c r="AF117" s="6"/>
      <c r="AG117" s="516" t="s">
        <v>2145</v>
      </c>
    </row>
    <row r="118" spans="1:33" x14ac:dyDescent="0.2">
      <c r="A118" s="182"/>
      <c r="B118" s="36" t="s">
        <v>701</v>
      </c>
      <c r="C118" s="227"/>
      <c r="D118" s="229"/>
      <c r="E118" s="1036" t="s">
        <v>2149</v>
      </c>
      <c r="F118" s="45" t="s">
        <v>2153</v>
      </c>
      <c r="G118" s="19"/>
      <c r="H118" s="1538">
        <v>3.6</v>
      </c>
      <c r="I118" s="162">
        <v>57</v>
      </c>
      <c r="J118" s="138"/>
      <c r="K118" s="20"/>
      <c r="L118" s="1325">
        <v>4606</v>
      </c>
      <c r="M118" s="1326">
        <f>L118</f>
        <v>4606</v>
      </c>
      <c r="N118" s="65"/>
      <c r="O118" s="65"/>
      <c r="P118" s="65"/>
      <c r="Q118" s="65">
        <v>16</v>
      </c>
      <c r="R118" s="469" t="s">
        <v>2138</v>
      </c>
      <c r="S118" s="65"/>
      <c r="T118" s="65">
        <v>207</v>
      </c>
      <c r="U118" s="65"/>
      <c r="V118" s="65">
        <v>10</v>
      </c>
      <c r="W118" s="469" t="s">
        <v>2137</v>
      </c>
      <c r="X118" s="110">
        <f>L118/8</f>
        <v>575.75</v>
      </c>
      <c r="Y118" s="81"/>
      <c r="Z118" s="141"/>
      <c r="AA118" s="371">
        <f>L118/Q118</f>
        <v>287.875</v>
      </c>
      <c r="AB118" s="54"/>
      <c r="AC118" s="99">
        <f>T118/V118</f>
        <v>20.7</v>
      </c>
      <c r="AD118" s="191">
        <f>V118*18*1024/1000000</f>
        <v>0.18432000000000001</v>
      </c>
      <c r="AF118" s="6"/>
      <c r="AG118" s="516" t="s">
        <v>2145</v>
      </c>
    </row>
    <row r="119" spans="1:33" x14ac:dyDescent="0.2">
      <c r="A119" s="182"/>
      <c r="B119" s="36" t="s">
        <v>701</v>
      </c>
      <c r="C119" s="227"/>
      <c r="D119" s="229"/>
      <c r="E119" s="1036" t="s">
        <v>2274</v>
      </c>
      <c r="F119" s="45" t="s">
        <v>2153</v>
      </c>
      <c r="G119" s="19"/>
      <c r="H119" s="1538">
        <v>3.6</v>
      </c>
      <c r="I119" s="162">
        <v>57</v>
      </c>
      <c r="J119" s="138"/>
      <c r="K119" s="20"/>
      <c r="L119" s="1325">
        <v>4606</v>
      </c>
      <c r="M119" s="1326">
        <f t="shared" si="72"/>
        <v>4606</v>
      </c>
      <c r="N119" s="65"/>
      <c r="O119" s="65"/>
      <c r="P119" s="65">
        <v>1</v>
      </c>
      <c r="Q119" s="65">
        <v>16</v>
      </c>
      <c r="R119" s="469" t="s">
        <v>2138</v>
      </c>
      <c r="S119" s="65"/>
      <c r="T119" s="65">
        <v>207</v>
      </c>
      <c r="U119" s="65"/>
      <c r="V119" s="65">
        <v>10</v>
      </c>
      <c r="W119" s="469" t="s">
        <v>2137</v>
      </c>
      <c r="X119" s="110">
        <f t="shared" si="73"/>
        <v>575.75</v>
      </c>
      <c r="Y119" s="81"/>
      <c r="Z119" s="141"/>
      <c r="AA119" s="371">
        <f t="shared" si="75"/>
        <v>287.875</v>
      </c>
      <c r="AB119" s="54"/>
      <c r="AC119" s="99">
        <f t="shared" si="74"/>
        <v>20.7</v>
      </c>
      <c r="AD119" s="191">
        <f t="shared" si="71"/>
        <v>0.18432000000000001</v>
      </c>
      <c r="AE119" t="s">
        <v>2275</v>
      </c>
      <c r="AF119" s="6"/>
      <c r="AG119" s="516" t="s">
        <v>2145</v>
      </c>
    </row>
    <row r="120" spans="1:33" x14ac:dyDescent="0.2">
      <c r="A120" s="182"/>
      <c r="B120" s="36" t="s">
        <v>701</v>
      </c>
      <c r="C120" s="227"/>
      <c r="D120" s="229"/>
      <c r="E120" s="1036" t="s">
        <v>2150</v>
      </c>
      <c r="F120" s="45" t="s">
        <v>2154</v>
      </c>
      <c r="G120" s="19"/>
      <c r="H120" s="1538">
        <v>4.0999999999999996</v>
      </c>
      <c r="I120" s="162">
        <v>55</v>
      </c>
      <c r="J120" s="138"/>
      <c r="K120" s="20"/>
      <c r="L120" s="1325">
        <v>6912</v>
      </c>
      <c r="M120" s="1326">
        <f t="shared" si="72"/>
        <v>6912</v>
      </c>
      <c r="N120" s="65"/>
      <c r="O120" s="65"/>
      <c r="P120" s="65"/>
      <c r="Q120" s="65">
        <v>26</v>
      </c>
      <c r="R120" s="469" t="s">
        <v>2142</v>
      </c>
      <c r="S120" s="65"/>
      <c r="T120" s="65">
        <v>273</v>
      </c>
      <c r="U120" s="65"/>
      <c r="V120" s="65">
        <v>26</v>
      </c>
      <c r="W120" s="469" t="s">
        <v>2157</v>
      </c>
      <c r="X120" s="110">
        <f t="shared" si="73"/>
        <v>864</v>
      </c>
      <c r="Y120" s="81"/>
      <c r="Z120" s="141"/>
      <c r="AA120" s="371">
        <f t="shared" si="75"/>
        <v>265.84615384615387</v>
      </c>
      <c r="AB120" s="54"/>
      <c r="AC120" s="99">
        <f t="shared" si="74"/>
        <v>10.5</v>
      </c>
      <c r="AD120" s="191">
        <f t="shared" si="71"/>
        <v>0.47923199999999999</v>
      </c>
      <c r="AF120" s="6"/>
      <c r="AG120" s="516" t="s">
        <v>2145</v>
      </c>
    </row>
    <row r="121" spans="1:33" ht="13.5" thickBot="1" x14ac:dyDescent="0.25">
      <c r="A121" s="182"/>
      <c r="B121" s="33" t="s">
        <v>701</v>
      </c>
      <c r="C121" s="228"/>
      <c r="D121" s="231"/>
      <c r="E121" s="1186" t="s">
        <v>2151</v>
      </c>
      <c r="F121" s="133" t="s">
        <v>2154</v>
      </c>
      <c r="G121" s="23"/>
      <c r="H121" s="1545">
        <v>4.0999999999999996</v>
      </c>
      <c r="I121" s="163">
        <v>55</v>
      </c>
      <c r="J121" s="150"/>
      <c r="K121" s="24"/>
      <c r="L121" s="1327">
        <v>8640</v>
      </c>
      <c r="M121" s="1328">
        <f t="shared" si="72"/>
        <v>8640</v>
      </c>
      <c r="N121" s="68"/>
      <c r="O121" s="68"/>
      <c r="P121" s="68"/>
      <c r="Q121" s="68">
        <v>26</v>
      </c>
      <c r="R121" s="533" t="s">
        <v>2142</v>
      </c>
      <c r="S121" s="68"/>
      <c r="T121" s="68">
        <v>273</v>
      </c>
      <c r="U121" s="68"/>
      <c r="V121" s="68">
        <v>26</v>
      </c>
      <c r="W121" s="533" t="s">
        <v>2157</v>
      </c>
      <c r="X121" s="111">
        <f t="shared" si="73"/>
        <v>1080</v>
      </c>
      <c r="Y121" s="82"/>
      <c r="Z121" s="142"/>
      <c r="AA121" s="374">
        <f t="shared" si="75"/>
        <v>332.30769230769232</v>
      </c>
      <c r="AB121" s="55"/>
      <c r="AC121" s="100">
        <f t="shared" si="74"/>
        <v>10.5</v>
      </c>
      <c r="AD121" s="192">
        <f t="shared" si="71"/>
        <v>0.47923199999999999</v>
      </c>
      <c r="AF121" s="6"/>
      <c r="AG121" s="516" t="s">
        <v>2145</v>
      </c>
    </row>
    <row r="122" spans="1:33" ht="13.5" customHeight="1" x14ac:dyDescent="0.2">
      <c r="A122" s="183"/>
      <c r="B122" s="448" t="s">
        <v>716</v>
      </c>
      <c r="C122" s="296"/>
      <c r="D122" s="300"/>
      <c r="E122" s="482" t="s">
        <v>330</v>
      </c>
      <c r="F122" s="304" t="s">
        <v>1016</v>
      </c>
      <c r="G122" s="38" t="s">
        <v>22</v>
      </c>
      <c r="H122" s="433" t="s">
        <v>529</v>
      </c>
      <c r="I122" s="170"/>
      <c r="J122" s="483"/>
      <c r="K122" s="39" t="s">
        <v>22</v>
      </c>
      <c r="L122" s="247" t="s">
        <v>23</v>
      </c>
      <c r="M122" s="70"/>
      <c r="N122" s="484">
        <f>AVERAGE(N123:N126)</f>
        <v>89.536186418315708</v>
      </c>
      <c r="O122" s="71"/>
      <c r="P122" s="71"/>
      <c r="Q122" s="71"/>
      <c r="R122" s="71"/>
      <c r="S122" s="71"/>
      <c r="T122" s="71"/>
      <c r="U122" s="71"/>
      <c r="V122" s="77" t="s">
        <v>157</v>
      </c>
      <c r="W122" s="71" t="s">
        <v>66</v>
      </c>
      <c r="X122" s="117" t="s">
        <v>158</v>
      </c>
      <c r="Y122" s="89"/>
      <c r="Z122" s="172"/>
      <c r="AA122" s="375"/>
      <c r="AB122" s="95">
        <f>AVERAGE(AB123:AB126)</f>
        <v>980</v>
      </c>
      <c r="AC122" s="305">
        <f>AVERAGE(AC123:AC126)</f>
        <v>150.66666666666666</v>
      </c>
      <c r="AD122" s="117"/>
      <c r="AG122" s="269" t="s">
        <v>329</v>
      </c>
    </row>
    <row r="123" spans="1:33" x14ac:dyDescent="0.2">
      <c r="A123" s="182" t="s">
        <v>26</v>
      </c>
      <c r="B123" s="41" t="s">
        <v>701</v>
      </c>
      <c r="C123" s="227"/>
      <c r="D123" s="213" t="s">
        <v>702</v>
      </c>
      <c r="E123" s="118" t="s">
        <v>331</v>
      </c>
      <c r="F123" s="18" t="s">
        <v>323</v>
      </c>
      <c r="G123" s="19">
        <v>5.2</v>
      </c>
      <c r="H123" s="124">
        <v>8</v>
      </c>
      <c r="I123" s="162">
        <v>78</v>
      </c>
      <c r="J123" s="138" t="s">
        <v>355</v>
      </c>
      <c r="K123" s="20">
        <v>10.08</v>
      </c>
      <c r="L123" s="245">
        <f>8*X123</f>
        <v>256</v>
      </c>
      <c r="M123" s="64">
        <f>L123</f>
        <v>256</v>
      </c>
      <c r="N123" s="65">
        <f>IF(AND(G123&lt;&gt;"",M123&lt;&gt;""),M123/G123,"")</f>
        <v>49.230769230769226</v>
      </c>
      <c r="O123" s="65">
        <f>IF(AND(G123&lt;&gt;"",L123&lt;&gt;""),L123/G123,"")</f>
        <v>49.230769230769226</v>
      </c>
      <c r="P123" s="65"/>
      <c r="Q123" s="65"/>
      <c r="R123" s="65">
        <v>0</v>
      </c>
      <c r="S123" s="65"/>
      <c r="T123" s="65">
        <v>78</v>
      </c>
      <c r="U123" s="65"/>
      <c r="V123" s="65">
        <v>0</v>
      </c>
      <c r="W123" s="65"/>
      <c r="X123" s="110">
        <v>32</v>
      </c>
      <c r="Y123" s="81"/>
      <c r="Z123" s="141"/>
      <c r="AA123" s="371"/>
      <c r="AB123" s="54"/>
      <c r="AC123" s="99"/>
      <c r="AD123" s="110">
        <f>256*36*V123</f>
        <v>0</v>
      </c>
      <c r="AF123" s="6"/>
      <c r="AG123" s="236" t="s">
        <v>710</v>
      </c>
    </row>
    <row r="124" spans="1:33" x14ac:dyDescent="0.2">
      <c r="A124" s="182" t="s">
        <v>26</v>
      </c>
      <c r="B124" s="41" t="s">
        <v>701</v>
      </c>
      <c r="C124" s="227"/>
      <c r="D124" s="213" t="s">
        <v>702</v>
      </c>
      <c r="E124" s="118" t="s">
        <v>332</v>
      </c>
      <c r="F124" s="18" t="s">
        <v>323</v>
      </c>
      <c r="G124" s="19">
        <v>9.25</v>
      </c>
      <c r="H124" s="124">
        <v>8</v>
      </c>
      <c r="I124" s="162">
        <v>101</v>
      </c>
      <c r="J124" s="138" t="s">
        <v>326</v>
      </c>
      <c r="K124" s="20">
        <v>20.6</v>
      </c>
      <c r="L124" s="245">
        <f>8*X124</f>
        <v>640</v>
      </c>
      <c r="M124" s="64">
        <f>L124</f>
        <v>640</v>
      </c>
      <c r="N124" s="65">
        <f>IF(AND(G124&lt;&gt;"",M124&lt;&gt;""),M124/G124,"")</f>
        <v>69.189189189189193</v>
      </c>
      <c r="O124" s="65">
        <f>IF(AND(G124&lt;&gt;"",L124&lt;&gt;""),L124/G124,"")</f>
        <v>69.189189189189193</v>
      </c>
      <c r="P124" s="65"/>
      <c r="Q124" s="65"/>
      <c r="R124" s="65">
        <v>0</v>
      </c>
      <c r="S124" s="65"/>
      <c r="T124" s="65">
        <v>159</v>
      </c>
      <c r="U124" s="65"/>
      <c r="V124" s="65">
        <v>0</v>
      </c>
      <c r="W124" s="65"/>
      <c r="X124" s="110">
        <v>80</v>
      </c>
      <c r="Y124" s="81"/>
      <c r="Z124" s="141"/>
      <c r="AA124" s="371"/>
      <c r="AB124" s="54"/>
      <c r="AC124" s="99"/>
      <c r="AD124" s="110">
        <f>256*36*V124</f>
        <v>0</v>
      </c>
      <c r="AF124" s="6"/>
      <c r="AG124" s="236"/>
    </row>
    <row r="125" spans="1:33" x14ac:dyDescent="0.2">
      <c r="A125" s="182" t="s">
        <v>26</v>
      </c>
      <c r="B125" s="41" t="s">
        <v>701</v>
      </c>
      <c r="C125" s="227"/>
      <c r="D125" s="213" t="s">
        <v>702</v>
      </c>
      <c r="E125" s="118" t="s">
        <v>333</v>
      </c>
      <c r="F125" s="18" t="s">
        <v>864</v>
      </c>
      <c r="G125" s="19">
        <v>12.6</v>
      </c>
      <c r="H125" s="124">
        <v>8</v>
      </c>
      <c r="I125" s="162">
        <v>101</v>
      </c>
      <c r="J125" s="138" t="s">
        <v>356</v>
      </c>
      <c r="K125" s="20">
        <v>28.21</v>
      </c>
      <c r="L125" s="245">
        <f>8*X125</f>
        <v>1200</v>
      </c>
      <c r="M125" s="64">
        <f>L125</f>
        <v>1200</v>
      </c>
      <c r="N125" s="65">
        <f>IF(AND(G125&lt;&gt;"",M125&lt;&gt;""),M125/G125,"")</f>
        <v>95.238095238095241</v>
      </c>
      <c r="O125" s="65">
        <f>IF(AND(G125&lt;&gt;"",L125&lt;&gt;""),L125/G125,"")</f>
        <v>95.238095238095241</v>
      </c>
      <c r="P125" s="65"/>
      <c r="Q125" s="65"/>
      <c r="R125" s="65">
        <v>1</v>
      </c>
      <c r="S125" s="65"/>
      <c r="T125" s="65">
        <v>211</v>
      </c>
      <c r="U125" s="65"/>
      <c r="V125" s="65">
        <v>1</v>
      </c>
      <c r="W125" s="65"/>
      <c r="X125" s="110">
        <v>150</v>
      </c>
      <c r="Y125" s="81">
        <v>3.5</v>
      </c>
      <c r="Z125" s="141">
        <f>IF(AND(L125&lt;&gt;"",Y125&lt;&gt;""),L125/Y125,"")</f>
        <v>342.85714285714283</v>
      </c>
      <c r="AA125" s="371"/>
      <c r="AB125" s="54">
        <f>L125/V125</f>
        <v>1200</v>
      </c>
      <c r="AC125" s="282">
        <f>T125/V125</f>
        <v>211</v>
      </c>
      <c r="AD125" s="110">
        <f>256*36*V125</f>
        <v>9216</v>
      </c>
      <c r="AF125" s="6"/>
      <c r="AG125" s="236"/>
    </row>
    <row r="126" spans="1:33" ht="13.5" thickBot="1" x14ac:dyDescent="0.25">
      <c r="A126" s="182" t="s">
        <v>26</v>
      </c>
      <c r="B126" s="33" t="s">
        <v>701</v>
      </c>
      <c r="C126" s="228"/>
      <c r="D126" s="213" t="s">
        <v>702</v>
      </c>
      <c r="E126" s="146" t="s">
        <v>334</v>
      </c>
      <c r="F126" s="22" t="s">
        <v>863</v>
      </c>
      <c r="G126" s="23">
        <v>15.78</v>
      </c>
      <c r="H126" s="125">
        <v>8</v>
      </c>
      <c r="I126" s="163">
        <v>101</v>
      </c>
      <c r="J126" s="150" t="s">
        <v>357</v>
      </c>
      <c r="K126" s="24">
        <v>43.67</v>
      </c>
      <c r="L126" s="246">
        <f>8*X126</f>
        <v>2280</v>
      </c>
      <c r="M126" s="64">
        <f>L126</f>
        <v>2280</v>
      </c>
      <c r="N126" s="65">
        <f>IF(AND(G126&lt;&gt;"",M126&lt;&gt;""),M126/G126,"")</f>
        <v>144.48669201520914</v>
      </c>
      <c r="O126" s="68">
        <f>IF(AND(G126&lt;&gt;"",L126&lt;&gt;""),L126/G126,"")</f>
        <v>144.48669201520914</v>
      </c>
      <c r="P126" s="68"/>
      <c r="Q126" s="68"/>
      <c r="R126" s="68">
        <v>2</v>
      </c>
      <c r="S126" s="68"/>
      <c r="T126" s="68">
        <v>271</v>
      </c>
      <c r="U126" s="68"/>
      <c r="V126" s="68">
        <v>3</v>
      </c>
      <c r="W126" s="68"/>
      <c r="X126" s="111">
        <v>285</v>
      </c>
      <c r="Y126" s="82">
        <v>5</v>
      </c>
      <c r="Z126" s="142">
        <f>IF(AND(L126&lt;&gt;"",Y126&lt;&gt;""),L126/Y126,"")</f>
        <v>456</v>
      </c>
      <c r="AA126" s="371"/>
      <c r="AB126" s="55">
        <f>L126/V126</f>
        <v>760</v>
      </c>
      <c r="AC126" s="100">
        <f>T126/V126</f>
        <v>90.333333333333329</v>
      </c>
      <c r="AD126" s="111">
        <f>256*36*V126</f>
        <v>27648</v>
      </c>
      <c r="AF126" s="6"/>
      <c r="AG126" s="236"/>
    </row>
    <row r="127" spans="1:33" ht="13.5" customHeight="1" x14ac:dyDescent="0.2">
      <c r="A127" s="183"/>
      <c r="B127" s="48" t="s">
        <v>716</v>
      </c>
      <c r="C127" s="226"/>
      <c r="D127" s="212"/>
      <c r="E127" s="12" t="s">
        <v>1020</v>
      </c>
      <c r="F127" s="466" t="s">
        <v>1012</v>
      </c>
      <c r="G127" s="14" t="s">
        <v>22</v>
      </c>
      <c r="H127" s="132" t="s">
        <v>529</v>
      </c>
      <c r="I127" s="161"/>
      <c r="J127" s="145"/>
      <c r="K127" s="16" t="s">
        <v>22</v>
      </c>
      <c r="L127" s="244" t="s">
        <v>23</v>
      </c>
      <c r="M127" s="60"/>
      <c r="N127" s="385">
        <f>AVERAGE(N128:N131)</f>
        <v>145.50969105590957</v>
      </c>
      <c r="O127" s="61"/>
      <c r="P127" s="61"/>
      <c r="Q127" s="399" t="s">
        <v>1028</v>
      </c>
      <c r="R127" s="61"/>
      <c r="S127" s="61"/>
      <c r="T127" s="399" t="s">
        <v>1029</v>
      </c>
      <c r="U127" s="399" t="s">
        <v>1030</v>
      </c>
      <c r="V127" s="468" t="s">
        <v>1027</v>
      </c>
      <c r="W127" s="61" t="s">
        <v>66</v>
      </c>
      <c r="X127" s="109" t="s">
        <v>158</v>
      </c>
      <c r="Y127" s="80"/>
      <c r="Z127" s="164"/>
      <c r="AA127" s="373"/>
      <c r="AB127" s="92" t="e">
        <f>AVERAGE(AB128:AB131)</f>
        <v>#DIV/0!</v>
      </c>
      <c r="AC127" s="98">
        <f>AVERAGE(AC128:AC131)</f>
        <v>27.101190476190478</v>
      </c>
      <c r="AD127" s="109" t="s">
        <v>650</v>
      </c>
      <c r="AG127" s="471" t="s">
        <v>1031</v>
      </c>
    </row>
    <row r="128" spans="1:33" x14ac:dyDescent="0.2">
      <c r="A128" s="182" t="s">
        <v>929</v>
      </c>
      <c r="B128" s="36" t="s">
        <v>701</v>
      </c>
      <c r="C128" s="296"/>
      <c r="D128" s="470" t="s">
        <v>708</v>
      </c>
      <c r="E128" s="134" t="s">
        <v>1021</v>
      </c>
      <c r="F128" s="45" t="s">
        <v>1531</v>
      </c>
      <c r="G128" s="19">
        <v>2.8</v>
      </c>
      <c r="H128" s="1538">
        <v>4</v>
      </c>
      <c r="I128" s="162">
        <v>22</v>
      </c>
      <c r="J128" s="138"/>
      <c r="K128" s="20"/>
      <c r="L128" s="460">
        <v>0.25600000000000001</v>
      </c>
      <c r="M128" s="64">
        <f t="shared" ref="M128:M133" si="76">1000*L128</f>
        <v>256</v>
      </c>
      <c r="N128" s="65">
        <f t="shared" ref="N128:N133" si="77">IF(AND(G128&lt;&gt;"",M128&lt;&gt;""),M128/G128,"")</f>
        <v>91.428571428571431</v>
      </c>
      <c r="O128" s="65"/>
      <c r="P128" s="65"/>
      <c r="Q128" s="65">
        <v>4</v>
      </c>
      <c r="R128" s="65">
        <v>0</v>
      </c>
      <c r="S128" s="65"/>
      <c r="T128" s="65">
        <v>56</v>
      </c>
      <c r="U128" s="65"/>
      <c r="V128" s="65">
        <v>0</v>
      </c>
      <c r="W128" s="469">
        <v>0</v>
      </c>
      <c r="X128" s="110">
        <f t="shared" ref="X128:X133" si="78">125*L128</f>
        <v>32</v>
      </c>
      <c r="Y128" s="81">
        <v>0.75</v>
      </c>
      <c r="Z128" s="141">
        <f>IF(AND(L128&lt;&gt;"",Y128&lt;&gt;""),1000*L128/Y128,"")</f>
        <v>341.33333333333331</v>
      </c>
      <c r="AA128" s="371"/>
      <c r="AB128" s="54"/>
      <c r="AC128" s="99"/>
      <c r="AD128" s="110"/>
      <c r="AF128" s="6"/>
      <c r="AG128" s="236"/>
    </row>
    <row r="129" spans="1:33" x14ac:dyDescent="0.2">
      <c r="A129" s="182" t="s">
        <v>929</v>
      </c>
      <c r="B129" s="36" t="s">
        <v>701</v>
      </c>
      <c r="C129" s="227"/>
      <c r="D129" s="470" t="s">
        <v>708</v>
      </c>
      <c r="E129" s="134" t="s">
        <v>1022</v>
      </c>
      <c r="F129" s="45" t="s">
        <v>1134</v>
      </c>
      <c r="G129" s="19">
        <v>5.85</v>
      </c>
      <c r="H129" s="1538">
        <v>8</v>
      </c>
      <c r="I129" s="162">
        <v>79</v>
      </c>
      <c r="J129" s="138"/>
      <c r="K129" s="20"/>
      <c r="L129" s="460">
        <v>0.64</v>
      </c>
      <c r="M129" s="64">
        <f t="shared" si="76"/>
        <v>640</v>
      </c>
      <c r="N129" s="65">
        <f t="shared" si="77"/>
        <v>109.40170940170941</v>
      </c>
      <c r="O129" s="65"/>
      <c r="P129" s="65"/>
      <c r="Q129" s="65">
        <v>4</v>
      </c>
      <c r="R129" s="65">
        <v>0</v>
      </c>
      <c r="S129" s="65"/>
      <c r="T129" s="65">
        <v>80</v>
      </c>
      <c r="U129" s="65"/>
      <c r="V129" s="65">
        <v>2</v>
      </c>
      <c r="W129" s="65">
        <v>24</v>
      </c>
      <c r="X129" s="110">
        <f t="shared" si="78"/>
        <v>80</v>
      </c>
      <c r="Y129" s="81"/>
      <c r="Z129" s="141"/>
      <c r="AA129" s="371"/>
      <c r="AB129" s="54"/>
      <c r="AC129" s="99">
        <f>T129/V129</f>
        <v>40</v>
      </c>
      <c r="AD129" s="191">
        <f>V129*512*18/1000000</f>
        <v>1.8432E-2</v>
      </c>
      <c r="AF129" s="6"/>
      <c r="AG129" s="236"/>
    </row>
    <row r="130" spans="1:33" x14ac:dyDescent="0.2">
      <c r="A130" s="182" t="s">
        <v>929</v>
      </c>
      <c r="B130" s="36" t="s">
        <v>701</v>
      </c>
      <c r="C130" s="227"/>
      <c r="D130" s="470" t="s">
        <v>708</v>
      </c>
      <c r="E130" s="134" t="s">
        <v>1023</v>
      </c>
      <c r="F130" s="45" t="s">
        <v>1287</v>
      </c>
      <c r="G130" s="19">
        <v>7.35</v>
      </c>
      <c r="H130" s="1538">
        <v>2.5</v>
      </c>
      <c r="I130" s="162">
        <v>18</v>
      </c>
      <c r="J130" s="138"/>
      <c r="K130" s="20"/>
      <c r="L130" s="460">
        <v>1.28</v>
      </c>
      <c r="M130" s="64">
        <f t="shared" si="76"/>
        <v>1280</v>
      </c>
      <c r="N130" s="65">
        <f t="shared" si="77"/>
        <v>174.14965986394557</v>
      </c>
      <c r="O130" s="65"/>
      <c r="P130" s="65"/>
      <c r="Q130" s="65">
        <v>4</v>
      </c>
      <c r="R130" s="65">
        <v>1</v>
      </c>
      <c r="S130" s="65"/>
      <c r="T130" s="65">
        <v>108</v>
      </c>
      <c r="U130" s="65"/>
      <c r="V130" s="65">
        <v>7</v>
      </c>
      <c r="W130" s="65">
        <v>64</v>
      </c>
      <c r="X130" s="110">
        <f t="shared" si="78"/>
        <v>160</v>
      </c>
      <c r="Y130" s="81">
        <v>2</v>
      </c>
      <c r="Z130" s="141">
        <f>IF(AND(L130&lt;&gt;"",Y130&lt;&gt;""),1000*L130/Y130,"")</f>
        <v>640</v>
      </c>
      <c r="AA130" s="371"/>
      <c r="AB130" s="54"/>
      <c r="AC130" s="99">
        <f>T130/V130</f>
        <v>15.428571428571429</v>
      </c>
      <c r="AD130" s="191">
        <f>V130*512*18/1000000</f>
        <v>6.4512E-2</v>
      </c>
      <c r="AF130" s="6"/>
      <c r="AG130" s="236"/>
    </row>
    <row r="131" spans="1:33" x14ac:dyDescent="0.2">
      <c r="A131" s="182" t="s">
        <v>929</v>
      </c>
      <c r="B131" s="36" t="s">
        <v>701</v>
      </c>
      <c r="C131" s="227"/>
      <c r="D131" s="470" t="s">
        <v>708</v>
      </c>
      <c r="E131" s="134" t="s">
        <v>1024</v>
      </c>
      <c r="F131" s="45" t="s">
        <v>1134</v>
      </c>
      <c r="G131" s="19">
        <v>10.199999999999999</v>
      </c>
      <c r="H131" s="1538">
        <v>3.1</v>
      </c>
      <c r="I131" s="162">
        <v>29</v>
      </c>
      <c r="J131" s="138"/>
      <c r="K131" s="20"/>
      <c r="L131" s="460">
        <v>2.1120000000000001</v>
      </c>
      <c r="M131" s="64">
        <f t="shared" si="76"/>
        <v>2112</v>
      </c>
      <c r="N131" s="65">
        <f t="shared" si="77"/>
        <v>207.05882352941177</v>
      </c>
      <c r="O131" s="65"/>
      <c r="P131" s="65"/>
      <c r="Q131" s="65">
        <v>4</v>
      </c>
      <c r="R131" s="65">
        <v>1</v>
      </c>
      <c r="S131" s="65"/>
      <c r="T131" s="65">
        <v>207</v>
      </c>
      <c r="U131" s="65"/>
      <c r="V131" s="65">
        <v>8</v>
      </c>
      <c r="W131" s="65">
        <v>80</v>
      </c>
      <c r="X131" s="110">
        <f t="shared" si="78"/>
        <v>264</v>
      </c>
      <c r="Y131" s="81"/>
      <c r="Z131" s="141"/>
      <c r="AA131" s="371"/>
      <c r="AB131" s="54"/>
      <c r="AC131" s="99">
        <f>T131/V131</f>
        <v>25.875</v>
      </c>
      <c r="AD131" s="191">
        <f>V131*512*18/1000000</f>
        <v>7.3728000000000002E-2</v>
      </c>
      <c r="AF131" s="6"/>
      <c r="AG131" s="236"/>
    </row>
    <row r="132" spans="1:33" x14ac:dyDescent="0.2">
      <c r="A132" s="182" t="s">
        <v>929</v>
      </c>
      <c r="B132" s="36" t="s">
        <v>701</v>
      </c>
      <c r="C132" s="227"/>
      <c r="D132" s="470" t="s">
        <v>708</v>
      </c>
      <c r="E132" s="134" t="s">
        <v>1025</v>
      </c>
      <c r="F132" s="18" t="s">
        <v>1285</v>
      </c>
      <c r="G132" s="19">
        <v>10.65</v>
      </c>
      <c r="H132" s="1538">
        <v>8</v>
      </c>
      <c r="I132" s="162">
        <v>105</v>
      </c>
      <c r="J132" s="138"/>
      <c r="K132" s="20"/>
      <c r="L132" s="460">
        <v>4.32</v>
      </c>
      <c r="M132" s="64">
        <f t="shared" si="76"/>
        <v>4320</v>
      </c>
      <c r="N132" s="65">
        <f t="shared" si="77"/>
        <v>405.63380281690138</v>
      </c>
      <c r="O132" s="65"/>
      <c r="P132" s="65"/>
      <c r="Q132" s="65">
        <v>4</v>
      </c>
      <c r="R132" s="65">
        <v>2</v>
      </c>
      <c r="S132" s="65"/>
      <c r="T132" s="65">
        <v>279</v>
      </c>
      <c r="U132" s="65"/>
      <c r="V132" s="65">
        <v>10</v>
      </c>
      <c r="W132" s="65">
        <v>96</v>
      </c>
      <c r="X132" s="110">
        <f t="shared" si="78"/>
        <v>540</v>
      </c>
      <c r="Y132" s="81"/>
      <c r="Z132" s="141"/>
      <c r="AA132" s="371"/>
      <c r="AB132" s="54"/>
      <c r="AC132" s="99">
        <f>T132/V132</f>
        <v>27.9</v>
      </c>
      <c r="AD132" s="191">
        <f>V132*512*18/1000000</f>
        <v>9.2160000000000006E-2</v>
      </c>
      <c r="AF132" s="6"/>
      <c r="AG132" s="236"/>
    </row>
    <row r="133" spans="1:33" ht="13.5" thickBot="1" x14ac:dyDescent="0.25">
      <c r="A133" s="182" t="s">
        <v>929</v>
      </c>
      <c r="B133" s="36" t="s">
        <v>701</v>
      </c>
      <c r="C133" s="228"/>
      <c r="D133" s="470" t="s">
        <v>708</v>
      </c>
      <c r="E133" s="134" t="s">
        <v>1026</v>
      </c>
      <c r="F133" s="133" t="s">
        <v>1286</v>
      </c>
      <c r="G133" s="23">
        <v>14.45</v>
      </c>
      <c r="H133" s="467">
        <v>14</v>
      </c>
      <c r="I133" s="163">
        <v>115</v>
      </c>
      <c r="J133" s="150"/>
      <c r="K133" s="24"/>
      <c r="L133" s="256">
        <v>6.8639999999999999</v>
      </c>
      <c r="M133" s="64">
        <f t="shared" si="76"/>
        <v>6864</v>
      </c>
      <c r="N133" s="65">
        <f t="shared" si="77"/>
        <v>475.01730103806233</v>
      </c>
      <c r="O133" s="68"/>
      <c r="P133" s="68"/>
      <c r="Q133" s="68">
        <v>4</v>
      </c>
      <c r="R133" s="68">
        <v>2</v>
      </c>
      <c r="S133" s="68"/>
      <c r="T133" s="68">
        <v>335</v>
      </c>
      <c r="U133" s="68"/>
      <c r="V133" s="68">
        <v>26</v>
      </c>
      <c r="W133" s="68">
        <v>256</v>
      </c>
      <c r="X133" s="110">
        <f t="shared" si="78"/>
        <v>858</v>
      </c>
      <c r="Y133" s="82"/>
      <c r="Z133" s="142"/>
      <c r="AA133" s="374"/>
      <c r="AB133" s="55"/>
      <c r="AC133" s="99">
        <f>T133/V133</f>
        <v>12.884615384615385</v>
      </c>
      <c r="AD133" s="191">
        <f>V133*512*18/1000000</f>
        <v>0.239616</v>
      </c>
      <c r="AF133" s="6"/>
      <c r="AG133" s="236"/>
    </row>
    <row r="134" spans="1:33" ht="13.5" customHeight="1" x14ac:dyDescent="0.2">
      <c r="A134" s="183"/>
      <c r="B134" s="48" t="s">
        <v>716</v>
      </c>
      <c r="C134" s="226"/>
      <c r="D134" s="212"/>
      <c r="E134" s="12" t="s">
        <v>1525</v>
      </c>
      <c r="F134" s="466"/>
      <c r="G134" s="14" t="s">
        <v>22</v>
      </c>
      <c r="H134" s="132" t="s">
        <v>529</v>
      </c>
      <c r="I134" s="161"/>
      <c r="J134" s="145"/>
      <c r="K134" s="16" t="s">
        <v>22</v>
      </c>
      <c r="L134" s="244" t="s">
        <v>23</v>
      </c>
      <c r="M134" s="60"/>
      <c r="N134" s="385">
        <f>AVERAGE(N135:N139)</f>
        <v>551.48832067510898</v>
      </c>
      <c r="O134" s="61"/>
      <c r="P134" s="61"/>
      <c r="Q134" s="399" t="s">
        <v>1529</v>
      </c>
      <c r="R134" s="61" t="s">
        <v>1528</v>
      </c>
      <c r="S134" s="61"/>
      <c r="T134" s="399" t="s">
        <v>1029</v>
      </c>
      <c r="U134" s="399" t="s">
        <v>1030</v>
      </c>
      <c r="V134" s="468" t="s">
        <v>1027</v>
      </c>
      <c r="W134" s="61" t="s">
        <v>66</v>
      </c>
      <c r="X134" s="109" t="s">
        <v>158</v>
      </c>
      <c r="Y134" s="80"/>
      <c r="Z134" s="164"/>
      <c r="AA134" s="373"/>
      <c r="AB134" s="92" t="e">
        <f>AVERAGE(AB135:AB137)</f>
        <v>#DIV/0!</v>
      </c>
      <c r="AC134" s="98">
        <f>AVERAGE(AC135:AC139)</f>
        <v>24.467857142857145</v>
      </c>
      <c r="AD134" s="109" t="s">
        <v>650</v>
      </c>
      <c r="AG134" s="471" t="s">
        <v>1527</v>
      </c>
    </row>
    <row r="135" spans="1:33" x14ac:dyDescent="0.2">
      <c r="A135" s="182"/>
      <c r="B135" s="36" t="s">
        <v>701</v>
      </c>
      <c r="C135" s="227"/>
      <c r="D135" s="470" t="s">
        <v>708</v>
      </c>
      <c r="E135" s="134" t="s">
        <v>1532</v>
      </c>
      <c r="F135" s="45" t="s">
        <v>1781</v>
      </c>
      <c r="G135" s="19">
        <v>3.41</v>
      </c>
      <c r="H135" s="1538">
        <v>6</v>
      </c>
      <c r="I135" s="162">
        <v>100</v>
      </c>
      <c r="J135" s="138"/>
      <c r="K135" s="20"/>
      <c r="L135" s="460">
        <v>0.64</v>
      </c>
      <c r="M135" s="64">
        <f t="shared" ref="M135:M140" si="79">1000*L135</f>
        <v>640</v>
      </c>
      <c r="N135" s="65">
        <f t="shared" ref="N135:N140" si="80">IF(AND(G135&lt;&gt;"",M135&lt;&gt;""),M135/G135,"")</f>
        <v>187.68328445747801</v>
      </c>
      <c r="O135" s="65"/>
      <c r="P135" s="65"/>
      <c r="Q135" s="65">
        <v>5</v>
      </c>
      <c r="R135" s="65">
        <v>1</v>
      </c>
      <c r="S135" s="65"/>
      <c r="T135" s="65">
        <v>100</v>
      </c>
      <c r="U135" s="65"/>
      <c r="V135" s="65">
        <v>7</v>
      </c>
      <c r="W135" s="65">
        <v>64</v>
      </c>
      <c r="X135" s="110">
        <f t="shared" ref="X135:X140" si="81">125*L135</f>
        <v>80</v>
      </c>
      <c r="Y135" s="81">
        <v>1</v>
      </c>
      <c r="Z135" s="141">
        <f>IF(AND(L135&lt;&gt;"",Y135&lt;&gt;""),1000*L135/Y135,"")</f>
        <v>640</v>
      </c>
      <c r="AA135" s="371"/>
      <c r="AB135" s="54"/>
      <c r="AC135" s="889">
        <f t="shared" ref="AC135:AC140" si="82">T135/V135</f>
        <v>14.285714285714286</v>
      </c>
      <c r="AD135" s="191">
        <f t="shared" ref="AD135:AD140" si="83">V135*512*18/1000000</f>
        <v>6.4512E-2</v>
      </c>
      <c r="AF135" s="6"/>
      <c r="AG135" s="236" t="s">
        <v>1526</v>
      </c>
    </row>
    <row r="136" spans="1:33" x14ac:dyDescent="0.2">
      <c r="A136" s="182" t="s">
        <v>929</v>
      </c>
      <c r="B136" s="36" t="s">
        <v>701</v>
      </c>
      <c r="C136" s="227"/>
      <c r="D136" s="470" t="s">
        <v>708</v>
      </c>
      <c r="E136" s="134" t="s">
        <v>1533</v>
      </c>
      <c r="F136" s="45" t="s">
        <v>1608</v>
      </c>
      <c r="G136" s="19">
        <v>2.6</v>
      </c>
      <c r="H136" s="1538">
        <v>2.5</v>
      </c>
      <c r="I136" s="162">
        <v>25</v>
      </c>
      <c r="J136" s="138"/>
      <c r="K136" s="20"/>
      <c r="L136" s="460">
        <v>1.3</v>
      </c>
      <c r="M136" s="64">
        <f t="shared" si="79"/>
        <v>1300</v>
      </c>
      <c r="N136" s="65">
        <f t="shared" si="80"/>
        <v>500</v>
      </c>
      <c r="O136" s="65"/>
      <c r="P136" s="65"/>
      <c r="Q136" s="65">
        <v>5</v>
      </c>
      <c r="R136" s="65">
        <v>1</v>
      </c>
      <c r="S136" s="65"/>
      <c r="T136" s="65">
        <v>206</v>
      </c>
      <c r="U136" s="65"/>
      <c r="V136" s="65">
        <v>7</v>
      </c>
      <c r="W136" s="65">
        <v>64</v>
      </c>
      <c r="X136" s="110">
        <f t="shared" si="81"/>
        <v>162.5</v>
      </c>
      <c r="Y136" s="81"/>
      <c r="Z136" s="141" t="str">
        <f>IF(AND(L136&lt;&gt;"",Y136&lt;&gt;""),1000*L136/Y136,"")</f>
        <v/>
      </c>
      <c r="AA136" s="371"/>
      <c r="AB136" s="54"/>
      <c r="AC136" s="889">
        <f t="shared" si="82"/>
        <v>29.428571428571427</v>
      </c>
      <c r="AD136" s="191">
        <f t="shared" si="83"/>
        <v>6.4512E-2</v>
      </c>
      <c r="AF136" s="6"/>
      <c r="AG136" s="236" t="s">
        <v>1676</v>
      </c>
    </row>
    <row r="137" spans="1:33" x14ac:dyDescent="0.2">
      <c r="A137" s="401" t="s">
        <v>929</v>
      </c>
      <c r="B137" s="36" t="s">
        <v>701</v>
      </c>
      <c r="C137" s="227"/>
      <c r="D137" s="470" t="s">
        <v>708</v>
      </c>
      <c r="E137" s="134" t="s">
        <v>1534</v>
      </c>
      <c r="F137" s="45" t="s">
        <v>1610</v>
      </c>
      <c r="G137" s="19">
        <v>3.7</v>
      </c>
      <c r="H137" s="1538">
        <v>3.2</v>
      </c>
      <c r="I137" s="162">
        <v>38</v>
      </c>
      <c r="J137" s="138"/>
      <c r="K137" s="20"/>
      <c r="L137" s="460">
        <v>2.1120000000000001</v>
      </c>
      <c r="M137" s="64">
        <f t="shared" si="79"/>
        <v>2112</v>
      </c>
      <c r="N137" s="65">
        <f t="shared" si="80"/>
        <v>570.81081081081084</v>
      </c>
      <c r="O137" s="65"/>
      <c r="P137" s="65"/>
      <c r="Q137" s="65">
        <v>5</v>
      </c>
      <c r="R137" s="65">
        <v>1</v>
      </c>
      <c r="S137" s="65"/>
      <c r="T137" s="65">
        <v>269</v>
      </c>
      <c r="U137" s="65"/>
      <c r="V137" s="65">
        <v>8</v>
      </c>
      <c r="W137" s="65">
        <v>80</v>
      </c>
      <c r="X137" s="110">
        <f t="shared" si="81"/>
        <v>264</v>
      </c>
      <c r="Y137" s="81"/>
      <c r="Z137" s="141"/>
      <c r="AA137" s="371"/>
      <c r="AB137" s="54"/>
      <c r="AC137" s="889">
        <f t="shared" si="82"/>
        <v>33.625</v>
      </c>
      <c r="AD137" s="191">
        <f t="shared" si="83"/>
        <v>7.3728000000000002E-2</v>
      </c>
      <c r="AF137" s="6"/>
      <c r="AG137" s="236" t="s">
        <v>2184</v>
      </c>
    </row>
    <row r="138" spans="1:33" x14ac:dyDescent="0.2">
      <c r="A138" s="401" t="s">
        <v>929</v>
      </c>
      <c r="B138" s="41" t="s">
        <v>701</v>
      </c>
      <c r="C138" s="227"/>
      <c r="D138" s="229" t="s">
        <v>708</v>
      </c>
      <c r="E138" s="134" t="s">
        <v>1535</v>
      </c>
      <c r="F138" s="45" t="s">
        <v>1609</v>
      </c>
      <c r="G138" s="19">
        <v>4.95</v>
      </c>
      <c r="H138" s="1538">
        <v>3.8</v>
      </c>
      <c r="I138" s="162">
        <v>60</v>
      </c>
      <c r="J138" s="138"/>
      <c r="K138" s="20"/>
      <c r="L138" s="460">
        <v>4.32</v>
      </c>
      <c r="M138" s="64">
        <f t="shared" si="79"/>
        <v>4320</v>
      </c>
      <c r="N138" s="65">
        <f t="shared" si="80"/>
        <v>872.72727272727275</v>
      </c>
      <c r="O138" s="65"/>
      <c r="P138" s="65"/>
      <c r="Q138" s="65">
        <v>5</v>
      </c>
      <c r="R138" s="65">
        <v>2</v>
      </c>
      <c r="S138" s="65"/>
      <c r="T138" s="65">
        <v>325</v>
      </c>
      <c r="U138" s="65"/>
      <c r="V138" s="65">
        <v>10</v>
      </c>
      <c r="W138" s="65">
        <v>96</v>
      </c>
      <c r="X138" s="110">
        <f t="shared" si="81"/>
        <v>540</v>
      </c>
      <c r="Y138" s="81"/>
      <c r="Z138" s="141"/>
      <c r="AA138" s="371"/>
      <c r="AB138" s="54"/>
      <c r="AC138" s="889">
        <f t="shared" si="82"/>
        <v>32.5</v>
      </c>
      <c r="AD138" s="191">
        <f t="shared" si="83"/>
        <v>9.2160000000000006E-2</v>
      </c>
      <c r="AF138" s="6"/>
      <c r="AG138" s="236"/>
    </row>
    <row r="139" spans="1:33" x14ac:dyDescent="0.2">
      <c r="A139" s="401" t="s">
        <v>929</v>
      </c>
      <c r="B139" s="41" t="s">
        <v>701</v>
      </c>
      <c r="C139" s="227"/>
      <c r="D139" s="229" t="s">
        <v>708</v>
      </c>
      <c r="E139" s="134" t="s">
        <v>1536</v>
      </c>
      <c r="F139" s="45" t="s">
        <v>1530</v>
      </c>
      <c r="G139" s="19">
        <v>10.961</v>
      </c>
      <c r="H139" s="1538">
        <v>9</v>
      </c>
      <c r="I139" s="162">
        <v>206</v>
      </c>
      <c r="J139" s="138"/>
      <c r="K139" s="20"/>
      <c r="L139" s="460">
        <v>6.8639999999999999</v>
      </c>
      <c r="M139" s="64">
        <f t="shared" si="79"/>
        <v>6864</v>
      </c>
      <c r="N139" s="65">
        <f t="shared" si="80"/>
        <v>626.22023537998359</v>
      </c>
      <c r="O139" s="65"/>
      <c r="P139" s="65"/>
      <c r="Q139" s="65">
        <v>5</v>
      </c>
      <c r="R139" s="65">
        <v>2</v>
      </c>
      <c r="S139" s="65"/>
      <c r="T139" s="65">
        <v>325</v>
      </c>
      <c r="U139" s="65"/>
      <c r="V139" s="65">
        <v>26</v>
      </c>
      <c r="W139" s="65">
        <v>256</v>
      </c>
      <c r="X139" s="110">
        <f t="shared" si="81"/>
        <v>858</v>
      </c>
      <c r="Y139" s="81"/>
      <c r="Z139" s="141"/>
      <c r="AA139" s="371"/>
      <c r="AB139" s="54"/>
      <c r="AC139" s="889">
        <f t="shared" si="82"/>
        <v>12.5</v>
      </c>
      <c r="AD139" s="191">
        <f t="shared" si="83"/>
        <v>0.239616</v>
      </c>
      <c r="AF139" s="6"/>
      <c r="AG139" s="236"/>
    </row>
    <row r="140" spans="1:33" ht="13.5" thickBot="1" x14ac:dyDescent="0.25">
      <c r="A140" s="401" t="s">
        <v>929</v>
      </c>
      <c r="B140" s="33" t="s">
        <v>701</v>
      </c>
      <c r="C140" s="228"/>
      <c r="D140" s="231" t="s">
        <v>708</v>
      </c>
      <c r="E140" s="417" t="s">
        <v>2056</v>
      </c>
      <c r="F140" s="133" t="s">
        <v>1530</v>
      </c>
      <c r="G140" s="23">
        <v>12.47</v>
      </c>
      <c r="H140" s="1545">
        <v>9</v>
      </c>
      <c r="I140" s="163">
        <v>206</v>
      </c>
      <c r="J140" s="150"/>
      <c r="K140" s="24"/>
      <c r="L140" s="256">
        <v>9.4</v>
      </c>
      <c r="M140" s="67">
        <f t="shared" si="79"/>
        <v>9400</v>
      </c>
      <c r="N140" s="68">
        <f t="shared" si="80"/>
        <v>753.80914194065758</v>
      </c>
      <c r="O140" s="68"/>
      <c r="P140" s="68"/>
      <c r="Q140" s="68">
        <v>5</v>
      </c>
      <c r="R140" s="68">
        <v>2</v>
      </c>
      <c r="S140" s="68"/>
      <c r="T140" s="68">
        <v>384</v>
      </c>
      <c r="U140" s="68"/>
      <c r="V140" s="68">
        <v>48</v>
      </c>
      <c r="W140" s="68">
        <v>448</v>
      </c>
      <c r="X140" s="111">
        <f t="shared" si="81"/>
        <v>1175</v>
      </c>
      <c r="Y140" s="82"/>
      <c r="Z140" s="142"/>
      <c r="AA140" s="374"/>
      <c r="AB140" s="55"/>
      <c r="AC140" s="1308">
        <f t="shared" si="82"/>
        <v>8</v>
      </c>
      <c r="AD140" s="192">
        <f t="shared" si="83"/>
        <v>0.44236799999999998</v>
      </c>
      <c r="AF140" s="6"/>
      <c r="AG140" s="236"/>
    </row>
    <row r="141" spans="1:33" ht="13.5" customHeight="1" x14ac:dyDescent="0.2">
      <c r="A141" s="183"/>
      <c r="B141" s="48" t="s">
        <v>716</v>
      </c>
      <c r="C141" s="226"/>
      <c r="D141" s="212"/>
      <c r="E141" s="12" t="s">
        <v>2219</v>
      </c>
      <c r="F141" s="466"/>
      <c r="G141" s="14" t="s">
        <v>22</v>
      </c>
      <c r="H141" s="132" t="s">
        <v>529</v>
      </c>
      <c r="I141" s="161"/>
      <c r="J141" s="145"/>
      <c r="K141" s="16" t="s">
        <v>22</v>
      </c>
      <c r="L141" s="244" t="s">
        <v>23</v>
      </c>
      <c r="M141" s="60"/>
      <c r="N141" s="385">
        <f>AVERAGE(N142:N143)</f>
        <v>687.21198507521126</v>
      </c>
      <c r="O141" s="61"/>
      <c r="P141" s="61"/>
      <c r="Q141" s="399" t="s">
        <v>1529</v>
      </c>
      <c r="R141" s="61" t="s">
        <v>1528</v>
      </c>
      <c r="S141" s="61"/>
      <c r="T141" s="399" t="s">
        <v>1029</v>
      </c>
      <c r="U141" s="399" t="s">
        <v>1030</v>
      </c>
      <c r="V141" s="468" t="s">
        <v>1027</v>
      </c>
      <c r="W141" s="61" t="s">
        <v>66</v>
      </c>
      <c r="X141" s="109" t="s">
        <v>158</v>
      </c>
      <c r="Y141" s="80"/>
      <c r="Z141" s="164"/>
      <c r="AA141" s="373"/>
      <c r="AB141" s="92">
        <f>AVERAGE(AB142:AB146)</f>
        <v>548.61574125218101</v>
      </c>
      <c r="AC141" s="98">
        <f>AVERAGE(AC142:AC148)</f>
        <v>21.876348954058596</v>
      </c>
      <c r="AD141" s="109" t="s">
        <v>650</v>
      </c>
      <c r="AG141" s="471" t="s">
        <v>2220</v>
      </c>
    </row>
    <row r="142" spans="1:33" x14ac:dyDescent="0.2">
      <c r="A142" s="182"/>
      <c r="B142" s="41" t="s">
        <v>701</v>
      </c>
      <c r="C142" s="227"/>
      <c r="D142" s="229" t="s">
        <v>708</v>
      </c>
      <c r="E142" s="134" t="s">
        <v>1536</v>
      </c>
      <c r="F142" s="45"/>
      <c r="G142" s="19">
        <v>11.06</v>
      </c>
      <c r="H142" s="462">
        <v>10</v>
      </c>
      <c r="I142" s="162">
        <v>58</v>
      </c>
      <c r="J142" s="138"/>
      <c r="K142" s="20"/>
      <c r="L142" s="460">
        <v>6.8639999999999999</v>
      </c>
      <c r="M142" s="64">
        <f>1000*L142</f>
        <v>6864</v>
      </c>
      <c r="N142" s="65">
        <f>IF(AND(G142&lt;&gt;"",M142&lt;&gt;""),M142/G142,"")</f>
        <v>620.61482820976494</v>
      </c>
      <c r="O142" s="65"/>
      <c r="P142" s="65"/>
      <c r="Q142" s="65">
        <v>5</v>
      </c>
      <c r="R142" s="65">
        <v>2</v>
      </c>
      <c r="S142" s="65"/>
      <c r="T142" s="65">
        <v>206</v>
      </c>
      <c r="U142" s="65"/>
      <c r="V142" s="65">
        <v>10</v>
      </c>
      <c r="W142" s="65">
        <v>1122</v>
      </c>
      <c r="X142" s="110">
        <f>125*L142</f>
        <v>858</v>
      </c>
      <c r="Y142" s="81"/>
      <c r="Z142" s="141"/>
      <c r="AA142" s="371"/>
      <c r="AB142" s="54"/>
      <c r="AC142" s="889">
        <f>T142/V142</f>
        <v>20.6</v>
      </c>
      <c r="AD142" s="191">
        <f>V142*512*18/1000000</f>
        <v>9.2160000000000006E-2</v>
      </c>
      <c r="AF142" s="6"/>
      <c r="AG142" s="236"/>
    </row>
    <row r="143" spans="1:33" ht="13.5" thickBot="1" x14ac:dyDescent="0.25">
      <c r="A143" s="182" t="s">
        <v>929</v>
      </c>
      <c r="B143" s="33" t="s">
        <v>701</v>
      </c>
      <c r="C143" s="228"/>
      <c r="D143" s="231" t="s">
        <v>708</v>
      </c>
      <c r="E143" s="417" t="s">
        <v>2056</v>
      </c>
      <c r="F143" s="133"/>
      <c r="G143" s="23">
        <v>12.47</v>
      </c>
      <c r="H143" s="467">
        <v>10</v>
      </c>
      <c r="I143" s="163">
        <v>58</v>
      </c>
      <c r="J143" s="150"/>
      <c r="K143" s="24"/>
      <c r="L143" s="256">
        <v>9.4</v>
      </c>
      <c r="M143" s="67">
        <f>1000*L143</f>
        <v>9400</v>
      </c>
      <c r="N143" s="68">
        <f>IF(AND(G143&lt;&gt;"",M143&lt;&gt;""),M143/G143,"")</f>
        <v>753.80914194065758</v>
      </c>
      <c r="O143" s="68"/>
      <c r="P143" s="68"/>
      <c r="Q143" s="68">
        <v>5</v>
      </c>
      <c r="R143" s="68">
        <v>2</v>
      </c>
      <c r="S143" s="68"/>
      <c r="T143" s="68">
        <v>383</v>
      </c>
      <c r="U143" s="68"/>
      <c r="V143" s="68">
        <v>46</v>
      </c>
      <c r="W143" s="68">
        <v>2693</v>
      </c>
      <c r="X143" s="111">
        <f>125*L143</f>
        <v>1175</v>
      </c>
      <c r="Y143" s="82"/>
      <c r="Z143" s="142"/>
      <c r="AA143" s="374"/>
      <c r="AB143" s="55"/>
      <c r="AC143" s="1308">
        <f>T143/V143</f>
        <v>8.3260869565217384</v>
      </c>
      <c r="AD143" s="192">
        <f>V143*512*18/1000000</f>
        <v>0.42393599999999998</v>
      </c>
      <c r="AF143" s="6"/>
      <c r="AG143" s="236"/>
    </row>
    <row r="144" spans="1:33" ht="13.5" customHeight="1" x14ac:dyDescent="0.2">
      <c r="A144" s="183"/>
      <c r="B144" s="48" t="s">
        <v>716</v>
      </c>
      <c r="C144" s="226"/>
      <c r="D144" s="212"/>
      <c r="E144" s="12" t="s">
        <v>2631</v>
      </c>
      <c r="F144" s="466"/>
      <c r="G144" s="14" t="s">
        <v>22</v>
      </c>
      <c r="H144" s="132" t="s">
        <v>529</v>
      </c>
      <c r="I144" s="161"/>
      <c r="J144" s="145"/>
      <c r="K144" s="16" t="s">
        <v>22</v>
      </c>
      <c r="L144" s="244" t="s">
        <v>23</v>
      </c>
      <c r="M144" s="60"/>
      <c r="N144" s="385">
        <f>AVERAGE(N145:N146)</f>
        <v>312.56235000285324</v>
      </c>
      <c r="O144" s="61"/>
      <c r="P144" s="61"/>
      <c r="Q144" s="61" t="s">
        <v>1737</v>
      </c>
      <c r="R144" s="61" t="s">
        <v>1528</v>
      </c>
      <c r="S144" s="61"/>
      <c r="T144" s="399" t="s">
        <v>1029</v>
      </c>
      <c r="U144" s="399" t="s">
        <v>1030</v>
      </c>
      <c r="V144" s="468" t="s">
        <v>206</v>
      </c>
      <c r="W144" s="399" t="s">
        <v>2632</v>
      </c>
      <c r="X144" s="109" t="s">
        <v>158</v>
      </c>
      <c r="Y144" s="80"/>
      <c r="Z144" s="164"/>
      <c r="AA144" s="373"/>
      <c r="AB144" s="92">
        <f>AVERAGE(AB145:AB149)</f>
        <v>598.32629650087244</v>
      </c>
      <c r="AC144" s="98">
        <f>AVERAGE(AC145:AC151)</f>
        <v>22.326044465236055</v>
      </c>
      <c r="AD144" s="109" t="s">
        <v>650</v>
      </c>
      <c r="AG144" s="471" t="s">
        <v>2634</v>
      </c>
    </row>
    <row r="145" spans="1:33" ht="13.5" thickBot="1" x14ac:dyDescent="0.25">
      <c r="A145" s="182"/>
      <c r="B145" s="41" t="s">
        <v>701</v>
      </c>
      <c r="C145" s="227"/>
      <c r="D145" s="229" t="s">
        <v>708</v>
      </c>
      <c r="E145" s="134" t="s">
        <v>2633</v>
      </c>
      <c r="F145" s="45"/>
      <c r="G145" s="19"/>
      <c r="H145" s="462">
        <v>14</v>
      </c>
      <c r="I145" s="162"/>
      <c r="J145" s="138"/>
      <c r="K145" s="20"/>
      <c r="L145" s="1850">
        <v>25</v>
      </c>
      <c r="M145" s="1851">
        <f>L145</f>
        <v>25</v>
      </c>
      <c r="N145" s="65" t="str">
        <f>IF(AND(G145&lt;&gt;"",M145&lt;&gt;""),M145/G145,"")</f>
        <v/>
      </c>
      <c r="O145" s="65"/>
      <c r="P145" s="65"/>
      <c r="Q145" s="65">
        <v>20</v>
      </c>
      <c r="R145" s="65">
        <v>2</v>
      </c>
      <c r="S145" s="65"/>
      <c r="T145" s="65">
        <v>206</v>
      </c>
      <c r="U145" s="65"/>
      <c r="V145" s="65">
        <v>80</v>
      </c>
      <c r="W145" s="154">
        <v>0.58982400000000001</v>
      </c>
      <c r="X145" s="110">
        <f>125*L145</f>
        <v>3125</v>
      </c>
      <c r="Y145" s="81"/>
      <c r="Z145" s="141"/>
      <c r="AA145" s="371"/>
      <c r="AB145" s="54"/>
      <c r="AC145" s="889">
        <f>T145/V145</f>
        <v>2.5750000000000002</v>
      </c>
      <c r="AD145" s="191">
        <f>V145*512*36/1000000+W145</f>
        <v>2.064384</v>
      </c>
      <c r="AF145" s="6"/>
      <c r="AG145" s="236"/>
    </row>
    <row r="146" spans="1:33" ht="13.5" customHeight="1" x14ac:dyDescent="0.2">
      <c r="A146" s="401"/>
      <c r="B146" s="48" t="s">
        <v>716</v>
      </c>
      <c r="C146" s="226"/>
      <c r="D146" s="212"/>
      <c r="E146" s="12" t="s">
        <v>156</v>
      </c>
      <c r="F146" s="13"/>
      <c r="G146" s="123" t="s">
        <v>22</v>
      </c>
      <c r="H146" s="132" t="s">
        <v>528</v>
      </c>
      <c r="I146" s="161"/>
      <c r="J146" s="136"/>
      <c r="K146" s="16" t="s">
        <v>22</v>
      </c>
      <c r="L146" s="244" t="s">
        <v>23</v>
      </c>
      <c r="M146" s="60"/>
      <c r="N146" s="380">
        <f>AVERAGE(N147:N158)</f>
        <v>312.56235000285324</v>
      </c>
      <c r="O146" s="61"/>
      <c r="P146" s="61"/>
      <c r="Q146" s="61" t="s">
        <v>1737</v>
      </c>
      <c r="R146" s="61"/>
      <c r="S146" s="61"/>
      <c r="T146" s="61"/>
      <c r="U146" s="61"/>
      <c r="V146" s="62" t="s">
        <v>157</v>
      </c>
      <c r="W146" s="61"/>
      <c r="X146" s="109" t="s">
        <v>158</v>
      </c>
      <c r="Y146" s="80"/>
      <c r="Z146" s="164"/>
      <c r="AA146" s="370">
        <f>AVERAGE(AA147:AA158)</f>
        <v>652.79999999999995</v>
      </c>
      <c r="AB146" s="92">
        <f>AVERAGE(AB147:AB158)</f>
        <v>498.90518600348963</v>
      </c>
      <c r="AC146" s="98">
        <f>AVERAGE(AC147:AC158)</f>
        <v>16.640644589985708</v>
      </c>
      <c r="AD146" s="109" t="s">
        <v>650</v>
      </c>
      <c r="AG146" s="5" t="s">
        <v>159</v>
      </c>
    </row>
    <row r="147" spans="1:33" x14ac:dyDescent="0.2">
      <c r="A147" s="401" t="s">
        <v>26</v>
      </c>
      <c r="B147" s="41" t="s">
        <v>702</v>
      </c>
      <c r="C147" s="227"/>
      <c r="D147" s="213"/>
      <c r="E147" s="118" t="s">
        <v>160</v>
      </c>
      <c r="F147" s="18" t="s">
        <v>323</v>
      </c>
      <c r="G147" s="19">
        <v>7.1</v>
      </c>
      <c r="H147" s="124">
        <v>14</v>
      </c>
      <c r="I147" s="162">
        <v>67</v>
      </c>
      <c r="J147" s="138" t="s">
        <v>161</v>
      </c>
      <c r="K147" s="20">
        <v>20.079999999999998</v>
      </c>
      <c r="L147" s="245">
        <f t="shared" ref="L147:L158" si="84">8*X147</f>
        <v>1536</v>
      </c>
      <c r="M147" s="151">
        <f t="shared" ref="M147:M158" si="85">8*X147</f>
        <v>1536</v>
      </c>
      <c r="N147" s="65">
        <f t="shared" ref="N147:N158" si="86">IF(AND(G147&lt;&gt;"",M147&lt;&gt;""),M147/G147,"")</f>
        <v>216.33802816901411</v>
      </c>
      <c r="O147" s="65">
        <f t="shared" ref="O147:O158" si="87">IF(AND(G147&lt;&gt;"",L147&lt;&gt;""),L147/G147,"")</f>
        <v>216.33802816901411</v>
      </c>
      <c r="P147" s="65"/>
      <c r="Q147" s="65">
        <v>0</v>
      </c>
      <c r="R147" s="65">
        <v>2</v>
      </c>
      <c r="S147" s="65"/>
      <c r="T147" s="65">
        <v>112</v>
      </c>
      <c r="U147" s="65"/>
      <c r="V147" s="65">
        <v>2</v>
      </c>
      <c r="W147" s="65"/>
      <c r="X147" s="110">
        <v>192</v>
      </c>
      <c r="Y147" s="81"/>
      <c r="Z147" s="141"/>
      <c r="AA147" s="371"/>
      <c r="AB147" s="54">
        <f t="shared" ref="AB147:AB158" si="88">L147/V147</f>
        <v>768</v>
      </c>
      <c r="AC147" s="99">
        <f t="shared" ref="AC147:AC158" si="89">T147/V147</f>
        <v>56</v>
      </c>
      <c r="AD147" s="191">
        <f t="shared" ref="AD147:AD158" si="90">256*36*V147/1000000</f>
        <v>1.8432E-2</v>
      </c>
      <c r="AF147" s="6"/>
    </row>
    <row r="148" spans="1:33" x14ac:dyDescent="0.2">
      <c r="A148" s="401" t="s">
        <v>26</v>
      </c>
      <c r="B148" s="41" t="s">
        <v>702</v>
      </c>
      <c r="C148" s="227"/>
      <c r="D148" s="213"/>
      <c r="E148" s="118" t="s">
        <v>162</v>
      </c>
      <c r="F148" s="18" t="s">
        <v>742</v>
      </c>
      <c r="G148" s="19">
        <v>11.96</v>
      </c>
      <c r="H148" s="124">
        <v>14</v>
      </c>
      <c r="I148" s="162">
        <v>67</v>
      </c>
      <c r="J148" s="138" t="s">
        <v>163</v>
      </c>
      <c r="K148" s="20">
        <v>31.67</v>
      </c>
      <c r="L148" s="245">
        <f t="shared" si="84"/>
        <v>3072</v>
      </c>
      <c r="M148" s="151">
        <f t="shared" si="85"/>
        <v>3072</v>
      </c>
      <c r="N148" s="65">
        <f t="shared" si="86"/>
        <v>256.8561872909699</v>
      </c>
      <c r="O148" s="65">
        <f t="shared" si="87"/>
        <v>256.8561872909699</v>
      </c>
      <c r="P148" s="65"/>
      <c r="Q148" s="65">
        <v>0</v>
      </c>
      <c r="R148" s="65">
        <v>2</v>
      </c>
      <c r="S148" s="65"/>
      <c r="T148" s="65">
        <v>160</v>
      </c>
      <c r="U148" s="65"/>
      <c r="V148" s="65">
        <v>6</v>
      </c>
      <c r="W148" s="65"/>
      <c r="X148" s="110">
        <v>384</v>
      </c>
      <c r="Y148" s="81"/>
      <c r="Z148" s="141"/>
      <c r="AA148" s="371"/>
      <c r="AB148" s="54">
        <f t="shared" si="88"/>
        <v>512</v>
      </c>
      <c r="AC148" s="99">
        <f t="shared" si="89"/>
        <v>26.666666666666668</v>
      </c>
      <c r="AD148" s="191">
        <f t="shared" si="90"/>
        <v>5.5295999999999998E-2</v>
      </c>
      <c r="AF148" s="6"/>
    </row>
    <row r="149" spans="1:33" x14ac:dyDescent="0.2">
      <c r="A149" s="401" t="s">
        <v>26</v>
      </c>
      <c r="B149" s="41" t="s">
        <v>702</v>
      </c>
      <c r="C149" s="227"/>
      <c r="D149" s="213"/>
      <c r="E149" s="118" t="s">
        <v>164</v>
      </c>
      <c r="F149" s="18" t="s">
        <v>741</v>
      </c>
      <c r="G149" s="19">
        <v>17.899999999999999</v>
      </c>
      <c r="H149" s="124">
        <v>17</v>
      </c>
      <c r="I149" s="162">
        <v>195</v>
      </c>
      <c r="J149" s="138" t="s">
        <v>165</v>
      </c>
      <c r="K149" s="20">
        <v>47.82</v>
      </c>
      <c r="L149" s="245">
        <f t="shared" si="84"/>
        <v>6144</v>
      </c>
      <c r="M149" s="151">
        <f t="shared" si="85"/>
        <v>6144</v>
      </c>
      <c r="N149" s="65">
        <f t="shared" si="86"/>
        <v>343.24022346368719</v>
      </c>
      <c r="O149" s="65">
        <f t="shared" si="87"/>
        <v>343.24022346368719</v>
      </c>
      <c r="P149" s="65"/>
      <c r="Q149" s="65">
        <v>0</v>
      </c>
      <c r="R149" s="65">
        <v>2</v>
      </c>
      <c r="S149" s="65"/>
      <c r="T149" s="65">
        <v>224</v>
      </c>
      <c r="U149" s="65"/>
      <c r="V149" s="65">
        <v>10</v>
      </c>
      <c r="W149" s="65"/>
      <c r="X149" s="110">
        <v>768</v>
      </c>
      <c r="Y149" s="81"/>
      <c r="Z149" s="141"/>
      <c r="AA149" s="371"/>
      <c r="AB149" s="54">
        <f t="shared" si="88"/>
        <v>614.4</v>
      </c>
      <c r="AC149" s="99">
        <f t="shared" si="89"/>
        <v>22.4</v>
      </c>
      <c r="AD149" s="191">
        <f t="shared" si="90"/>
        <v>9.2160000000000006E-2</v>
      </c>
      <c r="AF149" s="6"/>
    </row>
    <row r="150" spans="1:33" x14ac:dyDescent="0.2">
      <c r="A150" s="401" t="s">
        <v>26</v>
      </c>
      <c r="B150" s="41" t="s">
        <v>702</v>
      </c>
      <c r="C150" s="227"/>
      <c r="D150" s="213"/>
      <c r="E150" s="118" t="s">
        <v>166</v>
      </c>
      <c r="F150" s="18" t="s">
        <v>741</v>
      </c>
      <c r="G150" s="19">
        <v>19.059999999999999</v>
      </c>
      <c r="H150" s="124">
        <v>17</v>
      </c>
      <c r="I150" s="162">
        <v>195</v>
      </c>
      <c r="J150" s="138" t="s">
        <v>165</v>
      </c>
      <c r="K150" s="20">
        <v>49.48</v>
      </c>
      <c r="L150" s="245">
        <f t="shared" si="84"/>
        <v>6144</v>
      </c>
      <c r="M150" s="151">
        <f t="shared" si="85"/>
        <v>6144</v>
      </c>
      <c r="N150" s="65">
        <f t="shared" si="86"/>
        <v>322.35047219307449</v>
      </c>
      <c r="O150" s="65">
        <f t="shared" si="87"/>
        <v>322.35047219307449</v>
      </c>
      <c r="P150" s="65"/>
      <c r="Q150" s="65">
        <v>16</v>
      </c>
      <c r="R150" s="65">
        <v>2</v>
      </c>
      <c r="S150" s="65"/>
      <c r="T150" s="65">
        <v>224</v>
      </c>
      <c r="U150" s="65"/>
      <c r="V150" s="65">
        <v>10</v>
      </c>
      <c r="W150" s="65"/>
      <c r="X150" s="110">
        <v>768</v>
      </c>
      <c r="Y150" s="81"/>
      <c r="Z150" s="141"/>
      <c r="AA150" s="371">
        <f>L150/Q150</f>
        <v>384</v>
      </c>
      <c r="AB150" s="54">
        <f t="shared" si="88"/>
        <v>614.4</v>
      </c>
      <c r="AC150" s="99">
        <f t="shared" si="89"/>
        <v>22.4</v>
      </c>
      <c r="AD150" s="191">
        <f t="shared" si="90"/>
        <v>9.2160000000000006E-2</v>
      </c>
      <c r="AF150" s="6"/>
    </row>
    <row r="151" spans="1:33" x14ac:dyDescent="0.2">
      <c r="A151" s="401" t="s">
        <v>26</v>
      </c>
      <c r="B151" s="41" t="s">
        <v>702</v>
      </c>
      <c r="C151" s="227"/>
      <c r="D151" s="213"/>
      <c r="E151" s="118" t="s">
        <v>167</v>
      </c>
      <c r="F151" s="18" t="s">
        <v>737</v>
      </c>
      <c r="G151" s="19">
        <v>31.6</v>
      </c>
      <c r="H151" s="124">
        <v>17</v>
      </c>
      <c r="I151" s="162">
        <v>195</v>
      </c>
      <c r="J151" s="138" t="s">
        <v>165</v>
      </c>
      <c r="K151" s="20">
        <v>68.23</v>
      </c>
      <c r="L151" s="245">
        <f t="shared" si="84"/>
        <v>10240</v>
      </c>
      <c r="M151" s="151">
        <f t="shared" si="85"/>
        <v>10240</v>
      </c>
      <c r="N151" s="65">
        <f t="shared" si="86"/>
        <v>324.05063291139237</v>
      </c>
      <c r="O151" s="65">
        <f t="shared" si="87"/>
        <v>324.05063291139237</v>
      </c>
      <c r="P151" s="65"/>
      <c r="Q151" s="65">
        <v>0</v>
      </c>
      <c r="R151" s="65">
        <v>4</v>
      </c>
      <c r="S151" s="65"/>
      <c r="T151" s="65">
        <v>288</v>
      </c>
      <c r="U151" s="65"/>
      <c r="V151" s="65">
        <v>30</v>
      </c>
      <c r="W151" s="65"/>
      <c r="X151" s="110">
        <v>1280</v>
      </c>
      <c r="Y151" s="81"/>
      <c r="Z151" s="141"/>
      <c r="AA151" s="371"/>
      <c r="AB151" s="54">
        <f t="shared" si="88"/>
        <v>341.33333333333331</v>
      </c>
      <c r="AC151" s="99">
        <f t="shared" si="89"/>
        <v>9.6</v>
      </c>
      <c r="AD151" s="191">
        <f t="shared" si="90"/>
        <v>0.27648</v>
      </c>
      <c r="AF151" s="6"/>
    </row>
    <row r="152" spans="1:33" x14ac:dyDescent="0.2">
      <c r="A152" s="182" t="s">
        <v>26</v>
      </c>
      <c r="B152" s="41" t="s">
        <v>702</v>
      </c>
      <c r="C152" s="227"/>
      <c r="D152" s="213"/>
      <c r="E152" s="118" t="s">
        <v>169</v>
      </c>
      <c r="F152" s="18" t="s">
        <v>737</v>
      </c>
      <c r="G152" s="19">
        <v>330.8</v>
      </c>
      <c r="H152" s="124">
        <v>17</v>
      </c>
      <c r="I152" s="162">
        <v>195</v>
      </c>
      <c r="J152" s="138" t="s">
        <v>163</v>
      </c>
      <c r="K152" s="20">
        <v>71.989999999999995</v>
      </c>
      <c r="L152" s="245">
        <f t="shared" si="84"/>
        <v>10240</v>
      </c>
      <c r="M152" s="151">
        <f t="shared" si="85"/>
        <v>10240</v>
      </c>
      <c r="N152" s="65">
        <f t="shared" si="86"/>
        <v>30.955259975816201</v>
      </c>
      <c r="O152" s="65">
        <f t="shared" si="87"/>
        <v>30.955259975816201</v>
      </c>
      <c r="P152" s="65"/>
      <c r="Q152" s="65">
        <v>20</v>
      </c>
      <c r="R152" s="65">
        <v>4</v>
      </c>
      <c r="S152" s="65"/>
      <c r="T152" s="65">
        <v>288</v>
      </c>
      <c r="U152" s="65"/>
      <c r="V152" s="65">
        <v>30</v>
      </c>
      <c r="W152" s="65"/>
      <c r="X152" s="110">
        <v>1280</v>
      </c>
      <c r="Y152" s="81"/>
      <c r="Z152" s="141"/>
      <c r="AA152" s="371">
        <f>L152/Q152</f>
        <v>512</v>
      </c>
      <c r="AB152" s="54">
        <f t="shared" si="88"/>
        <v>341.33333333333331</v>
      </c>
      <c r="AC152" s="99">
        <f t="shared" si="89"/>
        <v>9.6</v>
      </c>
      <c r="AD152" s="191">
        <f t="shared" si="90"/>
        <v>0.27648</v>
      </c>
      <c r="AF152" s="6"/>
    </row>
    <row r="153" spans="1:33" x14ac:dyDescent="0.2">
      <c r="A153" s="182" t="s">
        <v>26</v>
      </c>
      <c r="B153" s="41" t="s">
        <v>702</v>
      </c>
      <c r="C153" s="227"/>
      <c r="D153" s="213"/>
      <c r="E153" s="118" t="s">
        <v>170</v>
      </c>
      <c r="F153" s="18" t="s">
        <v>327</v>
      </c>
      <c r="G153" s="19">
        <v>40.01</v>
      </c>
      <c r="H153" s="124">
        <v>17</v>
      </c>
      <c r="I153" s="162">
        <v>195</v>
      </c>
      <c r="J153" s="138" t="s">
        <v>165</v>
      </c>
      <c r="K153" s="20">
        <v>89.71</v>
      </c>
      <c r="L153" s="245">
        <f t="shared" si="84"/>
        <v>15360</v>
      </c>
      <c r="M153" s="151">
        <f t="shared" si="85"/>
        <v>15360</v>
      </c>
      <c r="N153" s="65">
        <f t="shared" si="86"/>
        <v>383.90402399400153</v>
      </c>
      <c r="O153" s="65">
        <f t="shared" si="87"/>
        <v>383.90402399400153</v>
      </c>
      <c r="P153" s="65"/>
      <c r="Q153" s="65">
        <v>0</v>
      </c>
      <c r="R153" s="65">
        <v>4</v>
      </c>
      <c r="S153" s="65"/>
      <c r="T153" s="65">
        <v>352</v>
      </c>
      <c r="U153" s="65"/>
      <c r="V153" s="65">
        <v>38</v>
      </c>
      <c r="W153" s="65"/>
      <c r="X153" s="110">
        <v>1920</v>
      </c>
      <c r="Y153" s="81"/>
      <c r="Z153" s="141"/>
      <c r="AA153" s="371"/>
      <c r="AB153" s="54">
        <f t="shared" si="88"/>
        <v>404.21052631578948</v>
      </c>
      <c r="AC153" s="99">
        <f t="shared" si="89"/>
        <v>9.2631578947368425</v>
      </c>
      <c r="AD153" s="191">
        <f t="shared" si="90"/>
        <v>0.35020800000000002</v>
      </c>
      <c r="AF153" s="6"/>
    </row>
    <row r="154" spans="1:33" x14ac:dyDescent="0.2">
      <c r="A154" s="182" t="s">
        <v>26</v>
      </c>
      <c r="B154" s="41" t="s">
        <v>702</v>
      </c>
      <c r="C154" s="227"/>
      <c r="D154" s="213"/>
      <c r="E154" s="118" t="s">
        <v>171</v>
      </c>
      <c r="F154" s="18" t="s">
        <v>737</v>
      </c>
      <c r="G154" s="19">
        <v>44.3</v>
      </c>
      <c r="H154" s="124">
        <v>17</v>
      </c>
      <c r="I154" s="162">
        <v>195</v>
      </c>
      <c r="J154" s="138" t="s">
        <v>173</v>
      </c>
      <c r="K154" s="20">
        <v>101</v>
      </c>
      <c r="L154" s="245">
        <f t="shared" si="84"/>
        <v>15360</v>
      </c>
      <c r="M154" s="151">
        <f t="shared" si="85"/>
        <v>15360</v>
      </c>
      <c r="N154" s="65">
        <f t="shared" si="86"/>
        <v>346.72686230248308</v>
      </c>
      <c r="O154" s="65">
        <f t="shared" si="87"/>
        <v>346.72686230248308</v>
      </c>
      <c r="P154" s="65"/>
      <c r="Q154" s="65">
        <v>24</v>
      </c>
      <c r="R154" s="65">
        <v>4</v>
      </c>
      <c r="S154" s="65"/>
      <c r="T154" s="65">
        <v>352</v>
      </c>
      <c r="U154" s="65"/>
      <c r="V154" s="65">
        <v>38</v>
      </c>
      <c r="W154" s="65"/>
      <c r="X154" s="110">
        <v>1920</v>
      </c>
      <c r="Y154" s="81"/>
      <c r="Z154" s="141"/>
      <c r="AA154" s="371">
        <f>L154/Q154</f>
        <v>640</v>
      </c>
      <c r="AB154" s="54">
        <f t="shared" si="88"/>
        <v>404.21052631578948</v>
      </c>
      <c r="AC154" s="99">
        <f t="shared" si="89"/>
        <v>9.2631578947368425</v>
      </c>
      <c r="AD154" s="191">
        <f t="shared" si="90"/>
        <v>0.35020800000000002</v>
      </c>
      <c r="AF154" s="6"/>
    </row>
    <row r="155" spans="1:33" x14ac:dyDescent="0.2">
      <c r="A155" s="182" t="s">
        <v>26</v>
      </c>
      <c r="B155" s="41" t="s">
        <v>702</v>
      </c>
      <c r="C155" s="227"/>
      <c r="D155" s="213"/>
      <c r="E155" s="118" t="s">
        <v>174</v>
      </c>
      <c r="F155" s="18" t="s">
        <v>737</v>
      </c>
      <c r="G155" s="19">
        <v>52.72</v>
      </c>
      <c r="H155" s="124">
        <v>23</v>
      </c>
      <c r="I155" s="162">
        <v>360</v>
      </c>
      <c r="J155" s="138" t="s">
        <v>175</v>
      </c>
      <c r="K155" s="20">
        <v>98.75</v>
      </c>
      <c r="L155" s="245">
        <f t="shared" si="84"/>
        <v>19712</v>
      </c>
      <c r="M155" s="151">
        <f t="shared" si="85"/>
        <v>19712</v>
      </c>
      <c r="N155" s="65">
        <f t="shared" si="86"/>
        <v>373.89984825493173</v>
      </c>
      <c r="O155" s="65">
        <f t="shared" si="87"/>
        <v>373.89984825493173</v>
      </c>
      <c r="P155" s="65"/>
      <c r="Q155" s="65">
        <v>0</v>
      </c>
      <c r="R155" s="65">
        <v>4</v>
      </c>
      <c r="S155" s="65"/>
      <c r="T155" s="65">
        <v>400</v>
      </c>
      <c r="U155" s="65"/>
      <c r="V155" s="65">
        <v>46</v>
      </c>
      <c r="W155" s="65"/>
      <c r="X155" s="110">
        <v>2464</v>
      </c>
      <c r="Y155" s="81"/>
      <c r="Z155" s="141"/>
      <c r="AA155" s="371"/>
      <c r="AB155" s="54">
        <f t="shared" si="88"/>
        <v>428.52173913043481</v>
      </c>
      <c r="AC155" s="99">
        <f t="shared" si="89"/>
        <v>8.695652173913043</v>
      </c>
      <c r="AD155" s="191">
        <f t="shared" si="90"/>
        <v>0.42393599999999998</v>
      </c>
      <c r="AF155" s="6"/>
    </row>
    <row r="156" spans="1:33" x14ac:dyDescent="0.2">
      <c r="A156" s="182" t="s">
        <v>26</v>
      </c>
      <c r="B156" s="41" t="s">
        <v>702</v>
      </c>
      <c r="C156" s="227"/>
      <c r="D156" s="213"/>
      <c r="E156" s="118" t="s">
        <v>176</v>
      </c>
      <c r="F156" s="18" t="s">
        <v>737</v>
      </c>
      <c r="G156" s="19">
        <v>55.94</v>
      </c>
      <c r="H156" s="124">
        <v>23</v>
      </c>
      <c r="I156" s="162">
        <v>360</v>
      </c>
      <c r="J156" s="138" t="s">
        <v>175</v>
      </c>
      <c r="K156" s="20">
        <v>116.25</v>
      </c>
      <c r="L156" s="245">
        <f t="shared" si="84"/>
        <v>19712</v>
      </c>
      <c r="M156" s="151">
        <f t="shared" si="85"/>
        <v>19712</v>
      </c>
      <c r="N156" s="65">
        <f t="shared" si="86"/>
        <v>352.37754737218449</v>
      </c>
      <c r="O156" s="65">
        <f t="shared" si="87"/>
        <v>352.37754737218449</v>
      </c>
      <c r="P156" s="65"/>
      <c r="Q156" s="65">
        <v>28</v>
      </c>
      <c r="R156" s="65">
        <v>4</v>
      </c>
      <c r="S156" s="65"/>
      <c r="T156" s="65">
        <v>400</v>
      </c>
      <c r="U156" s="65"/>
      <c r="V156" s="65">
        <v>46</v>
      </c>
      <c r="W156" s="65"/>
      <c r="X156" s="110">
        <v>2464</v>
      </c>
      <c r="Y156" s="81"/>
      <c r="Z156" s="141"/>
      <c r="AA156" s="371">
        <f>L156/Q156</f>
        <v>704</v>
      </c>
      <c r="AB156" s="54">
        <f t="shared" si="88"/>
        <v>428.52173913043481</v>
      </c>
      <c r="AC156" s="99">
        <f t="shared" si="89"/>
        <v>8.695652173913043</v>
      </c>
      <c r="AD156" s="191">
        <f t="shared" si="90"/>
        <v>0.42393599999999998</v>
      </c>
      <c r="AF156" s="6"/>
    </row>
    <row r="157" spans="1:33" x14ac:dyDescent="0.2">
      <c r="A157" s="182" t="s">
        <v>26</v>
      </c>
      <c r="B157" s="41" t="s">
        <v>702</v>
      </c>
      <c r="C157" s="227"/>
      <c r="D157" s="213"/>
      <c r="E157" s="134" t="s">
        <v>177</v>
      </c>
      <c r="F157" s="45" t="s">
        <v>737</v>
      </c>
      <c r="G157" s="43">
        <v>79.94</v>
      </c>
      <c r="H157" s="128">
        <v>23</v>
      </c>
      <c r="I157" s="167">
        <v>360</v>
      </c>
      <c r="J157" s="138" t="s">
        <v>175</v>
      </c>
      <c r="K157" s="44">
        <v>156.88999999999999</v>
      </c>
      <c r="L157" s="245">
        <f t="shared" si="84"/>
        <v>32768</v>
      </c>
      <c r="M157" s="151">
        <f t="shared" si="85"/>
        <v>32768</v>
      </c>
      <c r="N157" s="65">
        <f t="shared" si="86"/>
        <v>409.90743057292968</v>
      </c>
      <c r="O157" s="65">
        <f t="shared" si="87"/>
        <v>409.90743057292968</v>
      </c>
      <c r="P157" s="65"/>
      <c r="Q157" s="65">
        <v>0</v>
      </c>
      <c r="R157" s="65">
        <v>4</v>
      </c>
      <c r="S157" s="65"/>
      <c r="T157" s="65">
        <v>496</v>
      </c>
      <c r="U157" s="65"/>
      <c r="V157" s="75">
        <v>58</v>
      </c>
      <c r="W157" s="65"/>
      <c r="X157" s="115">
        <v>4096</v>
      </c>
      <c r="Y157" s="85"/>
      <c r="Z157" s="141"/>
      <c r="AA157" s="371"/>
      <c r="AB157" s="93">
        <f t="shared" si="88"/>
        <v>564.9655172413793</v>
      </c>
      <c r="AC157" s="103">
        <f t="shared" si="89"/>
        <v>8.5517241379310338</v>
      </c>
      <c r="AD157" s="191">
        <f t="shared" si="90"/>
        <v>0.534528</v>
      </c>
      <c r="AF157" s="6"/>
    </row>
    <row r="158" spans="1:33" ht="13.5" thickBot="1" x14ac:dyDescent="0.25">
      <c r="A158" s="182" t="s">
        <v>26</v>
      </c>
      <c r="B158" s="41" t="s">
        <v>702</v>
      </c>
      <c r="C158" s="228"/>
      <c r="D158" s="214"/>
      <c r="E158" s="146" t="s">
        <v>178</v>
      </c>
      <c r="F158" s="22" t="s">
        <v>737</v>
      </c>
      <c r="G158" s="23">
        <v>83.99</v>
      </c>
      <c r="H158" s="125">
        <v>23</v>
      </c>
      <c r="I158" s="163">
        <v>360</v>
      </c>
      <c r="J158" s="150" t="s">
        <v>179</v>
      </c>
      <c r="K158" s="24">
        <v>159.02000000000001</v>
      </c>
      <c r="L158" s="246">
        <f t="shared" si="84"/>
        <v>32768</v>
      </c>
      <c r="M158" s="151">
        <f t="shared" si="85"/>
        <v>32768</v>
      </c>
      <c r="N158" s="65">
        <f t="shared" si="86"/>
        <v>390.14168353375402</v>
      </c>
      <c r="O158" s="68">
        <f t="shared" si="87"/>
        <v>390.14168353375402</v>
      </c>
      <c r="P158" s="68"/>
      <c r="Q158" s="68">
        <v>32</v>
      </c>
      <c r="R158" s="68">
        <v>4</v>
      </c>
      <c r="S158" s="68"/>
      <c r="T158" s="68">
        <v>496</v>
      </c>
      <c r="U158" s="68"/>
      <c r="V158" s="68">
        <v>58</v>
      </c>
      <c r="W158" s="68"/>
      <c r="X158" s="111">
        <v>4096</v>
      </c>
      <c r="Y158" s="82"/>
      <c r="Z158" s="142"/>
      <c r="AA158" s="371">
        <f>L158/Q158</f>
        <v>1024</v>
      </c>
      <c r="AB158" s="55">
        <f t="shared" si="88"/>
        <v>564.9655172413793</v>
      </c>
      <c r="AC158" s="100">
        <f t="shared" si="89"/>
        <v>8.5517241379310338</v>
      </c>
      <c r="AD158" s="191">
        <f t="shared" si="90"/>
        <v>0.534528</v>
      </c>
      <c r="AF158" s="6"/>
      <c r="AG158" s="6" t="s">
        <v>791</v>
      </c>
    </row>
    <row r="159" spans="1:33" ht="13.5" customHeight="1" x14ac:dyDescent="0.2">
      <c r="A159" s="182"/>
      <c r="B159" s="48" t="s">
        <v>716</v>
      </c>
      <c r="C159" s="226"/>
      <c r="D159" s="212"/>
      <c r="E159" s="12" t="s">
        <v>451</v>
      </c>
      <c r="F159" s="466" t="s">
        <v>1015</v>
      </c>
      <c r="G159" s="123" t="s">
        <v>22</v>
      </c>
      <c r="H159" s="132" t="s">
        <v>528</v>
      </c>
      <c r="I159" s="161"/>
      <c r="J159" s="136"/>
      <c r="K159" s="16" t="s">
        <v>22</v>
      </c>
      <c r="L159" s="244" t="s">
        <v>23</v>
      </c>
      <c r="M159" s="60"/>
      <c r="N159" s="380">
        <f>AVERAGE(N160:N165)</f>
        <v>506.83788414865029</v>
      </c>
      <c r="O159" s="382">
        <f>AVERAGE(O160:O175)</f>
        <v>1441.2811319266259</v>
      </c>
      <c r="P159" s="61"/>
      <c r="Q159" s="61" t="s">
        <v>1737</v>
      </c>
      <c r="R159" s="61"/>
      <c r="S159" s="61" t="s">
        <v>103</v>
      </c>
      <c r="T159" s="61"/>
      <c r="U159" s="61"/>
      <c r="V159" s="62" t="s">
        <v>206</v>
      </c>
      <c r="W159" s="61"/>
      <c r="X159" s="109" t="s">
        <v>158</v>
      </c>
      <c r="Y159" s="80"/>
      <c r="Z159" s="164"/>
      <c r="AA159" s="372">
        <f>AVERAGE(AA160:AA175)</f>
        <v>664.30923724801266</v>
      </c>
      <c r="AB159" s="92">
        <f>AVERAGE(AB160:AB175)</f>
        <v>904.40770587437271</v>
      </c>
      <c r="AC159" s="98">
        <f>AVERAGE(AC160:AC173)</f>
        <v>14.126111567948298</v>
      </c>
      <c r="AD159" s="109" t="s">
        <v>650</v>
      </c>
      <c r="AG159" s="5" t="s">
        <v>358</v>
      </c>
    </row>
    <row r="160" spans="1:33" x14ac:dyDescent="0.2">
      <c r="A160" s="274" t="s">
        <v>740</v>
      </c>
      <c r="B160" s="41" t="s">
        <v>702</v>
      </c>
      <c r="C160" s="230" t="s">
        <v>697</v>
      </c>
      <c r="D160" s="213" t="s">
        <v>708</v>
      </c>
      <c r="E160" s="118" t="s">
        <v>746</v>
      </c>
      <c r="F160" s="18" t="s">
        <v>1125</v>
      </c>
      <c r="G160" s="19">
        <v>10.25</v>
      </c>
      <c r="H160" s="124">
        <v>17</v>
      </c>
      <c r="I160" s="162">
        <v>90</v>
      </c>
      <c r="J160" s="138"/>
      <c r="K160" s="20"/>
      <c r="L160" s="245">
        <f t="shared" ref="L160:L165" si="91">8*X160</f>
        <v>6048</v>
      </c>
      <c r="M160" s="151">
        <f t="shared" ref="M160:M165" si="92">8*X160</f>
        <v>6048</v>
      </c>
      <c r="N160" s="65">
        <f t="shared" ref="N160:N165" si="93">IF(AND(G160&lt;&gt;"",M160&lt;&gt;""),M160/G160,"")</f>
        <v>590.04878048780483</v>
      </c>
      <c r="O160" s="65">
        <f>IF(AND(G160&lt;&gt;"",L160&lt;&gt;""),L160/G160,"")</f>
        <v>590.04878048780483</v>
      </c>
      <c r="P160" s="65"/>
      <c r="Q160" s="65">
        <v>12</v>
      </c>
      <c r="R160" s="65">
        <v>2</v>
      </c>
      <c r="S160" s="65"/>
      <c r="T160" s="65">
        <v>190</v>
      </c>
      <c r="U160" s="65"/>
      <c r="V160" s="65">
        <v>3</v>
      </c>
      <c r="W160" s="65"/>
      <c r="X160" s="110">
        <v>756</v>
      </c>
      <c r="Y160" s="81"/>
      <c r="Z160" s="141"/>
      <c r="AA160" s="371">
        <f t="shared" ref="AA160:AA165" si="94">L160/Q160</f>
        <v>504</v>
      </c>
      <c r="AB160" s="54">
        <f t="shared" ref="AB160:AB165" si="95">L160/V160</f>
        <v>2016</v>
      </c>
      <c r="AC160" s="99">
        <f t="shared" ref="AC160:AC165" si="96">T160/V160</f>
        <v>63.333333333333336</v>
      </c>
      <c r="AD160" s="191">
        <f t="shared" ref="AD160:AD165" si="97">512*36*V160/1000000</f>
        <v>5.5295999999999998E-2</v>
      </c>
      <c r="AF160" s="6"/>
      <c r="AG160" s="6" t="s">
        <v>709</v>
      </c>
    </row>
    <row r="161" spans="1:33" x14ac:dyDescent="0.2">
      <c r="A161" s="274" t="s">
        <v>740</v>
      </c>
      <c r="B161" s="41" t="s">
        <v>702</v>
      </c>
      <c r="C161" s="230" t="s">
        <v>697</v>
      </c>
      <c r="D161" s="213" t="s">
        <v>708</v>
      </c>
      <c r="E161" s="118" t="s">
        <v>747</v>
      </c>
      <c r="F161" s="18" t="s">
        <v>1125</v>
      </c>
      <c r="G161" s="19">
        <v>20.5</v>
      </c>
      <c r="H161" s="124">
        <v>17</v>
      </c>
      <c r="I161" s="162">
        <v>93</v>
      </c>
      <c r="J161" s="138"/>
      <c r="K161" s="20"/>
      <c r="L161" s="245">
        <f t="shared" si="91"/>
        <v>12096</v>
      </c>
      <c r="M161" s="151">
        <f t="shared" si="92"/>
        <v>12096</v>
      </c>
      <c r="N161" s="65">
        <f t="shared" si="93"/>
        <v>590.04878048780483</v>
      </c>
      <c r="O161" s="65">
        <f>IF(AND(G161&lt;&gt;"",L161&lt;&gt;""),L161/G161,"")</f>
        <v>590.04878048780483</v>
      </c>
      <c r="P161" s="65"/>
      <c r="Q161" s="65">
        <v>24</v>
      </c>
      <c r="R161" s="65">
        <v>2</v>
      </c>
      <c r="S161" s="65"/>
      <c r="T161" s="65">
        <v>297</v>
      </c>
      <c r="U161" s="65"/>
      <c r="V161" s="65">
        <v>12</v>
      </c>
      <c r="W161" s="65"/>
      <c r="X161" s="110">
        <v>1512</v>
      </c>
      <c r="Y161" s="81"/>
      <c r="Z161" s="141"/>
      <c r="AA161" s="371">
        <f t="shared" si="94"/>
        <v>504</v>
      </c>
      <c r="AB161" s="54">
        <f t="shared" si="95"/>
        <v>1008</v>
      </c>
      <c r="AC161" s="99">
        <f t="shared" si="96"/>
        <v>24.75</v>
      </c>
      <c r="AD161" s="191">
        <f t="shared" si="97"/>
        <v>0.22118399999999999</v>
      </c>
      <c r="AF161" s="6"/>
    </row>
    <row r="162" spans="1:33" x14ac:dyDescent="0.2">
      <c r="A162" s="274" t="s">
        <v>740</v>
      </c>
      <c r="B162" s="41" t="s">
        <v>702</v>
      </c>
      <c r="C162" s="230" t="s">
        <v>697</v>
      </c>
      <c r="D162" s="213" t="s">
        <v>708</v>
      </c>
      <c r="E162" s="118" t="s">
        <v>745</v>
      </c>
      <c r="F162" s="1860" t="s">
        <v>748</v>
      </c>
      <c r="G162" s="1861">
        <v>39.270000000000003</v>
      </c>
      <c r="H162" s="124">
        <v>17</v>
      </c>
      <c r="I162" s="162">
        <v>193</v>
      </c>
      <c r="J162" s="138"/>
      <c r="K162" s="20"/>
      <c r="L162" s="245">
        <f t="shared" si="91"/>
        <v>21168</v>
      </c>
      <c r="M162" s="151">
        <f t="shared" si="92"/>
        <v>21168</v>
      </c>
      <c r="N162" s="65">
        <f t="shared" si="93"/>
        <v>539.03743315508018</v>
      </c>
      <c r="O162" s="65">
        <f>IF(AND(G156&lt;&gt;"",L162&lt;&gt;""),L162/G156,"")</f>
        <v>378.40543439399357</v>
      </c>
      <c r="P162" s="65"/>
      <c r="Q162" s="65">
        <v>28</v>
      </c>
      <c r="R162" s="65">
        <v>2</v>
      </c>
      <c r="S162" s="65"/>
      <c r="T162" s="65">
        <v>402</v>
      </c>
      <c r="U162" s="65"/>
      <c r="V162" s="65">
        <v>15</v>
      </c>
      <c r="W162" s="65"/>
      <c r="X162" s="110">
        <v>2646</v>
      </c>
      <c r="Y162" s="81"/>
      <c r="Z162" s="141"/>
      <c r="AA162" s="371">
        <f t="shared" si="94"/>
        <v>756</v>
      </c>
      <c r="AB162" s="54">
        <f t="shared" si="95"/>
        <v>1411.2</v>
      </c>
      <c r="AC162" s="99">
        <f t="shared" si="96"/>
        <v>26.8</v>
      </c>
      <c r="AD162" s="191">
        <f t="shared" si="97"/>
        <v>0.27648</v>
      </c>
      <c r="AF162" s="6"/>
    </row>
    <row r="163" spans="1:33" x14ac:dyDescent="0.2">
      <c r="A163" s="274" t="s">
        <v>740</v>
      </c>
      <c r="B163" s="41" t="s">
        <v>702</v>
      </c>
      <c r="C163" s="230" t="s">
        <v>697</v>
      </c>
      <c r="D163" s="213" t="s">
        <v>708</v>
      </c>
      <c r="E163" s="118" t="s">
        <v>750</v>
      </c>
      <c r="F163" s="18" t="s">
        <v>749</v>
      </c>
      <c r="G163" s="19">
        <v>79.94</v>
      </c>
      <c r="H163" s="124">
        <v>23</v>
      </c>
      <c r="I163" s="162">
        <v>331</v>
      </c>
      <c r="J163" s="138"/>
      <c r="K163" s="20"/>
      <c r="L163" s="245">
        <f t="shared" si="91"/>
        <v>32256</v>
      </c>
      <c r="M163" s="151">
        <f t="shared" si="92"/>
        <v>32256</v>
      </c>
      <c r="N163" s="65">
        <f t="shared" si="93"/>
        <v>403.50262697022771</v>
      </c>
      <c r="O163" s="65">
        <f t="shared" ref="O163:O165" si="98">IF(AND(G163&lt;&gt;"",L163&lt;&gt;""),L163/G163,"")</f>
        <v>403.50262697022771</v>
      </c>
      <c r="P163" s="65"/>
      <c r="Q163" s="65">
        <v>32</v>
      </c>
      <c r="R163" s="65">
        <v>2</v>
      </c>
      <c r="S163" s="65"/>
      <c r="T163" s="65">
        <v>450</v>
      </c>
      <c r="U163" s="65"/>
      <c r="V163" s="65">
        <v>18</v>
      </c>
      <c r="W163" s="65"/>
      <c r="X163" s="110">
        <v>4032</v>
      </c>
      <c r="Y163" s="81"/>
      <c r="Z163" s="141"/>
      <c r="AA163" s="371">
        <f t="shared" si="94"/>
        <v>1008</v>
      </c>
      <c r="AB163" s="54">
        <f t="shared" si="95"/>
        <v>1792</v>
      </c>
      <c r="AC163" s="99">
        <f t="shared" si="96"/>
        <v>25</v>
      </c>
      <c r="AD163" s="191">
        <f t="shared" si="97"/>
        <v>0.33177600000000002</v>
      </c>
      <c r="AF163" s="6"/>
    </row>
    <row r="164" spans="1:33" x14ac:dyDescent="0.2">
      <c r="A164" s="274" t="s">
        <v>740</v>
      </c>
      <c r="B164" s="41" t="s">
        <v>702</v>
      </c>
      <c r="C164" s="230" t="s">
        <v>697</v>
      </c>
      <c r="D164" s="213" t="s">
        <v>708</v>
      </c>
      <c r="E164" s="118" t="s">
        <v>752</v>
      </c>
      <c r="F164" s="18" t="s">
        <v>751</v>
      </c>
      <c r="G164" s="19">
        <v>105.19</v>
      </c>
      <c r="H164" s="124">
        <v>23</v>
      </c>
      <c r="I164" s="162">
        <v>339</v>
      </c>
      <c r="J164" s="138"/>
      <c r="K164" s="20"/>
      <c r="L164" s="245">
        <f t="shared" si="91"/>
        <v>47952</v>
      </c>
      <c r="M164" s="151">
        <f t="shared" si="92"/>
        <v>47952</v>
      </c>
      <c r="N164" s="65">
        <f t="shared" si="93"/>
        <v>455.86082327217417</v>
      </c>
      <c r="O164" s="65">
        <f t="shared" si="98"/>
        <v>455.86082327217417</v>
      </c>
      <c r="P164" s="65"/>
      <c r="Q164" s="65">
        <v>72</v>
      </c>
      <c r="R164" s="65">
        <v>4</v>
      </c>
      <c r="S164" s="65"/>
      <c r="T164" s="65">
        <v>500</v>
      </c>
      <c r="U164" s="65"/>
      <c r="V164" s="65">
        <v>21</v>
      </c>
      <c r="W164" s="65"/>
      <c r="X164" s="110">
        <v>5994</v>
      </c>
      <c r="Y164" s="81">
        <v>23.95</v>
      </c>
      <c r="Z164" s="141">
        <f>IF(AND(L164&lt;&gt;"",Y164&lt;&gt;""),L164/Y164,"")</f>
        <v>2002.1711899791233</v>
      </c>
      <c r="AA164" s="371">
        <f t="shared" si="94"/>
        <v>666</v>
      </c>
      <c r="AB164" s="54">
        <f t="shared" si="95"/>
        <v>2283.4285714285716</v>
      </c>
      <c r="AC164" s="99">
        <f t="shared" si="96"/>
        <v>23.80952380952381</v>
      </c>
      <c r="AD164" s="191">
        <f t="shared" si="97"/>
        <v>0.38707200000000003</v>
      </c>
      <c r="AF164" s="6"/>
    </row>
    <row r="165" spans="1:33" ht="13.5" thickBot="1" x14ac:dyDescent="0.25">
      <c r="A165" s="274" t="s">
        <v>740</v>
      </c>
      <c r="B165" s="41" t="s">
        <v>702</v>
      </c>
      <c r="C165" s="230" t="s">
        <v>697</v>
      </c>
      <c r="D165" s="213" t="s">
        <v>708</v>
      </c>
      <c r="E165" s="118" t="s">
        <v>755</v>
      </c>
      <c r="F165" s="18" t="s">
        <v>753</v>
      </c>
      <c r="G165" s="19">
        <v>147.26</v>
      </c>
      <c r="H165" s="124">
        <v>27</v>
      </c>
      <c r="I165" s="162">
        <v>500</v>
      </c>
      <c r="J165" s="138"/>
      <c r="K165" s="20"/>
      <c r="L165" s="245">
        <f t="shared" si="91"/>
        <v>68112</v>
      </c>
      <c r="M165" s="151">
        <f t="shared" si="92"/>
        <v>68112</v>
      </c>
      <c r="N165" s="65">
        <f t="shared" si="93"/>
        <v>462.52886051881029</v>
      </c>
      <c r="O165" s="65">
        <f t="shared" si="98"/>
        <v>462.52886051881029</v>
      </c>
      <c r="P165" s="65"/>
      <c r="Q165" s="65">
        <v>88</v>
      </c>
      <c r="R165" s="65">
        <v>6</v>
      </c>
      <c r="S165" s="65"/>
      <c r="T165" s="65">
        <v>588</v>
      </c>
      <c r="U165" s="65"/>
      <c r="V165" s="65">
        <v>60</v>
      </c>
      <c r="W165" s="65"/>
      <c r="X165" s="110">
        <v>8514</v>
      </c>
      <c r="Y165" s="81"/>
      <c r="Z165" s="141"/>
      <c r="AA165" s="371">
        <f t="shared" si="94"/>
        <v>774</v>
      </c>
      <c r="AB165" s="57">
        <f t="shared" si="95"/>
        <v>1135.2</v>
      </c>
      <c r="AC165" s="101">
        <f t="shared" si="96"/>
        <v>9.8000000000000007</v>
      </c>
      <c r="AD165" s="191">
        <f t="shared" si="97"/>
        <v>1.10592</v>
      </c>
      <c r="AF165" s="6"/>
    </row>
    <row r="166" spans="1:33" s="493" customFormat="1" ht="13.5" customHeight="1" x14ac:dyDescent="0.2">
      <c r="A166" s="523"/>
      <c r="B166" s="48" t="s">
        <v>716</v>
      </c>
      <c r="C166" s="1077"/>
      <c r="D166" s="1078"/>
      <c r="E166" s="12" t="s">
        <v>1538</v>
      </c>
      <c r="F166" s="466" t="s">
        <v>1017</v>
      </c>
      <c r="G166" s="1079" t="s">
        <v>22</v>
      </c>
      <c r="H166" s="1029" t="s">
        <v>528</v>
      </c>
      <c r="I166" s="840"/>
      <c r="J166" s="858"/>
      <c r="K166" s="1080" t="s">
        <v>22</v>
      </c>
      <c r="L166" s="517" t="s">
        <v>23</v>
      </c>
      <c r="M166" s="860"/>
      <c r="N166" s="380">
        <f>AVERAGE(N167:N173)</f>
        <v>2315.6261505223674</v>
      </c>
      <c r="O166" s="382">
        <f>AVERAGE(O168:O169)</f>
        <v>2721.2738853503188</v>
      </c>
      <c r="P166" s="399"/>
      <c r="Q166" s="61" t="s">
        <v>1737</v>
      </c>
      <c r="R166" s="399"/>
      <c r="S166" s="399" t="s">
        <v>1729</v>
      </c>
      <c r="T166" s="399"/>
      <c r="U166" s="399"/>
      <c r="V166" s="468" t="s">
        <v>206</v>
      </c>
      <c r="W166" s="399"/>
      <c r="X166" s="522" t="s">
        <v>158</v>
      </c>
      <c r="Y166" s="215" t="s">
        <v>721</v>
      </c>
      <c r="Z166" s="863"/>
      <c r="AA166" s="370">
        <f>AVERAGE(AA167:AA173)</f>
        <v>636.04116518402225</v>
      </c>
      <c r="AB166" s="210">
        <f>AVERAGE(AB168:AB169)</f>
        <v>420.56084656084658</v>
      </c>
      <c r="AC166" s="1452">
        <f>AVERAGE(AC167:AC173)</f>
        <v>3.034088101052387</v>
      </c>
      <c r="AD166" s="522" t="s">
        <v>650</v>
      </c>
      <c r="AG166" s="1081" t="s">
        <v>1541</v>
      </c>
    </row>
    <row r="167" spans="1:33" s="493" customFormat="1" ht="13.5" customHeight="1" x14ac:dyDescent="0.2">
      <c r="A167" s="1195" t="s">
        <v>740</v>
      </c>
      <c r="B167" s="448"/>
      <c r="C167" s="1213"/>
      <c r="D167" s="470"/>
      <c r="E167" s="1003" t="s">
        <v>1730</v>
      </c>
      <c r="F167" s="45" t="s">
        <v>1678</v>
      </c>
      <c r="G167" s="1148">
        <v>6.5</v>
      </c>
      <c r="H167" s="1214">
        <v>10</v>
      </c>
      <c r="I167" s="841">
        <v>118</v>
      </c>
      <c r="J167" s="1215"/>
      <c r="K167" s="1216"/>
      <c r="L167" s="1067">
        <v>12000</v>
      </c>
      <c r="M167" s="469">
        <v>12000</v>
      </c>
      <c r="N167" s="65">
        <f t="shared" ref="N167:N173" si="99">IF(AND(G167&lt;&gt;"",M167&lt;&gt;""),M167/G167,"")</f>
        <v>1846.1538461538462</v>
      </c>
      <c r="O167" s="1151"/>
      <c r="P167" s="1004"/>
      <c r="Q167" s="1004">
        <v>28</v>
      </c>
      <c r="R167" s="1004">
        <v>2</v>
      </c>
      <c r="S167" s="1004"/>
      <c r="T167" s="1004">
        <v>197</v>
      </c>
      <c r="U167" s="1004"/>
      <c r="V167" s="1152">
        <v>32</v>
      </c>
      <c r="W167" s="1004"/>
      <c r="X167" s="110">
        <f t="shared" ref="X167:X173" si="100">L167/8</f>
        <v>1500</v>
      </c>
      <c r="Y167" s="444">
        <v>3.915</v>
      </c>
      <c r="Z167" s="141">
        <f t="shared" ref="Z167:Z173" si="101">IF(AND(L167&lt;&gt;"",Y167&lt;&gt;""),L167/Y167,"")</f>
        <v>3065.1340996168583</v>
      </c>
      <c r="AA167" s="371">
        <f t="shared" ref="AA167:AA173" si="102">L167/Q167</f>
        <v>428.57142857142856</v>
      </c>
      <c r="AB167" s="95"/>
      <c r="AC167" s="281">
        <f>T167/V167</f>
        <v>6.15625</v>
      </c>
      <c r="AD167" s="191">
        <f>512*36*V167/1000000</f>
        <v>0.58982400000000001</v>
      </c>
      <c r="AG167" s="1081"/>
    </row>
    <row r="168" spans="1:33" s="751" customFormat="1" ht="13.5" thickBot="1" x14ac:dyDescent="0.25">
      <c r="A168" s="1195" t="s">
        <v>929</v>
      </c>
      <c r="B168" s="552"/>
      <c r="C168" s="574"/>
      <c r="D168" s="554"/>
      <c r="E168" s="910" t="s">
        <v>1695</v>
      </c>
      <c r="F168" s="45" t="s">
        <v>1678</v>
      </c>
      <c r="G168" s="19">
        <v>9.1999999999999993</v>
      </c>
      <c r="H168" s="124">
        <v>10</v>
      </c>
      <c r="I168" s="162">
        <v>118</v>
      </c>
      <c r="J168" s="257"/>
      <c r="K168" s="258"/>
      <c r="L168" s="249">
        <v>24288</v>
      </c>
      <c r="M168" s="151">
        <v>24288</v>
      </c>
      <c r="N168" s="65">
        <f t="shared" si="99"/>
        <v>2640</v>
      </c>
      <c r="O168" s="65">
        <f t="shared" ref="O168:O173" si="103">IF(AND(G168&lt;&gt;"",L168&lt;&gt;""),L168/G168,"")</f>
        <v>2640</v>
      </c>
      <c r="P168" s="65"/>
      <c r="Q168" s="65">
        <v>28</v>
      </c>
      <c r="R168" s="65">
        <v>2</v>
      </c>
      <c r="S168" s="65"/>
      <c r="T168" s="65">
        <v>197</v>
      </c>
      <c r="U168" s="65"/>
      <c r="V168" s="65">
        <v>56</v>
      </c>
      <c r="W168" s="65"/>
      <c r="X168" s="110">
        <f t="shared" si="100"/>
        <v>3036</v>
      </c>
      <c r="Y168" s="216">
        <v>7.508</v>
      </c>
      <c r="Z168" s="141">
        <f t="shared" si="101"/>
        <v>3234.9493873201918</v>
      </c>
      <c r="AA168" s="371">
        <f t="shared" si="102"/>
        <v>867.42857142857144</v>
      </c>
      <c r="AB168" s="54">
        <f t="shared" ref="AB168:AB173" si="104">L168/V168</f>
        <v>433.71428571428572</v>
      </c>
      <c r="AC168" s="281">
        <f t="shared" ref="AC168:AC173" si="105">T168/V168</f>
        <v>3.5178571428571428</v>
      </c>
      <c r="AD168" s="191">
        <f t="shared" ref="AD168:AD173" si="106">512*36*V168/1000000</f>
        <v>1.032192</v>
      </c>
      <c r="AF168" s="756"/>
      <c r="AG168" s="492" t="s">
        <v>1539</v>
      </c>
    </row>
    <row r="169" spans="1:33" s="751" customFormat="1" ht="13.5" thickBot="1" x14ac:dyDescent="0.25">
      <c r="A169" s="1195" t="s">
        <v>929</v>
      </c>
      <c r="B169" s="573"/>
      <c r="C169" s="574"/>
      <c r="D169" s="554"/>
      <c r="E169" s="910" t="s">
        <v>1677</v>
      </c>
      <c r="F169" s="45" t="s">
        <v>1678</v>
      </c>
      <c r="G169" s="19">
        <v>15.7</v>
      </c>
      <c r="H169" s="124">
        <v>10</v>
      </c>
      <c r="I169" s="162">
        <v>118</v>
      </c>
      <c r="J169" s="257"/>
      <c r="K169" s="258"/>
      <c r="L169" s="249">
        <v>44000</v>
      </c>
      <c r="M169" s="151">
        <v>44000</v>
      </c>
      <c r="N169" s="65">
        <f t="shared" si="99"/>
        <v>2802.5477707006371</v>
      </c>
      <c r="O169" s="65">
        <f t="shared" si="103"/>
        <v>2802.5477707006371</v>
      </c>
      <c r="P169" s="65"/>
      <c r="Q169" s="65">
        <v>72</v>
      </c>
      <c r="R169" s="65">
        <v>4</v>
      </c>
      <c r="S169" s="65"/>
      <c r="T169" s="65">
        <v>245</v>
      </c>
      <c r="U169" s="65"/>
      <c r="V169" s="65">
        <v>108</v>
      </c>
      <c r="W169" s="65"/>
      <c r="X169" s="110">
        <f t="shared" si="100"/>
        <v>5500</v>
      </c>
      <c r="Y169" s="216">
        <v>12.34</v>
      </c>
      <c r="Z169" s="141">
        <f t="shared" si="101"/>
        <v>3565.6401944894651</v>
      </c>
      <c r="AA169" s="371">
        <f t="shared" si="102"/>
        <v>611.11111111111109</v>
      </c>
      <c r="AB169" s="54">
        <f t="shared" si="104"/>
        <v>407.40740740740739</v>
      </c>
      <c r="AC169" s="281">
        <f t="shared" si="105"/>
        <v>2.2685185185185186</v>
      </c>
      <c r="AD169" s="191">
        <f t="shared" si="106"/>
        <v>1.990656</v>
      </c>
      <c r="AF169" s="756"/>
      <c r="AG169" s="492" t="s">
        <v>1540</v>
      </c>
    </row>
    <row r="170" spans="1:33" s="751" customFormat="1" ht="13.5" thickBot="1" x14ac:dyDescent="0.25">
      <c r="A170" s="1195" t="s">
        <v>740</v>
      </c>
      <c r="B170" s="573"/>
      <c r="C170" s="574"/>
      <c r="D170" s="554"/>
      <c r="E170" s="910" t="s">
        <v>1696</v>
      </c>
      <c r="F170" s="45" t="s">
        <v>1678</v>
      </c>
      <c r="G170" s="19">
        <v>30.33</v>
      </c>
      <c r="H170" s="124">
        <v>10</v>
      </c>
      <c r="I170" s="162">
        <v>118</v>
      </c>
      <c r="J170" s="257"/>
      <c r="K170" s="258"/>
      <c r="L170" s="249">
        <v>84000</v>
      </c>
      <c r="M170" s="151">
        <v>84000</v>
      </c>
      <c r="N170" s="65">
        <f t="shared" si="99"/>
        <v>2769.5351137487637</v>
      </c>
      <c r="O170" s="65">
        <f t="shared" si="103"/>
        <v>2769.5351137487637</v>
      </c>
      <c r="P170" s="65"/>
      <c r="Q170" s="65">
        <v>156</v>
      </c>
      <c r="R170" s="65">
        <v>4</v>
      </c>
      <c r="S170" s="65"/>
      <c r="T170" s="65">
        <v>365</v>
      </c>
      <c r="U170" s="65"/>
      <c r="V170" s="65">
        <v>208</v>
      </c>
      <c r="W170" s="65"/>
      <c r="X170" s="110">
        <f t="shared" si="100"/>
        <v>10500</v>
      </c>
      <c r="Y170" s="216">
        <v>23.63</v>
      </c>
      <c r="Z170" s="141">
        <f t="shared" si="101"/>
        <v>3554.8032162505292</v>
      </c>
      <c r="AA170" s="371">
        <f t="shared" si="102"/>
        <v>538.46153846153845</v>
      </c>
      <c r="AB170" s="54">
        <f t="shared" si="104"/>
        <v>403.84615384615387</v>
      </c>
      <c r="AC170" s="281">
        <f t="shared" si="105"/>
        <v>1.7548076923076923</v>
      </c>
      <c r="AD170" s="191">
        <f t="shared" si="106"/>
        <v>3.8338559999999999</v>
      </c>
      <c r="AF170" s="756"/>
      <c r="AG170" s="492" t="s">
        <v>1542</v>
      </c>
    </row>
    <row r="171" spans="1:33" s="751" customFormat="1" ht="13.5" thickBot="1" x14ac:dyDescent="0.25">
      <c r="A171" s="1195" t="s">
        <v>740</v>
      </c>
      <c r="B171" s="573"/>
      <c r="C171" s="574"/>
      <c r="D171" s="554"/>
      <c r="E171" s="41" t="s">
        <v>1693</v>
      </c>
      <c r="F171" s="45" t="s">
        <v>1678</v>
      </c>
      <c r="G171" s="19">
        <v>12.77</v>
      </c>
      <c r="H171" s="124">
        <v>10</v>
      </c>
      <c r="I171" s="162">
        <v>118</v>
      </c>
      <c r="J171" s="257"/>
      <c r="K171" s="258"/>
      <c r="L171" s="249">
        <v>24000</v>
      </c>
      <c r="M171" s="151">
        <v>24000</v>
      </c>
      <c r="N171" s="65">
        <f t="shared" si="99"/>
        <v>1879.4048551292092</v>
      </c>
      <c r="O171" s="65">
        <f t="shared" si="103"/>
        <v>1879.4048551292092</v>
      </c>
      <c r="P171" s="65"/>
      <c r="Q171" s="65">
        <v>28</v>
      </c>
      <c r="R171" s="65">
        <v>2</v>
      </c>
      <c r="S171" s="65">
        <v>2</v>
      </c>
      <c r="T171" s="65">
        <v>197</v>
      </c>
      <c r="U171" s="65"/>
      <c r="V171" s="65">
        <v>56</v>
      </c>
      <c r="W171" s="65"/>
      <c r="X171" s="110">
        <f t="shared" si="100"/>
        <v>3000</v>
      </c>
      <c r="Y171" s="216"/>
      <c r="Z171" s="141" t="str">
        <f t="shared" si="101"/>
        <v/>
      </c>
      <c r="AA171" s="371">
        <f t="shared" si="102"/>
        <v>857.14285714285711</v>
      </c>
      <c r="AB171" s="54">
        <f t="shared" si="104"/>
        <v>428.57142857142856</v>
      </c>
      <c r="AC171" s="281">
        <f t="shared" si="105"/>
        <v>3.5178571428571428</v>
      </c>
      <c r="AD171" s="191">
        <f t="shared" si="106"/>
        <v>1.032192</v>
      </c>
      <c r="AF171" s="756"/>
      <c r="AG171" s="492"/>
    </row>
    <row r="172" spans="1:33" s="751" customFormat="1" ht="13.5" thickBot="1" x14ac:dyDescent="0.25">
      <c r="A172" s="1195" t="s">
        <v>740</v>
      </c>
      <c r="B172" s="573"/>
      <c r="C172" s="574"/>
      <c r="D172" s="554"/>
      <c r="E172" s="41" t="s">
        <v>1679</v>
      </c>
      <c r="F172" s="45" t="s">
        <v>1678</v>
      </c>
      <c r="G172" s="19">
        <v>23.78</v>
      </c>
      <c r="H172" s="124">
        <v>10</v>
      </c>
      <c r="I172" s="162">
        <v>118</v>
      </c>
      <c r="J172" s="257"/>
      <c r="K172" s="258"/>
      <c r="L172" s="249">
        <v>44000</v>
      </c>
      <c r="M172" s="151">
        <v>44000</v>
      </c>
      <c r="N172" s="65">
        <f t="shared" si="99"/>
        <v>1850.2943650126156</v>
      </c>
      <c r="O172" s="65">
        <f t="shared" si="103"/>
        <v>1850.2943650126156</v>
      </c>
      <c r="P172" s="65"/>
      <c r="Q172" s="65">
        <v>72</v>
      </c>
      <c r="R172" s="65">
        <v>4</v>
      </c>
      <c r="S172" s="65">
        <v>4</v>
      </c>
      <c r="T172" s="65">
        <v>245</v>
      </c>
      <c r="U172" s="65"/>
      <c r="V172" s="65">
        <v>108</v>
      </c>
      <c r="W172" s="65"/>
      <c r="X172" s="110">
        <f t="shared" si="100"/>
        <v>5500</v>
      </c>
      <c r="Y172" s="216"/>
      <c r="Z172" s="141" t="str">
        <f t="shared" si="101"/>
        <v/>
      </c>
      <c r="AA172" s="371">
        <f t="shared" si="102"/>
        <v>611.11111111111109</v>
      </c>
      <c r="AB172" s="54">
        <f t="shared" si="104"/>
        <v>407.40740740740739</v>
      </c>
      <c r="AC172" s="281">
        <f t="shared" si="105"/>
        <v>2.2685185185185186</v>
      </c>
      <c r="AD172" s="191">
        <f t="shared" si="106"/>
        <v>1.990656</v>
      </c>
      <c r="AF172" s="756"/>
      <c r="AG172" s="492"/>
    </row>
    <row r="173" spans="1:33" s="751" customFormat="1" ht="13.5" thickBot="1" x14ac:dyDescent="0.25">
      <c r="A173" s="1195" t="s">
        <v>740</v>
      </c>
      <c r="B173" s="555"/>
      <c r="C173" s="819"/>
      <c r="D173" s="757"/>
      <c r="E173" s="41" t="s">
        <v>1694</v>
      </c>
      <c r="F173" s="45" t="s">
        <v>1697</v>
      </c>
      <c r="G173" s="19">
        <v>34.69</v>
      </c>
      <c r="H173" s="124">
        <v>10</v>
      </c>
      <c r="I173" s="162">
        <v>118</v>
      </c>
      <c r="J173" s="257"/>
      <c r="K173" s="258"/>
      <c r="L173" s="249">
        <v>84000</v>
      </c>
      <c r="M173" s="151">
        <v>84000</v>
      </c>
      <c r="N173" s="65">
        <f t="shared" si="99"/>
        <v>2421.447102911502</v>
      </c>
      <c r="O173" s="65">
        <f t="shared" si="103"/>
        <v>2421.447102911502</v>
      </c>
      <c r="P173" s="65"/>
      <c r="Q173" s="65">
        <v>156</v>
      </c>
      <c r="R173" s="65">
        <v>4</v>
      </c>
      <c r="S173" s="65">
        <v>4</v>
      </c>
      <c r="T173" s="65">
        <v>365</v>
      </c>
      <c r="U173" s="65"/>
      <c r="V173" s="65">
        <v>208</v>
      </c>
      <c r="W173" s="65"/>
      <c r="X173" s="110">
        <f t="shared" si="100"/>
        <v>10500</v>
      </c>
      <c r="Y173" s="216"/>
      <c r="Z173" s="141" t="str">
        <f t="shared" si="101"/>
        <v/>
      </c>
      <c r="AA173" s="371">
        <f t="shared" si="102"/>
        <v>538.46153846153845</v>
      </c>
      <c r="AB173" s="54">
        <f t="shared" si="104"/>
        <v>403.84615384615387</v>
      </c>
      <c r="AC173" s="281">
        <f t="shared" si="105"/>
        <v>1.7548076923076923</v>
      </c>
      <c r="AD173" s="191">
        <f t="shared" si="106"/>
        <v>3.8338559999999999</v>
      </c>
      <c r="AF173" s="756"/>
      <c r="AG173" s="492"/>
    </row>
    <row r="174" spans="1:33" ht="13.5" customHeight="1" thickBot="1" x14ac:dyDescent="0.25">
      <c r="A174" s="182"/>
      <c r="B174" s="48" t="s">
        <v>716</v>
      </c>
      <c r="C174" s="226"/>
      <c r="D174" s="212"/>
      <c r="E174" s="12" t="s">
        <v>316</v>
      </c>
      <c r="F174" s="13"/>
      <c r="G174" s="14" t="s">
        <v>22</v>
      </c>
      <c r="H174" s="132" t="s">
        <v>528</v>
      </c>
      <c r="I174" s="161"/>
      <c r="J174" s="178"/>
      <c r="K174" s="175" t="s">
        <v>22</v>
      </c>
      <c r="L174" s="248" t="s">
        <v>23</v>
      </c>
      <c r="M174" s="61"/>
      <c r="N174" s="386">
        <f>AVERAGE(N175:N179)</f>
        <v>257.36030301495117</v>
      </c>
      <c r="O174" s="61"/>
      <c r="P174" s="61"/>
      <c r="Q174" s="61"/>
      <c r="R174" s="61"/>
      <c r="S174" s="61"/>
      <c r="T174" s="61"/>
      <c r="U174" s="61"/>
      <c r="V174" s="62" t="s">
        <v>157</v>
      </c>
      <c r="W174" s="61"/>
      <c r="X174" s="109" t="s">
        <v>158</v>
      </c>
      <c r="Y174" s="215"/>
      <c r="Z174" s="164"/>
      <c r="AA174" s="373"/>
      <c r="AB174" s="210">
        <f>AVERAGE(AB175:AB179)</f>
        <v>502.93333333333328</v>
      </c>
      <c r="AC174" s="98">
        <f>AVERAGE(AC175:AC179)</f>
        <v>14.47878787878788</v>
      </c>
      <c r="AD174" s="109"/>
      <c r="AG174" s="269" t="s">
        <v>329</v>
      </c>
    </row>
    <row r="175" spans="1:33" ht="13.5" thickBot="1" x14ac:dyDescent="0.25">
      <c r="A175" s="182" t="s">
        <v>26</v>
      </c>
      <c r="B175" s="17"/>
      <c r="C175" s="227"/>
      <c r="D175" s="213"/>
      <c r="E175" s="118" t="s">
        <v>317</v>
      </c>
      <c r="F175" s="18" t="s">
        <v>323</v>
      </c>
      <c r="G175" s="19">
        <v>14.42</v>
      </c>
      <c r="H175" s="124">
        <v>14</v>
      </c>
      <c r="I175" s="162">
        <v>62</v>
      </c>
      <c r="J175" s="174" t="s">
        <v>322</v>
      </c>
      <c r="K175" s="176">
        <v>23.5</v>
      </c>
      <c r="L175" s="249">
        <f>8*X175</f>
        <v>3072</v>
      </c>
      <c r="M175" s="151">
        <f>8*X175</f>
        <v>3072</v>
      </c>
      <c r="N175" s="65">
        <f>IF(AND(G175&lt;&gt;"",M175&lt;&gt;""),M175/G175,"")</f>
        <v>213.03744798890429</v>
      </c>
      <c r="O175" s="65">
        <f>IF(AND(G175&lt;&gt;"",L175&lt;&gt;""),L175/G175,"")</f>
        <v>213.03744798890429</v>
      </c>
      <c r="P175" s="65"/>
      <c r="Q175" s="65"/>
      <c r="R175" s="65">
        <v>2</v>
      </c>
      <c r="S175" s="65"/>
      <c r="T175" s="65">
        <v>136</v>
      </c>
      <c r="U175" s="65"/>
      <c r="V175" s="65">
        <v>6</v>
      </c>
      <c r="W175" s="65"/>
      <c r="X175" s="110">
        <v>384</v>
      </c>
      <c r="Y175" s="216"/>
      <c r="Z175" s="141"/>
      <c r="AA175" s="371"/>
      <c r="AB175" s="211">
        <f>L175/V175</f>
        <v>512</v>
      </c>
      <c r="AC175" s="99">
        <f>T175/V175</f>
        <v>22.666666666666668</v>
      </c>
      <c r="AD175" s="110">
        <f>256*36*V175</f>
        <v>55296</v>
      </c>
      <c r="AF175" s="6"/>
      <c r="AG175" s="236"/>
    </row>
    <row r="176" spans="1:33" ht="13.5" thickBot="1" x14ac:dyDescent="0.25">
      <c r="A176" s="182" t="s">
        <v>26</v>
      </c>
      <c r="B176" s="17"/>
      <c r="C176" s="227"/>
      <c r="D176" s="213"/>
      <c r="E176" s="118" t="s">
        <v>318</v>
      </c>
      <c r="F176" s="18" t="s">
        <v>168</v>
      </c>
      <c r="G176" s="19">
        <v>24.48</v>
      </c>
      <c r="H176" s="124">
        <v>17</v>
      </c>
      <c r="I176" s="162">
        <v>188</v>
      </c>
      <c r="J176" s="174" t="s">
        <v>324</v>
      </c>
      <c r="K176" s="176">
        <v>39.479999999999997</v>
      </c>
      <c r="L176" s="249">
        <f>8*X176</f>
        <v>5760</v>
      </c>
      <c r="M176" s="151">
        <f>8*X176</f>
        <v>5760</v>
      </c>
      <c r="N176" s="65">
        <f>IF(AND(G176&lt;&gt;"",M176&lt;&gt;""),M176/G176,"")</f>
        <v>235.29411764705881</v>
      </c>
      <c r="O176" s="65">
        <f>IF(AND(G176&lt;&gt;"",L176&lt;&gt;""),L176/G176,"")</f>
        <v>235.29411764705881</v>
      </c>
      <c r="P176" s="65"/>
      <c r="Q176" s="65"/>
      <c r="R176" s="65">
        <v>2</v>
      </c>
      <c r="S176" s="65"/>
      <c r="T176" s="65">
        <v>188</v>
      </c>
      <c r="U176" s="65"/>
      <c r="V176" s="65">
        <v>8</v>
      </c>
      <c r="W176" s="65"/>
      <c r="X176" s="110">
        <v>720</v>
      </c>
      <c r="Y176" s="216"/>
      <c r="Z176" s="141"/>
      <c r="AA176" s="371"/>
      <c r="AB176" s="211">
        <f>L176/V176</f>
        <v>720</v>
      </c>
      <c r="AC176" s="99">
        <f>T176/V176</f>
        <v>23.5</v>
      </c>
      <c r="AD176" s="110">
        <f>256*36*V176</f>
        <v>73728</v>
      </c>
      <c r="AF176" s="6"/>
      <c r="AG176" s="236"/>
    </row>
    <row r="177" spans="1:33" ht="13.5" thickBot="1" x14ac:dyDescent="0.25">
      <c r="A177" s="182" t="s">
        <v>26</v>
      </c>
      <c r="B177" s="17"/>
      <c r="C177" s="227"/>
      <c r="D177" s="213"/>
      <c r="E177" s="118" t="s">
        <v>319</v>
      </c>
      <c r="F177" s="18" t="s">
        <v>172</v>
      </c>
      <c r="G177" s="19">
        <v>36.590000000000003</v>
      </c>
      <c r="H177" s="124">
        <v>17</v>
      </c>
      <c r="I177" s="162">
        <v>188</v>
      </c>
      <c r="J177" s="174" t="s">
        <v>325</v>
      </c>
      <c r="K177" s="176">
        <v>60.08</v>
      </c>
      <c r="L177" s="249">
        <f>8*X177</f>
        <v>9728</v>
      </c>
      <c r="M177" s="151">
        <f>8*X177</f>
        <v>9728</v>
      </c>
      <c r="N177" s="65">
        <f>IF(AND(G177&lt;&gt;"",M177&lt;&gt;""),M177/G177,"")</f>
        <v>265.86499043454495</v>
      </c>
      <c r="O177" s="65">
        <f>IF(AND(G177&lt;&gt;"",L177&lt;&gt;""),L177/G177,"")</f>
        <v>265.86499043454495</v>
      </c>
      <c r="P177" s="65"/>
      <c r="Q177" s="65"/>
      <c r="R177" s="65">
        <v>4</v>
      </c>
      <c r="S177" s="65"/>
      <c r="T177" s="65">
        <v>244</v>
      </c>
      <c r="U177" s="65"/>
      <c r="V177" s="65">
        <v>24</v>
      </c>
      <c r="W177" s="65"/>
      <c r="X177" s="110">
        <v>1216</v>
      </c>
      <c r="Y177" s="216">
        <v>15</v>
      </c>
      <c r="Z177" s="141">
        <f>IF(AND(L177&lt;&gt;"",Y177&lt;&gt;""),L177/Y177,"")</f>
        <v>648.5333333333333</v>
      </c>
      <c r="AA177" s="371"/>
      <c r="AB177" s="211">
        <f>L177/V177</f>
        <v>405.33333333333331</v>
      </c>
      <c r="AC177" s="99">
        <f>T177/V177</f>
        <v>10.166666666666666</v>
      </c>
      <c r="AD177" s="110">
        <f>256*36*V177</f>
        <v>221184</v>
      </c>
      <c r="AF177" s="6"/>
      <c r="AG177" s="236"/>
    </row>
    <row r="178" spans="1:33" ht="13.5" thickBot="1" x14ac:dyDescent="0.25">
      <c r="A178" s="182" t="s">
        <v>26</v>
      </c>
      <c r="B178" s="17"/>
      <c r="C178" s="227"/>
      <c r="D178" s="213"/>
      <c r="E178" s="118" t="s">
        <v>320</v>
      </c>
      <c r="F178" s="18" t="s">
        <v>327</v>
      </c>
      <c r="G178" s="19">
        <v>55.65</v>
      </c>
      <c r="H178" s="124">
        <v>17</v>
      </c>
      <c r="I178" s="162">
        <v>188</v>
      </c>
      <c r="J178" s="174" t="s">
        <v>165</v>
      </c>
      <c r="K178" s="176">
        <v>92.05</v>
      </c>
      <c r="L178" s="249">
        <f>8*X178</f>
        <v>15456</v>
      </c>
      <c r="M178" s="151">
        <f>8*X178</f>
        <v>15456</v>
      </c>
      <c r="N178" s="65">
        <f>IF(AND(G178&lt;&gt;"",M178&lt;&gt;""),M178/G178,"")</f>
        <v>277.7358490566038</v>
      </c>
      <c r="O178" s="65">
        <f>IF(AND(G178&lt;&gt;"",L178&lt;&gt;""),L178/G178,"")</f>
        <v>277.7358490566038</v>
      </c>
      <c r="P178" s="65"/>
      <c r="Q178" s="65"/>
      <c r="R178" s="65">
        <v>4</v>
      </c>
      <c r="S178" s="65"/>
      <c r="T178" s="65">
        <v>300</v>
      </c>
      <c r="U178" s="65"/>
      <c r="V178" s="65">
        <v>36</v>
      </c>
      <c r="W178" s="65"/>
      <c r="X178" s="110">
        <v>1932</v>
      </c>
      <c r="Y178" s="216"/>
      <c r="Z178" s="141"/>
      <c r="AA178" s="371"/>
      <c r="AB178" s="211">
        <f>L178/V178</f>
        <v>429.33333333333331</v>
      </c>
      <c r="AC178" s="99">
        <f>T178/V178</f>
        <v>8.3333333333333339</v>
      </c>
      <c r="AD178" s="110">
        <f>256*36*V178</f>
        <v>331776</v>
      </c>
      <c r="AF178" s="6"/>
      <c r="AG178" s="236"/>
    </row>
    <row r="179" spans="1:33" ht="13.5" thickBot="1" x14ac:dyDescent="0.25">
      <c r="A179" s="182" t="s">
        <v>26</v>
      </c>
      <c r="B179" s="21"/>
      <c r="C179" s="228"/>
      <c r="D179" s="214"/>
      <c r="E179" s="146" t="s">
        <v>321</v>
      </c>
      <c r="F179" s="22" t="s">
        <v>328</v>
      </c>
      <c r="G179" s="23">
        <v>66.849999999999994</v>
      </c>
      <c r="H179" s="125">
        <v>17</v>
      </c>
      <c r="I179" s="163">
        <v>188</v>
      </c>
      <c r="J179" s="174" t="s">
        <v>326</v>
      </c>
      <c r="K179" s="176">
        <v>105.36</v>
      </c>
      <c r="L179" s="250">
        <f>8*X179</f>
        <v>19712</v>
      </c>
      <c r="M179" s="151">
        <f>8*X179</f>
        <v>19712</v>
      </c>
      <c r="N179" s="65">
        <f>IF(AND(G179&lt;&gt;"",M179&lt;&gt;""),M179/G179,"")</f>
        <v>294.86910994764401</v>
      </c>
      <c r="O179" s="68">
        <f>IF(AND(G179&lt;&gt;"",L179&lt;&gt;""),L179/G179,"")</f>
        <v>294.86910994764401</v>
      </c>
      <c r="P179" s="68"/>
      <c r="Q179" s="68"/>
      <c r="R179" s="68">
        <v>4</v>
      </c>
      <c r="S179" s="68"/>
      <c r="T179" s="68">
        <v>340</v>
      </c>
      <c r="U179" s="68"/>
      <c r="V179" s="68">
        <v>44</v>
      </c>
      <c r="W179" s="68"/>
      <c r="X179" s="111">
        <v>2464</v>
      </c>
      <c r="Y179" s="217"/>
      <c r="Z179" s="142"/>
      <c r="AA179" s="374"/>
      <c r="AB179" s="202">
        <f>L179/V179</f>
        <v>448</v>
      </c>
      <c r="AC179" s="100">
        <f>T179/V179</f>
        <v>7.7272727272727275</v>
      </c>
      <c r="AD179" s="111">
        <f>256*36*V179</f>
        <v>405504</v>
      </c>
      <c r="AF179" s="6"/>
      <c r="AG179" s="236"/>
    </row>
    <row r="180" spans="1:33" ht="13.5" customHeight="1" x14ac:dyDescent="0.2">
      <c r="A180" s="182"/>
      <c r="B180" s="48" t="s">
        <v>716</v>
      </c>
      <c r="C180" s="226"/>
      <c r="D180" s="212"/>
      <c r="E180" s="12" t="s">
        <v>514</v>
      </c>
      <c r="F180" s="466" t="s">
        <v>1015</v>
      </c>
      <c r="G180" s="14" t="s">
        <v>22</v>
      </c>
      <c r="H180" s="132" t="s">
        <v>528</v>
      </c>
      <c r="I180" s="161"/>
      <c r="J180" s="145"/>
      <c r="K180" s="16" t="s">
        <v>22</v>
      </c>
      <c r="L180" s="244" t="s">
        <v>23</v>
      </c>
      <c r="M180" s="60"/>
      <c r="N180" s="380">
        <f>AVERAGE(N181:N185)</f>
        <v>443.36984510958263</v>
      </c>
      <c r="O180" s="61"/>
      <c r="P180" s="61"/>
      <c r="Q180" s="61" t="s">
        <v>1737</v>
      </c>
      <c r="R180" s="61"/>
      <c r="S180" s="61"/>
      <c r="T180" s="61"/>
      <c r="U180" s="61"/>
      <c r="V180" s="62" t="s">
        <v>206</v>
      </c>
      <c r="W180" s="61" t="s">
        <v>66</v>
      </c>
      <c r="X180" s="109" t="s">
        <v>158</v>
      </c>
      <c r="Y180" s="80"/>
      <c r="Z180" s="164"/>
      <c r="AA180" s="372">
        <f>AVERAGE(AA181:AA185)</f>
        <v>810.47619047619048</v>
      </c>
      <c r="AB180" s="92">
        <f>AVERAGE(AB181:AB185)</f>
        <v>913.96825396825386</v>
      </c>
      <c r="AC180" s="98">
        <f>AVERAGE(AC181:AC185)</f>
        <v>18.690793650793651</v>
      </c>
      <c r="AD180" s="109" t="s">
        <v>650</v>
      </c>
      <c r="AE180" s="193"/>
      <c r="AF180" s="868">
        <f>AVERAGE(AF181:AF185)</f>
        <v>49.941781338742388</v>
      </c>
      <c r="AG180" s="269" t="s">
        <v>329</v>
      </c>
    </row>
    <row r="181" spans="1:33" x14ac:dyDescent="0.2">
      <c r="A181" s="274" t="s">
        <v>740</v>
      </c>
      <c r="B181" s="41" t="s">
        <v>701</v>
      </c>
      <c r="C181" s="230" t="s">
        <v>697</v>
      </c>
      <c r="D181" s="213" t="s">
        <v>708</v>
      </c>
      <c r="E181" s="134" t="s">
        <v>1128</v>
      </c>
      <c r="F181" s="45" t="s">
        <v>1125</v>
      </c>
      <c r="G181" s="19">
        <v>13.2</v>
      </c>
      <c r="H181" s="124">
        <v>8</v>
      </c>
      <c r="I181" s="162">
        <v>86</v>
      </c>
      <c r="J181" s="138"/>
      <c r="K181" s="20"/>
      <c r="L181" s="245">
        <f>8*X181</f>
        <v>5000</v>
      </c>
      <c r="M181" s="151">
        <f>8*X181</f>
        <v>5000</v>
      </c>
      <c r="N181" s="65">
        <f>IF(AND(G181&lt;&gt;"",M181&lt;&gt;""),M181/G181,"")</f>
        <v>378.78787878787881</v>
      </c>
      <c r="O181" s="65">
        <f>IF(AND(G181&lt;&gt;"",L181&lt;&gt;""),L181/G181,"")</f>
        <v>378.78787878787881</v>
      </c>
      <c r="P181" s="65"/>
      <c r="Q181" s="65">
        <v>12</v>
      </c>
      <c r="R181" s="65">
        <v>2</v>
      </c>
      <c r="S181" s="65"/>
      <c r="T181" s="65">
        <v>172</v>
      </c>
      <c r="U181" s="65"/>
      <c r="V181" s="65">
        <v>9</v>
      </c>
      <c r="W181" s="65"/>
      <c r="X181" s="110">
        <v>625</v>
      </c>
      <c r="Y181" s="81"/>
      <c r="Z181" s="141" t="str">
        <f>IF(AND(L181&lt;&gt;"",Y181&lt;&gt;""),L181/Y181,"")</f>
        <v/>
      </c>
      <c r="AA181" s="371">
        <f>L181/Q181</f>
        <v>416.66666666666669</v>
      </c>
      <c r="AB181" s="54">
        <f>L181/V181</f>
        <v>555.55555555555554</v>
      </c>
      <c r="AC181" s="99">
        <f>T181/V181</f>
        <v>19.111111111111111</v>
      </c>
      <c r="AD181" s="191">
        <f>512*36*V181/1000000</f>
        <v>0.16588800000000001</v>
      </c>
      <c r="AE181" s="17">
        <v>1.27</v>
      </c>
      <c r="AF181" s="198">
        <f>(AE181*1000000-V181*36*512)/(4*L181)</f>
        <v>55.205599999999997</v>
      </c>
      <c r="AG181" s="236" t="s">
        <v>709</v>
      </c>
    </row>
    <row r="182" spans="1:33" x14ac:dyDescent="0.2">
      <c r="A182" s="274" t="s">
        <v>740</v>
      </c>
      <c r="B182" s="41" t="s">
        <v>701</v>
      </c>
      <c r="C182" s="230" t="s">
        <v>697</v>
      </c>
      <c r="D182" s="213" t="s">
        <v>708</v>
      </c>
      <c r="E182" s="134" t="s">
        <v>1129</v>
      </c>
      <c r="F182" s="45" t="s">
        <v>1125</v>
      </c>
      <c r="G182" s="19">
        <v>16.899999999999999</v>
      </c>
      <c r="H182" s="124">
        <v>8</v>
      </c>
      <c r="I182" s="162">
        <v>86</v>
      </c>
      <c r="J182" s="138"/>
      <c r="K182" s="20"/>
      <c r="L182" s="245">
        <f>8*X182</f>
        <v>8000</v>
      </c>
      <c r="M182" s="151">
        <f>8*X182</f>
        <v>8000</v>
      </c>
      <c r="N182" s="65">
        <f>IF(AND(G182&lt;&gt;"",M182&lt;&gt;""),M182/G182,"")</f>
        <v>473.37278106508882</v>
      </c>
      <c r="O182" s="65">
        <f>IF(AND(G182&lt;&gt;"",L182&lt;&gt;""),L182/G182,"")</f>
        <v>473.37278106508882</v>
      </c>
      <c r="P182" s="65"/>
      <c r="Q182" s="65">
        <v>16</v>
      </c>
      <c r="R182" s="65">
        <v>2</v>
      </c>
      <c r="S182" s="65"/>
      <c r="T182" s="65">
        <v>201</v>
      </c>
      <c r="U182" s="65"/>
      <c r="V182" s="65">
        <v>12</v>
      </c>
      <c r="W182" s="65"/>
      <c r="X182" s="110">
        <v>1000</v>
      </c>
      <c r="Y182" s="81"/>
      <c r="Z182" s="141" t="str">
        <f>IF(AND(L182&lt;&gt;"",Y182&lt;&gt;""),L182/Y182,"")</f>
        <v/>
      </c>
      <c r="AA182" s="371">
        <f>L182/Q182</f>
        <v>500</v>
      </c>
      <c r="AB182" s="54">
        <f>L182/V182</f>
        <v>666.66666666666663</v>
      </c>
      <c r="AC182" s="99">
        <f>T182/V182</f>
        <v>16.75</v>
      </c>
      <c r="AD182" s="191">
        <f>512*36*V182/1000000</f>
        <v>0.22118399999999999</v>
      </c>
      <c r="AE182" s="17">
        <v>1.99</v>
      </c>
      <c r="AF182" s="198">
        <f>(AE182*1000000-V182*36*512)/(4*L182)</f>
        <v>55.275500000000001</v>
      </c>
      <c r="AG182" s="236"/>
    </row>
    <row r="183" spans="1:33" x14ac:dyDescent="0.2">
      <c r="A183" s="274" t="s">
        <v>740</v>
      </c>
      <c r="B183" s="41" t="s">
        <v>701</v>
      </c>
      <c r="C183" s="230" t="s">
        <v>697</v>
      </c>
      <c r="D183" s="213" t="s">
        <v>708</v>
      </c>
      <c r="E183" s="134" t="s">
        <v>1130</v>
      </c>
      <c r="F183" s="45" t="s">
        <v>1126</v>
      </c>
      <c r="G183" s="19">
        <v>35.9</v>
      </c>
      <c r="H183" s="124">
        <v>17</v>
      </c>
      <c r="I183" s="162">
        <v>201</v>
      </c>
      <c r="J183" s="138"/>
      <c r="K183" s="20"/>
      <c r="L183" s="245">
        <f>8*X183</f>
        <v>17000</v>
      </c>
      <c r="M183" s="151">
        <f>8*X183</f>
        <v>17000</v>
      </c>
      <c r="N183" s="65">
        <f>IF(AND(G183&lt;&gt;"",M183&lt;&gt;""),M183/G183,"")</f>
        <v>473.53760445682451</v>
      </c>
      <c r="O183" s="65">
        <f>IF(AND(G183&lt;&gt;"",L183&lt;&gt;""),L183/G183,"")</f>
        <v>473.53760445682451</v>
      </c>
      <c r="P183" s="65"/>
      <c r="Q183" s="65">
        <v>20</v>
      </c>
      <c r="R183" s="65">
        <v>4</v>
      </c>
      <c r="S183" s="65"/>
      <c r="T183" s="65">
        <v>358</v>
      </c>
      <c r="U183" s="65"/>
      <c r="V183" s="65">
        <v>15</v>
      </c>
      <c r="W183" s="65"/>
      <c r="X183" s="110">
        <v>2125</v>
      </c>
      <c r="Y183" s="81">
        <v>12</v>
      </c>
      <c r="Z183" s="141">
        <f>IF(AND(L183&lt;&gt;"",Y183&lt;&gt;""),L183/Y183,"")</f>
        <v>1416.6666666666667</v>
      </c>
      <c r="AA183" s="371">
        <f>L183/Q183</f>
        <v>850</v>
      </c>
      <c r="AB183" s="54">
        <f>L183/V183</f>
        <v>1133.3333333333333</v>
      </c>
      <c r="AC183" s="99">
        <f>T183/V183</f>
        <v>23.866666666666667</v>
      </c>
      <c r="AD183" s="191">
        <f>512*36*V183/1000000</f>
        <v>0.27648</v>
      </c>
      <c r="AE183" s="17">
        <v>3.54</v>
      </c>
      <c r="AF183" s="198">
        <f>(AE183*1000000-V183*36*512)/(4*L183)</f>
        <v>47.992941176470588</v>
      </c>
      <c r="AG183" s="236"/>
    </row>
    <row r="184" spans="1:33" x14ac:dyDescent="0.2">
      <c r="A184" s="274" t="s">
        <v>740</v>
      </c>
      <c r="B184" s="41" t="s">
        <v>701</v>
      </c>
      <c r="C184" s="230" t="s">
        <v>697</v>
      </c>
      <c r="D184" s="213" t="s">
        <v>708</v>
      </c>
      <c r="E184" s="134" t="s">
        <v>1131</v>
      </c>
      <c r="F184" s="45" t="s">
        <v>1127</v>
      </c>
      <c r="G184" s="19">
        <v>65.099999999999994</v>
      </c>
      <c r="H184" s="124">
        <v>17</v>
      </c>
      <c r="I184" s="162">
        <v>201</v>
      </c>
      <c r="J184" s="138"/>
      <c r="K184" s="20"/>
      <c r="L184" s="245">
        <f>8*X184</f>
        <v>29000</v>
      </c>
      <c r="M184" s="151">
        <f>8*X184</f>
        <v>29000</v>
      </c>
      <c r="N184" s="65">
        <f>IF(AND(G184&lt;&gt;"",M184&lt;&gt;""),M184/G184,"")</f>
        <v>445.46850998463907</v>
      </c>
      <c r="O184" s="65">
        <f>IF(AND(G184&lt;&gt;"",L184&lt;&gt;""),L184/G184,"")</f>
        <v>445.46850998463907</v>
      </c>
      <c r="P184" s="65"/>
      <c r="Q184" s="65">
        <v>28</v>
      </c>
      <c r="R184" s="65">
        <v>4</v>
      </c>
      <c r="S184" s="65"/>
      <c r="T184" s="65">
        <v>472</v>
      </c>
      <c r="U184" s="65"/>
      <c r="V184" s="65">
        <v>21</v>
      </c>
      <c r="W184" s="65"/>
      <c r="X184" s="110">
        <v>3625</v>
      </c>
      <c r="Y184" s="81"/>
      <c r="Z184" s="141" t="str">
        <f>IF(AND(L184&lt;&gt;"",Y184&lt;&gt;""),L184/Y184,"")</f>
        <v/>
      </c>
      <c r="AA184" s="371">
        <f>L184/Q184</f>
        <v>1035.7142857142858</v>
      </c>
      <c r="AB184" s="54">
        <f>L184/V184</f>
        <v>1380.952380952381</v>
      </c>
      <c r="AC184" s="99">
        <f>T184/V184</f>
        <v>22.476190476190474</v>
      </c>
      <c r="AD184" s="191">
        <f>512*36*V184/1000000</f>
        <v>0.38707200000000003</v>
      </c>
      <c r="AE184" s="17">
        <v>5.79</v>
      </c>
      <c r="AF184" s="198">
        <f>(AE184*1000000-V184*36*512)/(4*L184)</f>
        <v>46.576965517241376</v>
      </c>
      <c r="AG184" s="236"/>
    </row>
    <row r="185" spans="1:33" ht="13.5" thickBot="1" x14ac:dyDescent="0.25">
      <c r="A185" s="274" t="s">
        <v>740</v>
      </c>
      <c r="B185" s="33" t="s">
        <v>701</v>
      </c>
      <c r="C185" s="230" t="s">
        <v>697</v>
      </c>
      <c r="D185" s="213" t="s">
        <v>708</v>
      </c>
      <c r="E185" s="417" t="s">
        <v>1132</v>
      </c>
      <c r="F185" s="133" t="s">
        <v>751</v>
      </c>
      <c r="G185" s="23">
        <v>89.75</v>
      </c>
      <c r="H185" s="125">
        <v>23</v>
      </c>
      <c r="I185" s="163">
        <v>363</v>
      </c>
      <c r="J185" s="150"/>
      <c r="K185" s="24"/>
      <c r="L185" s="246">
        <f>8*X185</f>
        <v>40000</v>
      </c>
      <c r="M185" s="152">
        <f>8*X185</f>
        <v>40000</v>
      </c>
      <c r="N185" s="65">
        <f>IF(AND(G185&lt;&gt;"",M185&lt;&gt;""),M185/G185,"")</f>
        <v>445.68245125348187</v>
      </c>
      <c r="O185" s="68">
        <f>IF(AND(G185&lt;&gt;"",L185&lt;&gt;""),L185/G185,"")</f>
        <v>445.68245125348187</v>
      </c>
      <c r="P185" s="68"/>
      <c r="Q185" s="68">
        <v>32</v>
      </c>
      <c r="R185" s="68">
        <v>4</v>
      </c>
      <c r="S185" s="68"/>
      <c r="T185" s="68">
        <v>540</v>
      </c>
      <c r="U185" s="68"/>
      <c r="V185" s="68">
        <v>48</v>
      </c>
      <c r="W185" s="68"/>
      <c r="X185" s="111">
        <v>5000</v>
      </c>
      <c r="Y185" s="82"/>
      <c r="Z185" s="142" t="str">
        <f>IF(AND(L185&lt;&gt;"",Y185&lt;&gt;""),L185/Y185,"")</f>
        <v/>
      </c>
      <c r="AA185" s="371">
        <f>L185/Q185</f>
        <v>1250</v>
      </c>
      <c r="AB185" s="55">
        <f>L185/V185</f>
        <v>833.33333333333337</v>
      </c>
      <c r="AC185" s="100">
        <f>T185/V185</f>
        <v>11.25</v>
      </c>
      <c r="AD185" s="191">
        <f>512*36*V185/1000000</f>
        <v>0.88473599999999997</v>
      </c>
      <c r="AE185" s="21">
        <v>8.0299999999999994</v>
      </c>
      <c r="AF185" s="200">
        <f>(AE185*1000000-V185*36*512)/(4*L185)</f>
        <v>44.657899999999991</v>
      </c>
      <c r="AG185" s="236"/>
    </row>
    <row r="186" spans="1:33" ht="12.75" customHeight="1" x14ac:dyDescent="0.2">
      <c r="A186" s="185"/>
      <c r="B186" s="12" t="s">
        <v>595</v>
      </c>
      <c r="C186" s="226"/>
      <c r="D186" s="212"/>
      <c r="E186" s="276"/>
      <c r="F186" s="466" t="s">
        <v>1017</v>
      </c>
      <c r="G186" s="49"/>
      <c r="H186" s="131" t="s">
        <v>943</v>
      </c>
      <c r="I186" s="165"/>
      <c r="J186" s="136"/>
      <c r="K186" s="50"/>
      <c r="L186" s="248" t="s">
        <v>23</v>
      </c>
      <c r="M186" s="61"/>
      <c r="N186" s="380">
        <f>AVERAGE(N188:N197)</f>
        <v>678.04931835217394</v>
      </c>
      <c r="O186" s="61"/>
      <c r="P186" s="61"/>
      <c r="Q186" s="61" t="s">
        <v>1570</v>
      </c>
      <c r="R186" s="61"/>
      <c r="S186" s="61"/>
      <c r="T186" s="61"/>
      <c r="U186" s="61"/>
      <c r="V186" s="61" t="s">
        <v>52</v>
      </c>
      <c r="W186" s="399" t="s">
        <v>2522</v>
      </c>
      <c r="X186" s="113" t="s">
        <v>158</v>
      </c>
      <c r="Y186" s="171" t="s">
        <v>2508</v>
      </c>
      <c r="Z186" s="164"/>
      <c r="AA186" s="373"/>
      <c r="AB186" s="53"/>
      <c r="AC186" s="105"/>
      <c r="AD186" s="109" t="s">
        <v>650</v>
      </c>
      <c r="AE186" s="201"/>
      <c r="AF186" s="853">
        <f>AVERAGE(AF187:AF197)</f>
        <v>90.34743434343433</v>
      </c>
      <c r="AG186" s="516" t="s">
        <v>1628</v>
      </c>
    </row>
    <row r="187" spans="1:33" s="493" customFormat="1" ht="12.75" customHeight="1" x14ac:dyDescent="0.2">
      <c r="A187" s="519" t="s">
        <v>740</v>
      </c>
      <c r="B187" s="41" t="s">
        <v>701</v>
      </c>
      <c r="C187" s="230"/>
      <c r="D187" s="229" t="s">
        <v>705</v>
      </c>
      <c r="E187" s="910" t="s">
        <v>1482</v>
      </c>
      <c r="F187" s="304" t="s">
        <v>1484</v>
      </c>
      <c r="G187" s="1051">
        <v>1.51</v>
      </c>
      <c r="H187" s="1052">
        <v>2.5</v>
      </c>
      <c r="I187" s="1053">
        <v>25</v>
      </c>
      <c r="J187" s="1054"/>
      <c r="K187" s="1055"/>
      <c r="L187" s="1056">
        <v>384</v>
      </c>
      <c r="M187" s="1057">
        <f t="shared" ref="M187:M193" si="107">L187</f>
        <v>384</v>
      </c>
      <c r="N187" s="469">
        <f t="shared" ref="N187:N197" si="108">IF(AND(G187&lt;&gt;"",M187&lt;&gt;""),M187/G187,"")</f>
        <v>254.3046357615894</v>
      </c>
      <c r="O187" s="1004"/>
      <c r="P187" s="1004"/>
      <c r="Q187" s="1004"/>
      <c r="R187" s="1004"/>
      <c r="S187" s="1004"/>
      <c r="T187" s="1004">
        <v>37</v>
      </c>
      <c r="U187" s="1004"/>
      <c r="V187" s="1004"/>
      <c r="W187" s="1058"/>
      <c r="X187" s="1059">
        <f t="shared" ref="X187:X193" si="109">L187/8</f>
        <v>48</v>
      </c>
      <c r="Y187" s="1060"/>
      <c r="Z187" s="1061"/>
      <c r="AA187" s="1062"/>
      <c r="AB187" s="439"/>
      <c r="AC187" s="103"/>
      <c r="AD187" s="1399"/>
      <c r="AE187" s="1063">
        <v>6.2976000000000004E-2</v>
      </c>
      <c r="AF187" s="1049">
        <f t="shared" ref="AF187:AF192" si="110">250000*AE187/L187</f>
        <v>41.000000000000007</v>
      </c>
      <c r="AG187" s="516" t="s">
        <v>1485</v>
      </c>
    </row>
    <row r="188" spans="1:33" s="493" customFormat="1" ht="12.75" customHeight="1" x14ac:dyDescent="0.2">
      <c r="A188" s="519" t="s">
        <v>929</v>
      </c>
      <c r="B188" s="41" t="s">
        <v>701</v>
      </c>
      <c r="C188" s="230"/>
      <c r="D188" s="229" t="s">
        <v>705</v>
      </c>
      <c r="E188" s="910" t="s">
        <v>2511</v>
      </c>
      <c r="F188" s="304" t="s">
        <v>1096</v>
      </c>
      <c r="G188" s="1051">
        <v>1.41</v>
      </c>
      <c r="H188" s="1052">
        <v>1.4</v>
      </c>
      <c r="I188" s="1053">
        <v>10</v>
      </c>
      <c r="J188" s="1054"/>
      <c r="K188" s="1055"/>
      <c r="L188" s="1056">
        <v>640</v>
      </c>
      <c r="M188" s="1057">
        <f t="shared" si="107"/>
        <v>640</v>
      </c>
      <c r="N188" s="469">
        <f t="shared" si="108"/>
        <v>453.90070921985819</v>
      </c>
      <c r="O188" s="1004"/>
      <c r="P188" s="1004"/>
      <c r="Q188" s="1004"/>
      <c r="R188" s="1004"/>
      <c r="S188" s="1004"/>
      <c r="T188" s="1004">
        <v>63</v>
      </c>
      <c r="U188" s="1004"/>
      <c r="V188" s="1004">
        <v>14</v>
      </c>
      <c r="W188" s="1058"/>
      <c r="X188" s="1059">
        <f t="shared" si="109"/>
        <v>80</v>
      </c>
      <c r="Y188" s="1060">
        <v>1.1000000000000001</v>
      </c>
      <c r="Z188" s="141">
        <f>IF(AND(M188&lt;&gt;"",Y188&lt;&gt;""),M188/Y188,"")</f>
        <v>581.81818181818176</v>
      </c>
      <c r="AA188" s="1062"/>
      <c r="AB188" s="439"/>
      <c r="AC188" s="103">
        <f t="shared" ref="AC188:AC193" si="111">T188/V188</f>
        <v>4.5</v>
      </c>
      <c r="AD188" s="903">
        <f>V188*256*16/1000000</f>
        <v>5.7343999999999999E-2</v>
      </c>
      <c r="AE188" s="1063">
        <v>0.27289600000000003</v>
      </c>
      <c r="AF188" s="1049">
        <f t="shared" si="110"/>
        <v>106.6</v>
      </c>
      <c r="AG188" s="516" t="s">
        <v>1486</v>
      </c>
    </row>
    <row r="189" spans="1:33" s="493" customFormat="1" ht="12.75" customHeight="1" x14ac:dyDescent="0.2">
      <c r="A189" s="519" t="s">
        <v>929</v>
      </c>
      <c r="B189" s="41" t="s">
        <v>701</v>
      </c>
      <c r="C189" s="230"/>
      <c r="D189" s="229" t="s">
        <v>705</v>
      </c>
      <c r="E189" s="910" t="s">
        <v>2510</v>
      </c>
      <c r="F189" s="45" t="s">
        <v>1096</v>
      </c>
      <c r="G189" s="1064">
        <v>1.46</v>
      </c>
      <c r="H189" s="1052">
        <v>1.4</v>
      </c>
      <c r="I189" s="1065">
        <v>10</v>
      </c>
      <c r="J189" s="1040"/>
      <c r="K189" s="1066"/>
      <c r="L189" s="1067">
        <v>1280</v>
      </c>
      <c r="M189" s="1057">
        <f t="shared" si="107"/>
        <v>1280</v>
      </c>
      <c r="N189" s="469">
        <f t="shared" si="108"/>
        <v>876.71232876712327</v>
      </c>
      <c r="O189" s="469"/>
      <c r="P189" s="469"/>
      <c r="Q189" s="469"/>
      <c r="R189" s="469">
        <v>1</v>
      </c>
      <c r="S189" s="469"/>
      <c r="T189" s="469">
        <v>95</v>
      </c>
      <c r="U189" s="469"/>
      <c r="V189" s="469">
        <v>14</v>
      </c>
      <c r="W189" s="536"/>
      <c r="X189" s="1059">
        <f t="shared" si="109"/>
        <v>160</v>
      </c>
      <c r="Y189" s="1068">
        <v>1.1000000000000001</v>
      </c>
      <c r="Z189" s="141">
        <f>IF(AND(M189&lt;&gt;"",Y189&lt;&gt;""),M189/Y189,"")</f>
        <v>1163.6363636363635</v>
      </c>
      <c r="AA189" s="1046"/>
      <c r="AB189" s="93"/>
      <c r="AC189" s="103">
        <f t="shared" si="111"/>
        <v>6.7857142857142856</v>
      </c>
      <c r="AD189" s="903">
        <f>V189*256*16/1000000</f>
        <v>5.7343999999999999E-2</v>
      </c>
      <c r="AE189" s="1069">
        <v>1.0915840000000001</v>
      </c>
      <c r="AF189" s="1049">
        <f t="shared" si="110"/>
        <v>213.2</v>
      </c>
      <c r="AG189" s="516"/>
    </row>
    <row r="190" spans="1:33" s="493" customFormat="1" ht="12.75" customHeight="1" x14ac:dyDescent="0.2">
      <c r="A190" s="519" t="s">
        <v>740</v>
      </c>
      <c r="B190" s="41" t="s">
        <v>701</v>
      </c>
      <c r="C190" s="230"/>
      <c r="D190" s="229" t="s">
        <v>705</v>
      </c>
      <c r="E190" s="910" t="s">
        <v>1483</v>
      </c>
      <c r="F190" s="45" t="s">
        <v>1096</v>
      </c>
      <c r="G190" s="1064">
        <v>4.55</v>
      </c>
      <c r="H190" s="1052">
        <v>1.71</v>
      </c>
      <c r="I190" s="1065">
        <v>18</v>
      </c>
      <c r="J190" s="1040"/>
      <c r="K190" s="1066"/>
      <c r="L190" s="1067">
        <v>2000</v>
      </c>
      <c r="M190" s="1057">
        <f t="shared" si="107"/>
        <v>2000</v>
      </c>
      <c r="N190" s="469">
        <f t="shared" si="108"/>
        <v>439.56043956043959</v>
      </c>
      <c r="O190" s="469"/>
      <c r="P190" s="469"/>
      <c r="Q190" s="469"/>
      <c r="R190" s="469">
        <v>1</v>
      </c>
      <c r="S190" s="469"/>
      <c r="T190" s="469">
        <v>35</v>
      </c>
      <c r="U190" s="469"/>
      <c r="V190" s="469">
        <v>20</v>
      </c>
      <c r="W190" s="536"/>
      <c r="X190" s="1059">
        <f t="shared" si="109"/>
        <v>250</v>
      </c>
      <c r="Y190" s="1068"/>
      <c r="Z190" s="1045"/>
      <c r="AA190" s="1046"/>
      <c r="AB190" s="93"/>
      <c r="AC190" s="103"/>
      <c r="AD190" s="1047"/>
      <c r="AE190" s="1069">
        <v>0.54579200000000005</v>
      </c>
      <c r="AF190" s="1049">
        <f t="shared" si="110"/>
        <v>68.224000000000004</v>
      </c>
      <c r="AG190" s="516"/>
    </row>
    <row r="191" spans="1:33" s="493" customFormat="1" ht="12.75" customHeight="1" x14ac:dyDescent="0.2">
      <c r="A191" s="519" t="s">
        <v>740</v>
      </c>
      <c r="B191" s="41" t="s">
        <v>701</v>
      </c>
      <c r="C191" s="230"/>
      <c r="D191" s="229" t="s">
        <v>705</v>
      </c>
      <c r="E191" s="910" t="s">
        <v>1488</v>
      </c>
      <c r="F191" s="45" t="s">
        <v>1097</v>
      </c>
      <c r="G191" s="1064">
        <v>5.03</v>
      </c>
      <c r="H191" s="1052">
        <v>5</v>
      </c>
      <c r="I191" s="1065">
        <v>93</v>
      </c>
      <c r="J191" s="1040"/>
      <c r="K191" s="1066"/>
      <c r="L191" s="1067">
        <v>3520</v>
      </c>
      <c r="M191" s="1057">
        <f t="shared" si="107"/>
        <v>3520</v>
      </c>
      <c r="N191" s="469">
        <f t="shared" si="108"/>
        <v>699.80119284294233</v>
      </c>
      <c r="O191" s="469"/>
      <c r="P191" s="469"/>
      <c r="Q191" s="469"/>
      <c r="R191" s="469">
        <v>2</v>
      </c>
      <c r="S191" s="469"/>
      <c r="T191" s="469">
        <v>137</v>
      </c>
      <c r="U191" s="469"/>
      <c r="V191" s="469">
        <v>20</v>
      </c>
      <c r="W191" s="536"/>
      <c r="X191" s="1059">
        <f t="shared" si="109"/>
        <v>440</v>
      </c>
      <c r="Y191" s="1068">
        <v>4.49</v>
      </c>
      <c r="Z191" s="141">
        <f>IF(AND(M191&lt;&gt;"",Y191&lt;&gt;""),M191/Y191,"")</f>
        <v>783.96436525612467</v>
      </c>
      <c r="AA191" s="1046"/>
      <c r="AB191" s="93"/>
      <c r="AC191" s="103">
        <f t="shared" si="111"/>
        <v>6.85</v>
      </c>
      <c r="AD191" s="903">
        <f>V191*256*16/1000000</f>
        <v>8.1920000000000007E-2</v>
      </c>
      <c r="AE191" s="1069">
        <v>1.0915840000000001</v>
      </c>
      <c r="AF191" s="1049">
        <f t="shared" si="110"/>
        <v>77.527272727272731</v>
      </c>
      <c r="AG191" s="516"/>
    </row>
    <row r="192" spans="1:33" s="493" customFormat="1" ht="12.75" customHeight="1" x14ac:dyDescent="0.2">
      <c r="A192" s="519" t="s">
        <v>740</v>
      </c>
      <c r="B192" s="41" t="s">
        <v>701</v>
      </c>
      <c r="C192" s="230"/>
      <c r="D192" s="229" t="s">
        <v>705</v>
      </c>
      <c r="E192" s="910" t="s">
        <v>1094</v>
      </c>
      <c r="F192" s="45" t="s">
        <v>1097</v>
      </c>
      <c r="G192" s="1064">
        <v>7.07</v>
      </c>
      <c r="H192" s="1052">
        <v>5</v>
      </c>
      <c r="I192" s="1065">
        <v>93</v>
      </c>
      <c r="J192" s="1040"/>
      <c r="K192" s="1066"/>
      <c r="L192" s="1067">
        <v>7680</v>
      </c>
      <c r="M192" s="1057">
        <f t="shared" si="107"/>
        <v>7680</v>
      </c>
      <c r="N192" s="469">
        <f t="shared" si="108"/>
        <v>1086.2800565770863</v>
      </c>
      <c r="O192" s="469"/>
      <c r="P192" s="469"/>
      <c r="Q192" s="469"/>
      <c r="R192" s="469">
        <v>2</v>
      </c>
      <c r="S192" s="469"/>
      <c r="T192" s="469">
        <v>178</v>
      </c>
      <c r="U192" s="469"/>
      <c r="V192" s="469">
        <v>32</v>
      </c>
      <c r="W192" s="536"/>
      <c r="X192" s="1059">
        <f t="shared" si="109"/>
        <v>960</v>
      </c>
      <c r="Y192" s="1068">
        <v>5.38</v>
      </c>
      <c r="Z192" s="141">
        <f>IF(AND(M192&lt;&gt;"",Y192&lt;&gt;""),M192/Y192,"")</f>
        <v>1427.5092936802973</v>
      </c>
      <c r="AA192" s="1046"/>
      <c r="AB192" s="93"/>
      <c r="AC192" s="103">
        <f t="shared" si="111"/>
        <v>5.5625</v>
      </c>
      <c r="AD192" s="903">
        <f>V192*256*16/1000000</f>
        <v>0.13107199999999999</v>
      </c>
      <c r="AE192" s="1069">
        <v>1.0915840000000001</v>
      </c>
      <c r="AF192" s="1049">
        <f t="shared" si="110"/>
        <v>35.533333333333331</v>
      </c>
      <c r="AG192" s="516"/>
    </row>
    <row r="193" spans="1:33" s="493" customFormat="1" ht="12.75" customHeight="1" x14ac:dyDescent="0.2">
      <c r="A193" s="519" t="s">
        <v>740</v>
      </c>
      <c r="B193" s="41" t="s">
        <v>701</v>
      </c>
      <c r="C193" s="230"/>
      <c r="D193" s="229"/>
      <c r="E193" s="1313" t="s">
        <v>1567</v>
      </c>
      <c r="F193" s="1082" t="s">
        <v>1626</v>
      </c>
      <c r="G193" s="1117">
        <v>2.95</v>
      </c>
      <c r="H193" s="1118">
        <v>2.06</v>
      </c>
      <c r="I193" s="1119">
        <v>12</v>
      </c>
      <c r="J193" s="894"/>
      <c r="K193" s="1120"/>
      <c r="L193" s="1121">
        <v>1100</v>
      </c>
      <c r="M193" s="1057">
        <f t="shared" si="107"/>
        <v>1100</v>
      </c>
      <c r="N193" s="469">
        <f t="shared" si="108"/>
        <v>372.88135593220335</v>
      </c>
      <c r="O193" s="496"/>
      <c r="P193" s="496"/>
      <c r="Q193" s="496">
        <v>2</v>
      </c>
      <c r="R193" s="496">
        <v>1</v>
      </c>
      <c r="S193" s="496"/>
      <c r="T193" s="496">
        <v>26</v>
      </c>
      <c r="U193" s="496"/>
      <c r="V193" s="496">
        <v>16</v>
      </c>
      <c r="W193" s="1122"/>
      <c r="X193" s="1059">
        <f t="shared" si="109"/>
        <v>137.5</v>
      </c>
      <c r="Y193" s="1123">
        <v>2.41</v>
      </c>
      <c r="Z193" s="141">
        <f>IF(AND(M193&lt;&gt;"",Y193&lt;&gt;""),M193/Y193,"")</f>
        <v>456.43153526970951</v>
      </c>
      <c r="AA193" s="371">
        <f>L193/Q193</f>
        <v>550</v>
      </c>
      <c r="AB193" s="901"/>
      <c r="AC193" s="103">
        <f t="shared" si="111"/>
        <v>1.625</v>
      </c>
      <c r="AD193" s="903">
        <f>V193*256*16/1000000</f>
        <v>6.5535999999999997E-2</v>
      </c>
      <c r="AE193" s="1124"/>
      <c r="AF193" s="1125"/>
      <c r="AG193" s="516" t="s">
        <v>1627</v>
      </c>
    </row>
    <row r="194" spans="1:33" s="493" customFormat="1" ht="12.75" customHeight="1" x14ac:dyDescent="0.2">
      <c r="A194" s="519" t="s">
        <v>740</v>
      </c>
      <c r="B194" s="41" t="s">
        <v>701</v>
      </c>
      <c r="C194" s="230"/>
      <c r="D194" s="229"/>
      <c r="E194" s="1313" t="s">
        <v>1568</v>
      </c>
      <c r="F194" s="1082" t="s">
        <v>1626</v>
      </c>
      <c r="G194" s="1117">
        <v>4.25</v>
      </c>
      <c r="H194" s="1118">
        <v>2.06</v>
      </c>
      <c r="I194" s="1119">
        <v>12</v>
      </c>
      <c r="J194" s="894"/>
      <c r="K194" s="1120"/>
      <c r="L194" s="1121">
        <v>2048</v>
      </c>
      <c r="M194" s="1057">
        <f>L194</f>
        <v>2048</v>
      </c>
      <c r="N194" s="469">
        <f t="shared" si="108"/>
        <v>481.88235294117646</v>
      </c>
      <c r="O194" s="496"/>
      <c r="P194" s="496"/>
      <c r="Q194" s="496">
        <v>4</v>
      </c>
      <c r="R194" s="496">
        <v>1</v>
      </c>
      <c r="S194" s="496"/>
      <c r="T194" s="496">
        <v>26</v>
      </c>
      <c r="U194" s="496"/>
      <c r="V194" s="496">
        <v>20</v>
      </c>
      <c r="W194" s="1122"/>
      <c r="X194" s="1059">
        <f>L194/8</f>
        <v>256</v>
      </c>
      <c r="Y194" s="1123"/>
      <c r="Z194" s="899"/>
      <c r="AA194" s="371">
        <f>L194/Q194</f>
        <v>512</v>
      </c>
      <c r="AB194" s="901"/>
      <c r="AC194" s="103">
        <f>T194/V194</f>
        <v>1.3</v>
      </c>
      <c r="AD194" s="903">
        <f>V194*256*16/1000000</f>
        <v>8.1920000000000007E-2</v>
      </c>
      <c r="AE194" s="1124"/>
      <c r="AF194" s="1125"/>
      <c r="AG194" s="516" t="s">
        <v>1628</v>
      </c>
    </row>
    <row r="195" spans="1:33" s="493" customFormat="1" ht="12.75" customHeight="1" x14ac:dyDescent="0.2">
      <c r="A195" s="519" t="s">
        <v>929</v>
      </c>
      <c r="B195" s="41" t="s">
        <v>701</v>
      </c>
      <c r="C195" s="230"/>
      <c r="D195" s="229"/>
      <c r="E195" s="1313" t="s">
        <v>1569</v>
      </c>
      <c r="F195" s="1082" t="s">
        <v>1626</v>
      </c>
      <c r="G195" s="1117">
        <v>4.6500000000000004</v>
      </c>
      <c r="H195" s="1118">
        <v>2.06</v>
      </c>
      <c r="I195" s="1119">
        <v>12</v>
      </c>
      <c r="J195" s="894"/>
      <c r="K195" s="1120"/>
      <c r="L195" s="1121">
        <v>3520</v>
      </c>
      <c r="M195" s="1057">
        <f>L195</f>
        <v>3520</v>
      </c>
      <c r="N195" s="469">
        <f t="shared" si="108"/>
        <v>756.98924731182785</v>
      </c>
      <c r="O195" s="496"/>
      <c r="P195" s="496"/>
      <c r="Q195" s="496">
        <v>4</v>
      </c>
      <c r="R195" s="496">
        <v>1</v>
      </c>
      <c r="S195" s="496"/>
      <c r="T195" s="496">
        <v>26</v>
      </c>
      <c r="U195" s="496"/>
      <c r="V195" s="496">
        <v>20</v>
      </c>
      <c r="W195" s="1122"/>
      <c r="X195" s="1059">
        <f>L195/8</f>
        <v>440</v>
      </c>
      <c r="Y195" s="1123"/>
      <c r="Z195" s="899"/>
      <c r="AA195" s="371">
        <f>L195/Q195</f>
        <v>880</v>
      </c>
      <c r="AB195" s="901"/>
      <c r="AC195" s="103">
        <f>T195/V195</f>
        <v>1.3</v>
      </c>
      <c r="AD195" s="903">
        <f>V195*256*16/1000000</f>
        <v>8.1920000000000007E-2</v>
      </c>
      <c r="AE195" s="1124"/>
      <c r="AF195" s="1125"/>
      <c r="AG195" s="516" t="s">
        <v>1628</v>
      </c>
    </row>
    <row r="196" spans="1:33" s="493" customFormat="1" ht="12.75" customHeight="1" x14ac:dyDescent="0.2">
      <c r="A196" s="519" t="s">
        <v>740</v>
      </c>
      <c r="B196" s="157"/>
      <c r="C196" s="303"/>
      <c r="D196" s="532"/>
      <c r="E196" s="1313" t="s">
        <v>2291</v>
      </c>
      <c r="F196" s="1082" t="s">
        <v>2328</v>
      </c>
      <c r="G196" s="1117">
        <v>4.3499999999999996</v>
      </c>
      <c r="H196" s="1118">
        <v>2.34</v>
      </c>
      <c r="I196" s="1119">
        <v>21</v>
      </c>
      <c r="J196" s="894"/>
      <c r="K196" s="1120"/>
      <c r="L196" s="1067">
        <v>2800</v>
      </c>
      <c r="M196" s="469">
        <f>L196</f>
        <v>2800</v>
      </c>
      <c r="N196" s="469">
        <f t="shared" si="108"/>
        <v>643.67816091954023</v>
      </c>
      <c r="O196" s="469"/>
      <c r="P196" s="469"/>
      <c r="Q196" s="469">
        <v>4</v>
      </c>
      <c r="R196" s="469">
        <v>1</v>
      </c>
      <c r="S196" s="469"/>
      <c r="T196" s="469">
        <v>21</v>
      </c>
      <c r="U196" s="469"/>
      <c r="V196" s="469">
        <v>20</v>
      </c>
      <c r="W196" s="469">
        <v>4</v>
      </c>
      <c r="X196" s="1131">
        <f>L196/8</f>
        <v>350</v>
      </c>
      <c r="Y196" s="1123">
        <v>3.44</v>
      </c>
      <c r="Z196" s="141">
        <f>IF(AND(M196&lt;&gt;"",Y196&lt;&gt;""),M196/Y196,"")</f>
        <v>813.95348837209303</v>
      </c>
      <c r="AA196" s="371">
        <f>L196/Q196</f>
        <v>700</v>
      </c>
      <c r="AB196" s="901"/>
      <c r="AC196" s="902">
        <f>T196/V196</f>
        <v>1.05</v>
      </c>
      <c r="AD196" s="903">
        <f>(V196*256*16+W196*16384*16)/1000000</f>
        <v>1.1304959999999999</v>
      </c>
      <c r="AE196" s="1124"/>
      <c r="AF196" s="1125"/>
      <c r="AG196" s="516" t="s">
        <v>2523</v>
      </c>
    </row>
    <row r="197" spans="1:33" s="493" customFormat="1" ht="12.75" customHeight="1" thickBot="1" x14ac:dyDescent="0.25">
      <c r="A197" s="519" t="s">
        <v>929</v>
      </c>
      <c r="B197" s="157"/>
      <c r="C197" s="303"/>
      <c r="D197" s="532"/>
      <c r="E197" s="1313" t="s">
        <v>2292</v>
      </c>
      <c r="F197" s="1082" t="s">
        <v>2328</v>
      </c>
      <c r="G197" s="1117">
        <v>5.45</v>
      </c>
      <c r="H197" s="1118">
        <v>2.34</v>
      </c>
      <c r="I197" s="1119">
        <v>21</v>
      </c>
      <c r="J197" s="894"/>
      <c r="K197" s="1120"/>
      <c r="L197" s="1067">
        <v>5280</v>
      </c>
      <c r="M197" s="469">
        <f>L197</f>
        <v>5280</v>
      </c>
      <c r="N197" s="469">
        <f t="shared" si="108"/>
        <v>968.80733944954125</v>
      </c>
      <c r="O197" s="469"/>
      <c r="P197" s="469"/>
      <c r="Q197" s="469">
        <v>8</v>
      </c>
      <c r="R197" s="469">
        <v>1</v>
      </c>
      <c r="S197" s="469"/>
      <c r="T197" s="469">
        <v>39</v>
      </c>
      <c r="U197" s="469"/>
      <c r="V197" s="469">
        <v>30</v>
      </c>
      <c r="W197" s="469">
        <v>4</v>
      </c>
      <c r="X197" s="1131">
        <f>L197/8</f>
        <v>660</v>
      </c>
      <c r="Y197" s="1123">
        <v>4.42</v>
      </c>
      <c r="Z197" s="141">
        <f>IF(AND(M197&lt;&gt;"",Y197&lt;&gt;""),M197/Y197,"")</f>
        <v>1194.5701357466064</v>
      </c>
      <c r="AA197" s="371">
        <f>L197/Q197</f>
        <v>660</v>
      </c>
      <c r="AB197" s="901"/>
      <c r="AC197" s="902">
        <f>T197/V197</f>
        <v>1.3</v>
      </c>
      <c r="AD197" s="903">
        <f>(V197*256*16+W197*16384*16)/1000000</f>
        <v>1.1714560000000001</v>
      </c>
      <c r="AE197" s="1124"/>
      <c r="AF197" s="1125"/>
      <c r="AG197" s="516" t="s">
        <v>2523</v>
      </c>
    </row>
    <row r="198" spans="1:33" s="493" customFormat="1" ht="12.75" customHeight="1" x14ac:dyDescent="0.2">
      <c r="A198" s="519"/>
      <c r="B198" s="48" t="s">
        <v>2417</v>
      </c>
      <c r="C198" s="1077"/>
      <c r="D198" s="1078"/>
      <c r="E198" s="1128" t="s">
        <v>2419</v>
      </c>
      <c r="F198" s="466"/>
      <c r="G198" s="856"/>
      <c r="H198" s="1129" t="s">
        <v>1479</v>
      </c>
      <c r="I198" s="857"/>
      <c r="J198" s="858"/>
      <c r="K198" s="859"/>
      <c r="L198" s="517" t="s">
        <v>431</v>
      </c>
      <c r="M198" s="860"/>
      <c r="N198" s="399"/>
      <c r="O198" s="399"/>
      <c r="P198" s="399"/>
      <c r="Q198" s="399"/>
      <c r="R198" s="399"/>
      <c r="S198" s="399"/>
      <c r="T198" s="399"/>
      <c r="U198" s="399"/>
      <c r="V198" s="399"/>
      <c r="W198" s="518"/>
      <c r="X198" s="861"/>
      <c r="Y198" s="862" t="s">
        <v>1576</v>
      </c>
      <c r="Z198" s="863"/>
      <c r="AA198" s="864"/>
      <c r="AB198" s="381"/>
      <c r="AC198" s="865"/>
      <c r="AD198" s="866"/>
      <c r="AE198" s="867"/>
      <c r="AF198" s="868"/>
      <c r="AG198" s="516" t="s">
        <v>2418</v>
      </c>
    </row>
    <row r="199" spans="1:33" s="493" customFormat="1" ht="12.75" customHeight="1" thickBot="1" x14ac:dyDescent="0.25">
      <c r="A199" s="519"/>
      <c r="B199" s="33"/>
      <c r="C199" s="232"/>
      <c r="D199" s="231"/>
      <c r="E199" s="33"/>
      <c r="F199" s="133"/>
      <c r="G199" s="1143"/>
      <c r="H199" s="1132">
        <v>2</v>
      </c>
      <c r="I199" s="1133">
        <v>18</v>
      </c>
      <c r="J199" s="1134"/>
      <c r="K199" s="1135"/>
      <c r="L199" s="1136">
        <v>1000</v>
      </c>
      <c r="M199" s="1137"/>
      <c r="N199" s="469" t="str">
        <f>IF(AND(G199&lt;&gt;"",M199&lt;&gt;""),M199/G199,"")</f>
        <v/>
      </c>
      <c r="O199" s="533"/>
      <c r="P199" s="533"/>
      <c r="Q199" s="533"/>
      <c r="R199" s="533"/>
      <c r="S199" s="533"/>
      <c r="T199" s="533"/>
      <c r="U199" s="533"/>
      <c r="V199" s="533"/>
      <c r="W199" s="1138"/>
      <c r="X199" s="1139"/>
      <c r="Y199" s="1140">
        <v>0.37</v>
      </c>
      <c r="Z199" s="141" t="str">
        <f>IF(AND(M199&lt;&gt;"",Y199&lt;&gt;""),M199/Y199,"")</f>
        <v/>
      </c>
      <c r="AA199" s="1141"/>
      <c r="AB199" s="94"/>
      <c r="AC199" s="104"/>
      <c r="AD199" s="1142"/>
      <c r="AE199" s="904"/>
      <c r="AF199" s="905"/>
      <c r="AG199" s="516" t="s">
        <v>2420</v>
      </c>
    </row>
    <row r="200" spans="1:33" x14ac:dyDescent="0.2">
      <c r="A200" s="183"/>
      <c r="B200" s="48" t="s">
        <v>715</v>
      </c>
      <c r="C200" s="226"/>
      <c r="D200" s="212"/>
      <c r="E200" s="12" t="s">
        <v>184</v>
      </c>
      <c r="F200" s="466" t="s">
        <v>1013</v>
      </c>
      <c r="G200" s="14" t="s">
        <v>185</v>
      </c>
      <c r="H200" s="123"/>
      <c r="I200" s="123"/>
      <c r="J200" s="15"/>
      <c r="K200" s="16" t="s">
        <v>22</v>
      </c>
      <c r="L200" s="248" t="s">
        <v>23</v>
      </c>
      <c r="M200" s="383" t="s">
        <v>696</v>
      </c>
      <c r="N200" s="380">
        <f>AVERAGE(N201:N205)</f>
        <v>177.94923896016661</v>
      </c>
      <c r="O200" s="382">
        <f>AVERAGE(O201:O205)</f>
        <v>158.1771012979259</v>
      </c>
      <c r="P200" s="61"/>
      <c r="Q200" s="61"/>
      <c r="R200" s="61"/>
      <c r="S200" s="61"/>
      <c r="T200" s="61"/>
      <c r="U200" s="61" t="s">
        <v>187</v>
      </c>
      <c r="V200" s="62" t="s">
        <v>52</v>
      </c>
      <c r="W200" s="61"/>
      <c r="X200" s="109" t="s">
        <v>188</v>
      </c>
      <c r="Y200" s="80"/>
      <c r="Z200" s="164"/>
      <c r="AA200" s="373"/>
      <c r="AB200" s="92">
        <f>AVERAGE(AB201:AB207)</f>
        <v>267.42857142857144</v>
      </c>
      <c r="AC200" s="98">
        <f>AVERAGE(AC201:AC205)</f>
        <v>21.247738095238095</v>
      </c>
      <c r="AD200" s="109"/>
      <c r="AE200" s="193"/>
      <c r="AF200" s="196">
        <f>AVERAGE(AF201:AF207)</f>
        <v>77.264710293839769</v>
      </c>
      <c r="AG200" s="236" t="s">
        <v>1862</v>
      </c>
    </row>
    <row r="201" spans="1:33" x14ac:dyDescent="0.2">
      <c r="A201" s="182" t="s">
        <v>189</v>
      </c>
      <c r="B201" s="17"/>
      <c r="C201" s="227"/>
      <c r="D201" s="213"/>
      <c r="E201" s="118" t="s">
        <v>190</v>
      </c>
      <c r="F201" s="18" t="s">
        <v>191</v>
      </c>
      <c r="G201" s="19">
        <v>13.914999999999999</v>
      </c>
      <c r="H201" s="124"/>
      <c r="I201" s="124"/>
      <c r="J201" s="18" t="s">
        <v>192</v>
      </c>
      <c r="K201" s="20">
        <v>20.79</v>
      </c>
      <c r="L201" s="249">
        <f t="shared" ref="L201:L207" si="112">4*X201</f>
        <v>1536</v>
      </c>
      <c r="M201" s="64">
        <f t="shared" ref="M201:M207" si="113">4.5*X201</f>
        <v>1728</v>
      </c>
      <c r="N201" s="65">
        <f t="shared" ref="N201:N207" si="114">IF(AND(G201&lt;&gt;"",M201&lt;&gt;""),M201/G201,"")</f>
        <v>124.18253683075818</v>
      </c>
      <c r="O201" s="65">
        <f t="shared" ref="O201:O207" si="115">IF(AND(G201&lt;&gt;"",L201&lt;&gt;""),L201/G201,"")</f>
        <v>110.38447718289616</v>
      </c>
      <c r="P201" s="65"/>
      <c r="Q201" s="65"/>
      <c r="R201" s="65"/>
      <c r="S201" s="65"/>
      <c r="T201" s="65">
        <v>182</v>
      </c>
      <c r="U201" s="65"/>
      <c r="V201" s="65">
        <v>8</v>
      </c>
      <c r="W201" s="65"/>
      <c r="X201" s="110">
        <v>384</v>
      </c>
      <c r="Y201" s="81"/>
      <c r="Z201" s="141"/>
      <c r="AA201" s="371"/>
      <c r="AB201" s="54">
        <f t="shared" ref="AB201:AB207" si="116">L201/V201</f>
        <v>192</v>
      </c>
      <c r="AC201" s="99">
        <f t="shared" ref="AC201:AC207" si="117">T201/V201</f>
        <v>22.75</v>
      </c>
      <c r="AD201" s="110">
        <f t="shared" ref="AD201:AD207" si="118">256*16*V201</f>
        <v>32768</v>
      </c>
      <c r="AE201" s="203">
        <v>0.63</v>
      </c>
      <c r="AF201" s="198">
        <f t="shared" ref="AF201:AF207" si="119">(AE201*1000000-V201*16*256)/(4*L201)</f>
        <v>97.205729166666671</v>
      </c>
      <c r="AG201" s="236" t="s">
        <v>1863</v>
      </c>
    </row>
    <row r="202" spans="1:33" x14ac:dyDescent="0.2">
      <c r="A202" s="182" t="s">
        <v>189</v>
      </c>
      <c r="B202" s="17"/>
      <c r="C202" s="227"/>
      <c r="D202" s="213"/>
      <c r="E202" s="118" t="s">
        <v>193</v>
      </c>
      <c r="F202" s="18" t="s">
        <v>194</v>
      </c>
      <c r="G202" s="19">
        <v>16.335000000000001</v>
      </c>
      <c r="H202" s="124"/>
      <c r="I202" s="124"/>
      <c r="J202" s="18" t="s">
        <v>195</v>
      </c>
      <c r="K202" s="20">
        <v>38.445</v>
      </c>
      <c r="L202" s="249">
        <f t="shared" si="112"/>
        <v>2400</v>
      </c>
      <c r="M202" s="64">
        <f t="shared" si="113"/>
        <v>2700</v>
      </c>
      <c r="N202" s="65">
        <f t="shared" si="114"/>
        <v>165.28925619834709</v>
      </c>
      <c r="O202" s="65">
        <f t="shared" si="115"/>
        <v>146.92378328741964</v>
      </c>
      <c r="P202" s="65"/>
      <c r="Q202" s="65"/>
      <c r="R202" s="65"/>
      <c r="S202" s="65"/>
      <c r="T202" s="65">
        <v>202</v>
      </c>
      <c r="U202" s="65"/>
      <c r="V202" s="65">
        <v>10</v>
      </c>
      <c r="W202" s="65"/>
      <c r="X202" s="110">
        <v>600</v>
      </c>
      <c r="Y202" s="81"/>
      <c r="Z202" s="141"/>
      <c r="AA202" s="371"/>
      <c r="AB202" s="54">
        <f t="shared" si="116"/>
        <v>240</v>
      </c>
      <c r="AC202" s="99">
        <f t="shared" si="117"/>
        <v>20.2</v>
      </c>
      <c r="AD202" s="110">
        <f t="shared" si="118"/>
        <v>40960</v>
      </c>
      <c r="AE202" s="203">
        <v>0.86399999999999999</v>
      </c>
      <c r="AF202" s="198">
        <f t="shared" si="119"/>
        <v>85.733333333333334</v>
      </c>
      <c r="AG202" s="236" t="s">
        <v>1864</v>
      </c>
    </row>
    <row r="203" spans="1:33" x14ac:dyDescent="0.2">
      <c r="A203" s="182" t="s">
        <v>189</v>
      </c>
      <c r="B203" s="17"/>
      <c r="C203" s="227"/>
      <c r="D203" s="213"/>
      <c r="E203" s="118" t="s">
        <v>196</v>
      </c>
      <c r="F203" s="18" t="s">
        <v>194</v>
      </c>
      <c r="G203" s="19">
        <v>16.335000000000001</v>
      </c>
      <c r="H203" s="124"/>
      <c r="I203" s="124"/>
      <c r="J203" s="18" t="s">
        <v>195</v>
      </c>
      <c r="K203" s="20">
        <v>38.445</v>
      </c>
      <c r="L203" s="249">
        <f t="shared" si="112"/>
        <v>3456</v>
      </c>
      <c r="M203" s="64">
        <f t="shared" si="113"/>
        <v>3888</v>
      </c>
      <c r="N203" s="65">
        <f t="shared" si="114"/>
        <v>238.01652892561981</v>
      </c>
      <c r="O203" s="65">
        <f t="shared" si="115"/>
        <v>211.57024793388427</v>
      </c>
      <c r="P203" s="65"/>
      <c r="Q203" s="65"/>
      <c r="R203" s="65"/>
      <c r="S203" s="65"/>
      <c r="T203" s="65">
        <v>265</v>
      </c>
      <c r="U203" s="65"/>
      <c r="V203" s="65">
        <v>12</v>
      </c>
      <c r="W203" s="65"/>
      <c r="X203" s="110">
        <v>864</v>
      </c>
      <c r="Y203" s="81"/>
      <c r="Z203" s="141"/>
      <c r="AA203" s="371"/>
      <c r="AB203" s="54">
        <f t="shared" si="116"/>
        <v>288</v>
      </c>
      <c r="AC203" s="99">
        <f t="shared" si="117"/>
        <v>22.083333333333332</v>
      </c>
      <c r="AD203" s="110">
        <f t="shared" si="118"/>
        <v>49152</v>
      </c>
      <c r="AE203" s="203">
        <v>1.1339999999999999</v>
      </c>
      <c r="AF203" s="198">
        <f t="shared" si="119"/>
        <v>78.475694444444443</v>
      </c>
      <c r="AG203" s="236"/>
    </row>
    <row r="204" spans="1:33" x14ac:dyDescent="0.2">
      <c r="A204" s="182" t="s">
        <v>189</v>
      </c>
      <c r="B204" s="17"/>
      <c r="C204" s="227"/>
      <c r="D204" s="213"/>
      <c r="E204" s="118" t="s">
        <v>197</v>
      </c>
      <c r="F204" s="18" t="s">
        <v>198</v>
      </c>
      <c r="G204" s="19">
        <v>26.73</v>
      </c>
      <c r="H204" s="124"/>
      <c r="I204" s="124"/>
      <c r="J204" s="18" t="s">
        <v>195</v>
      </c>
      <c r="K204" s="20">
        <v>47.465000000000003</v>
      </c>
      <c r="L204" s="249">
        <f t="shared" si="112"/>
        <v>4704</v>
      </c>
      <c r="M204" s="64">
        <f t="shared" si="113"/>
        <v>5292</v>
      </c>
      <c r="N204" s="65">
        <f t="shared" si="114"/>
        <v>197.97979797979798</v>
      </c>
      <c r="O204" s="65">
        <f t="shared" si="115"/>
        <v>175.98204264870932</v>
      </c>
      <c r="P204" s="65"/>
      <c r="Q204" s="65"/>
      <c r="R204" s="65"/>
      <c r="S204" s="65"/>
      <c r="T204" s="65">
        <v>289</v>
      </c>
      <c r="U204" s="65"/>
      <c r="V204" s="65">
        <v>14</v>
      </c>
      <c r="W204" s="65"/>
      <c r="X204" s="110">
        <v>1176</v>
      </c>
      <c r="Y204" s="81"/>
      <c r="Z204" s="141"/>
      <c r="AA204" s="371"/>
      <c r="AB204" s="54">
        <f t="shared" si="116"/>
        <v>336</v>
      </c>
      <c r="AC204" s="99">
        <f t="shared" si="117"/>
        <v>20.642857142857142</v>
      </c>
      <c r="AD204" s="110">
        <f t="shared" si="118"/>
        <v>57344</v>
      </c>
      <c r="AE204" s="203">
        <v>1.4419999999999999</v>
      </c>
      <c r="AF204" s="198">
        <f t="shared" si="119"/>
        <v>73.589285714285708</v>
      </c>
      <c r="AG204" s="236"/>
    </row>
    <row r="205" spans="1:33" x14ac:dyDescent="0.2">
      <c r="A205" s="182" t="s">
        <v>189</v>
      </c>
      <c r="B205" s="17"/>
      <c r="C205" s="227"/>
      <c r="D205" s="213"/>
      <c r="E205" s="118" t="s">
        <v>199</v>
      </c>
      <c r="F205" s="18" t="s">
        <v>198</v>
      </c>
      <c r="G205" s="19">
        <v>42.075000000000003</v>
      </c>
      <c r="H205" s="124"/>
      <c r="I205" s="124"/>
      <c r="J205" s="18" t="s">
        <v>195</v>
      </c>
      <c r="K205" s="20">
        <v>72.875</v>
      </c>
      <c r="L205" s="249">
        <f t="shared" si="112"/>
        <v>6144</v>
      </c>
      <c r="M205" s="64">
        <f t="shared" si="113"/>
        <v>6912</v>
      </c>
      <c r="N205" s="65">
        <f t="shared" si="114"/>
        <v>164.27807486631016</v>
      </c>
      <c r="O205" s="65">
        <f t="shared" si="115"/>
        <v>146.02495543672012</v>
      </c>
      <c r="P205" s="65"/>
      <c r="Q205" s="65"/>
      <c r="R205" s="65"/>
      <c r="S205" s="65"/>
      <c r="T205" s="65">
        <v>329</v>
      </c>
      <c r="U205" s="65"/>
      <c r="V205" s="65">
        <v>16</v>
      </c>
      <c r="W205" s="65"/>
      <c r="X205" s="110">
        <v>1536</v>
      </c>
      <c r="Y205" s="81"/>
      <c r="Z205" s="141"/>
      <c r="AA205" s="371"/>
      <c r="AB205" s="54">
        <f t="shared" si="116"/>
        <v>384</v>
      </c>
      <c r="AC205" s="99">
        <f t="shared" si="117"/>
        <v>20.5625</v>
      </c>
      <c r="AD205" s="110">
        <f t="shared" si="118"/>
        <v>65536</v>
      </c>
      <c r="AE205" s="203">
        <v>1.8759999999999999</v>
      </c>
      <c r="AF205" s="198">
        <f t="shared" si="119"/>
        <v>73.66796875</v>
      </c>
      <c r="AG205" s="236"/>
    </row>
    <row r="206" spans="1:33" x14ac:dyDescent="0.2">
      <c r="A206" s="182" t="s">
        <v>189</v>
      </c>
      <c r="B206" s="17"/>
      <c r="C206" s="227"/>
      <c r="D206" s="213"/>
      <c r="E206" s="118" t="s">
        <v>200</v>
      </c>
      <c r="F206" s="18" t="s">
        <v>201</v>
      </c>
      <c r="G206" s="19">
        <v>65.67</v>
      </c>
      <c r="H206" s="124"/>
      <c r="I206" s="124"/>
      <c r="J206" s="18" t="s">
        <v>202</v>
      </c>
      <c r="K206" s="20">
        <v>198</v>
      </c>
      <c r="L206" s="249">
        <f t="shared" si="112"/>
        <v>9600</v>
      </c>
      <c r="M206" s="64">
        <f t="shared" si="113"/>
        <v>10800</v>
      </c>
      <c r="N206" s="65">
        <f t="shared" si="114"/>
        <v>164.45865692096848</v>
      </c>
      <c r="O206" s="65">
        <f t="shared" si="115"/>
        <v>146.18547281863866</v>
      </c>
      <c r="P206" s="65"/>
      <c r="Q206" s="65"/>
      <c r="R206" s="65"/>
      <c r="S206" s="65"/>
      <c r="T206" s="65">
        <v>410</v>
      </c>
      <c r="U206" s="65"/>
      <c r="V206" s="65">
        <v>40</v>
      </c>
      <c r="W206" s="65"/>
      <c r="X206" s="110">
        <v>2400</v>
      </c>
      <c r="Y206" s="81"/>
      <c r="Z206" s="141"/>
      <c r="AA206" s="371"/>
      <c r="AB206" s="54">
        <f t="shared" si="116"/>
        <v>240</v>
      </c>
      <c r="AC206" s="99">
        <f t="shared" si="117"/>
        <v>10.25</v>
      </c>
      <c r="AD206" s="110">
        <f t="shared" si="118"/>
        <v>163840</v>
      </c>
      <c r="AE206" s="203">
        <v>2.6930000000000001</v>
      </c>
      <c r="AF206" s="198">
        <f t="shared" si="119"/>
        <v>65.863541666666663</v>
      </c>
      <c r="AG206" s="236"/>
    </row>
    <row r="207" spans="1:33" ht="13.5" thickBot="1" x14ac:dyDescent="0.25">
      <c r="A207" s="182" t="s">
        <v>189</v>
      </c>
      <c r="B207" s="21"/>
      <c r="C207" s="228"/>
      <c r="D207" s="214"/>
      <c r="E207" s="146" t="s">
        <v>203</v>
      </c>
      <c r="F207" s="22" t="s">
        <v>204</v>
      </c>
      <c r="G207" s="23">
        <v>162.19499999999999</v>
      </c>
      <c r="H207" s="125"/>
      <c r="I207" s="125"/>
      <c r="J207" s="22" t="s">
        <v>202</v>
      </c>
      <c r="K207" s="24">
        <v>273.89999999999998</v>
      </c>
      <c r="L207" s="250">
        <f t="shared" si="112"/>
        <v>13824</v>
      </c>
      <c r="M207" s="67">
        <f t="shared" si="113"/>
        <v>15552</v>
      </c>
      <c r="N207" s="68">
        <f t="shared" si="114"/>
        <v>95.884583371867194</v>
      </c>
      <c r="O207" s="68">
        <f t="shared" si="115"/>
        <v>85.230740774993066</v>
      </c>
      <c r="P207" s="68"/>
      <c r="Q207" s="68"/>
      <c r="R207" s="68"/>
      <c r="S207" s="68"/>
      <c r="T207" s="68">
        <v>514</v>
      </c>
      <c r="U207" s="68"/>
      <c r="V207" s="68">
        <v>72</v>
      </c>
      <c r="W207" s="68"/>
      <c r="X207" s="111">
        <v>3456</v>
      </c>
      <c r="Y207" s="82"/>
      <c r="Z207" s="142"/>
      <c r="AA207" s="374"/>
      <c r="AB207" s="55">
        <f t="shared" si="116"/>
        <v>192</v>
      </c>
      <c r="AC207" s="100">
        <f t="shared" si="117"/>
        <v>7.1388888888888893</v>
      </c>
      <c r="AD207" s="111">
        <f t="shared" si="118"/>
        <v>294912</v>
      </c>
      <c r="AE207" s="204">
        <v>3.9620000000000002</v>
      </c>
      <c r="AF207" s="198">
        <f t="shared" si="119"/>
        <v>66.317418981481481</v>
      </c>
      <c r="AG207" s="236"/>
    </row>
    <row r="208" spans="1:33" x14ac:dyDescent="0.2">
      <c r="A208" s="182"/>
      <c r="B208" s="48" t="s">
        <v>715</v>
      </c>
      <c r="C208" s="226"/>
      <c r="D208" s="212"/>
      <c r="E208" s="12" t="s">
        <v>205</v>
      </c>
      <c r="F208" s="466" t="s">
        <v>1015</v>
      </c>
      <c r="G208" s="14" t="s">
        <v>21</v>
      </c>
      <c r="H208" s="132" t="s">
        <v>530</v>
      </c>
      <c r="I208" s="161"/>
      <c r="J208" s="136"/>
      <c r="K208" s="16" t="s">
        <v>22</v>
      </c>
      <c r="L208" s="244" t="s">
        <v>23</v>
      </c>
      <c r="M208" s="383" t="s">
        <v>696</v>
      </c>
      <c r="N208" s="380">
        <f>AVERAGE(N209:N224)</f>
        <v>337.91187179839028</v>
      </c>
      <c r="O208" s="382">
        <f>AVERAGE(O209:O224)</f>
        <v>0.3003661082652358</v>
      </c>
      <c r="P208" s="61"/>
      <c r="Q208" s="61" t="s">
        <v>92</v>
      </c>
      <c r="R208" s="61"/>
      <c r="S208" s="61"/>
      <c r="T208" s="61"/>
      <c r="U208" s="61" t="s">
        <v>187</v>
      </c>
      <c r="V208" s="62" t="s">
        <v>206</v>
      </c>
      <c r="W208" s="61" t="s">
        <v>587</v>
      </c>
      <c r="X208" s="109" t="s">
        <v>207</v>
      </c>
      <c r="Y208" s="215" t="s">
        <v>65</v>
      </c>
      <c r="Z208" s="164"/>
      <c r="AA208" s="372">
        <f>AVERAGE(AA209:AA224)</f>
        <v>573.56071428571431</v>
      </c>
      <c r="AB208" s="92">
        <f>AVERAGE(AB209:AB224)</f>
        <v>0.51543174603174591</v>
      </c>
      <c r="AC208" s="98">
        <f>AVERAGE(AC209:AC224)</f>
        <v>18.191598462301592</v>
      </c>
      <c r="AD208" s="109" t="s">
        <v>650</v>
      </c>
      <c r="AE208" s="201"/>
      <c r="AF208" s="196">
        <f>AVERAGE(AF209:AF224)</f>
        <v>53.200664930042194</v>
      </c>
      <c r="AG208" s="237" t="s">
        <v>208</v>
      </c>
    </row>
    <row r="209" spans="1:33" x14ac:dyDescent="0.2">
      <c r="A209" s="182" t="s">
        <v>189</v>
      </c>
      <c r="B209" s="17"/>
      <c r="C209" s="227"/>
      <c r="D209" s="213"/>
      <c r="E209" s="134" t="s">
        <v>209</v>
      </c>
      <c r="F209" s="18" t="s">
        <v>210</v>
      </c>
      <c r="G209" s="19">
        <v>8.4149999999999991</v>
      </c>
      <c r="H209" s="124">
        <v>8</v>
      </c>
      <c r="I209" s="162">
        <v>89</v>
      </c>
      <c r="J209" s="138" t="s">
        <v>211</v>
      </c>
      <c r="K209" s="20">
        <v>15.29</v>
      </c>
      <c r="L209" s="460">
        <f t="shared" ref="L209:L224" si="120">8*X209/1000</f>
        <v>1.536</v>
      </c>
      <c r="M209" s="235">
        <f t="shared" ref="M209:M224" si="121">9*X209/1000</f>
        <v>1.728</v>
      </c>
      <c r="N209" s="282">
        <f t="shared" ref="N209:N224" si="122">IF(AND(G209&lt;&gt;"",M209&lt;&gt;""),1000*M209/G209,"")</f>
        <v>205.34759358288773</v>
      </c>
      <c r="O209" s="65">
        <f t="shared" ref="O209:O224" si="123">IF(AND(G209&lt;&gt;"",L209&lt;&gt;""),L209/G209,"")</f>
        <v>0.1825311942959002</v>
      </c>
      <c r="P209" s="65"/>
      <c r="Q209" s="65">
        <v>4</v>
      </c>
      <c r="R209" s="65">
        <v>2</v>
      </c>
      <c r="S209" s="65"/>
      <c r="T209" s="65">
        <v>124</v>
      </c>
      <c r="U209" s="65"/>
      <c r="V209" s="65">
        <v>4</v>
      </c>
      <c r="W209" s="154"/>
      <c r="X209" s="110">
        <v>192</v>
      </c>
      <c r="Y209" s="216">
        <v>2.95</v>
      </c>
      <c r="Z209" s="141">
        <f t="shared" ref="Z209:Z224" si="124">IF(AND(L209&lt;&gt;"",Y209&lt;&gt;""),1000*L209/Y209,"")</f>
        <v>520.67796610169489</v>
      </c>
      <c r="AA209" s="371">
        <f t="shared" ref="AA209:AA224" si="125">1000*M209/Q209</f>
        <v>432</v>
      </c>
      <c r="AB209" s="54">
        <f t="shared" ref="AB209:AB224" si="126">L209/V209</f>
        <v>0.38400000000000001</v>
      </c>
      <c r="AC209" s="99">
        <f t="shared" ref="AC209:AC224" si="127">T209/V209</f>
        <v>31</v>
      </c>
      <c r="AD209" s="191">
        <f t="shared" ref="AD209:AD224" si="128">512*36*V209/1000000</f>
        <v>7.3728000000000002E-2</v>
      </c>
      <c r="AE209" s="197">
        <v>0.437</v>
      </c>
      <c r="AF209" s="198">
        <f t="shared" ref="AF209:AF224" si="129">(AE209*1000000-V209*36*512)/(4000*L209)</f>
        <v>59.126302083333336</v>
      </c>
      <c r="AG209" s="236"/>
    </row>
    <row r="210" spans="1:33" x14ac:dyDescent="0.2">
      <c r="A210" s="182" t="s">
        <v>189</v>
      </c>
      <c r="B210" s="17"/>
      <c r="C210" s="227"/>
      <c r="D210" s="213"/>
      <c r="E210" s="118" t="s">
        <v>534</v>
      </c>
      <c r="F210" s="18" t="s">
        <v>607</v>
      </c>
      <c r="G210" s="19">
        <v>12.0625</v>
      </c>
      <c r="H210" s="124">
        <v>17</v>
      </c>
      <c r="I210" s="162">
        <v>144</v>
      </c>
      <c r="J210" s="138"/>
      <c r="K210" s="20"/>
      <c r="L210" s="460">
        <f t="shared" si="120"/>
        <v>1.4079999999999999</v>
      </c>
      <c r="M210" s="235">
        <f t="shared" si="121"/>
        <v>1.5840000000000001</v>
      </c>
      <c r="N210" s="282">
        <f t="shared" si="122"/>
        <v>131.31606217616581</v>
      </c>
      <c r="O210" s="65">
        <f t="shared" si="123"/>
        <v>0.11672538860103626</v>
      </c>
      <c r="P210" s="65"/>
      <c r="Q210" s="65">
        <v>3</v>
      </c>
      <c r="R210" s="65">
        <v>2</v>
      </c>
      <c r="S210" s="65"/>
      <c r="T210" s="65">
        <v>144</v>
      </c>
      <c r="U210" s="65"/>
      <c r="V210" s="65">
        <v>3</v>
      </c>
      <c r="W210" s="154">
        <v>1.0813440000000001</v>
      </c>
      <c r="X210" s="110">
        <v>176</v>
      </c>
      <c r="Y210" s="216">
        <v>1.5</v>
      </c>
      <c r="Z210" s="141">
        <f t="shared" si="124"/>
        <v>938.66666666666663</v>
      </c>
      <c r="AA210" s="371">
        <f t="shared" si="125"/>
        <v>528</v>
      </c>
      <c r="AB210" s="54">
        <f t="shared" si="126"/>
        <v>0.46933333333333332</v>
      </c>
      <c r="AC210" s="99">
        <f t="shared" si="127"/>
        <v>48</v>
      </c>
      <c r="AD210" s="191">
        <f t="shared" si="128"/>
        <v>5.5295999999999998E-2</v>
      </c>
      <c r="AE210" s="197">
        <v>0.439</v>
      </c>
      <c r="AF210" s="198">
        <f t="shared" si="129"/>
        <v>68.12926136363636</v>
      </c>
      <c r="AG210" s="236" t="s">
        <v>583</v>
      </c>
    </row>
    <row r="211" spans="1:33" x14ac:dyDescent="0.2">
      <c r="A211" s="182" t="s">
        <v>189</v>
      </c>
      <c r="B211" s="17"/>
      <c r="C211" s="227"/>
      <c r="D211" s="213"/>
      <c r="E211" s="118" t="s">
        <v>212</v>
      </c>
      <c r="F211" s="18" t="s">
        <v>210</v>
      </c>
      <c r="G211" s="19">
        <v>9.8800000000000008</v>
      </c>
      <c r="H211" s="124">
        <v>8</v>
      </c>
      <c r="I211" s="162">
        <v>83</v>
      </c>
      <c r="J211" s="138" t="s">
        <v>218</v>
      </c>
      <c r="K211" s="20">
        <v>11.57</v>
      </c>
      <c r="L211" s="460">
        <f t="shared" si="120"/>
        <v>1.92</v>
      </c>
      <c r="M211" s="235">
        <f t="shared" si="121"/>
        <v>2.16</v>
      </c>
      <c r="N211" s="282">
        <f t="shared" si="122"/>
        <v>218.62348178137651</v>
      </c>
      <c r="O211" s="65">
        <f t="shared" si="123"/>
        <v>0.19433198380566799</v>
      </c>
      <c r="P211" s="65"/>
      <c r="Q211" s="65">
        <v>4</v>
      </c>
      <c r="R211" s="65"/>
      <c r="S211" s="65"/>
      <c r="T211" s="65">
        <v>108</v>
      </c>
      <c r="U211" s="65"/>
      <c r="V211" s="65">
        <v>4</v>
      </c>
      <c r="W211" s="154"/>
      <c r="X211" s="110">
        <v>240</v>
      </c>
      <c r="Y211" s="216">
        <v>2</v>
      </c>
      <c r="Z211" s="141">
        <f t="shared" si="124"/>
        <v>960</v>
      </c>
      <c r="AA211" s="371">
        <f t="shared" si="125"/>
        <v>540</v>
      </c>
      <c r="AB211" s="54">
        <f t="shared" si="126"/>
        <v>0.48</v>
      </c>
      <c r="AC211" s="99">
        <f t="shared" si="127"/>
        <v>27</v>
      </c>
      <c r="AD211" s="191">
        <f t="shared" si="128"/>
        <v>7.3728000000000002E-2</v>
      </c>
      <c r="AE211" s="197">
        <v>0.58099999999999996</v>
      </c>
      <c r="AF211" s="198">
        <f t="shared" si="129"/>
        <v>66.051041666666663</v>
      </c>
      <c r="AG211" s="236"/>
    </row>
    <row r="212" spans="1:33" x14ac:dyDescent="0.2">
      <c r="A212" s="182" t="s">
        <v>189</v>
      </c>
      <c r="B212" s="17"/>
      <c r="C212" s="227"/>
      <c r="D212" s="213"/>
      <c r="E212" s="118" t="s">
        <v>213</v>
      </c>
      <c r="F212" s="18" t="s">
        <v>214</v>
      </c>
      <c r="G212" s="19">
        <v>11.22</v>
      </c>
      <c r="H212" s="124">
        <v>16</v>
      </c>
      <c r="I212" s="162">
        <v>63</v>
      </c>
      <c r="J212" s="138" t="s">
        <v>215</v>
      </c>
      <c r="K212" s="20">
        <v>32.340000000000003</v>
      </c>
      <c r="L212" s="460">
        <f t="shared" si="120"/>
        <v>3.84</v>
      </c>
      <c r="M212" s="235">
        <f t="shared" si="121"/>
        <v>4.32</v>
      </c>
      <c r="N212" s="282">
        <f t="shared" si="122"/>
        <v>385.02673796791441</v>
      </c>
      <c r="O212" s="65">
        <f t="shared" si="123"/>
        <v>0.34224598930481281</v>
      </c>
      <c r="P212" s="65"/>
      <c r="Q212" s="65">
        <v>12</v>
      </c>
      <c r="R212" s="65">
        <v>4</v>
      </c>
      <c r="S212" s="65"/>
      <c r="T212" s="65">
        <v>173</v>
      </c>
      <c r="U212" s="65"/>
      <c r="V212" s="65">
        <v>12</v>
      </c>
      <c r="W212" s="154"/>
      <c r="X212" s="110">
        <v>480</v>
      </c>
      <c r="Y212" s="216">
        <v>4</v>
      </c>
      <c r="Z212" s="141">
        <f t="shared" si="124"/>
        <v>960</v>
      </c>
      <c r="AA212" s="371">
        <f t="shared" si="125"/>
        <v>360</v>
      </c>
      <c r="AB212" s="54">
        <f t="shared" si="126"/>
        <v>0.32</v>
      </c>
      <c r="AC212" s="99">
        <f t="shared" si="127"/>
        <v>14.416666666666666</v>
      </c>
      <c r="AD212" s="191">
        <f t="shared" si="128"/>
        <v>0.22118399999999999</v>
      </c>
      <c r="AE212" s="197">
        <v>1.0469999999999999</v>
      </c>
      <c r="AF212" s="198">
        <f t="shared" si="129"/>
        <v>53.764062499999994</v>
      </c>
      <c r="AG212" s="236"/>
    </row>
    <row r="213" spans="1:33" x14ac:dyDescent="0.2">
      <c r="A213" s="182" t="s">
        <v>189</v>
      </c>
      <c r="B213" s="17"/>
      <c r="C213" s="227"/>
      <c r="D213" s="213"/>
      <c r="E213" s="118" t="s">
        <v>535</v>
      </c>
      <c r="F213" s="18" t="s">
        <v>222</v>
      </c>
      <c r="G213" s="19">
        <v>18.8125</v>
      </c>
      <c r="H213" s="124">
        <v>17</v>
      </c>
      <c r="I213" s="162">
        <v>195</v>
      </c>
      <c r="J213" s="138"/>
      <c r="K213" s="20"/>
      <c r="L213" s="460">
        <f t="shared" si="120"/>
        <v>3.5840000000000001</v>
      </c>
      <c r="M213" s="235">
        <f t="shared" si="121"/>
        <v>4.032</v>
      </c>
      <c r="N213" s="282">
        <f t="shared" si="122"/>
        <v>214.32558139534885</v>
      </c>
      <c r="O213" s="65">
        <f t="shared" si="123"/>
        <v>0.19051162790697676</v>
      </c>
      <c r="P213" s="65"/>
      <c r="Q213" s="65">
        <v>16</v>
      </c>
      <c r="R213" s="65">
        <v>4</v>
      </c>
      <c r="S213" s="65"/>
      <c r="T213" s="65">
        <v>248</v>
      </c>
      <c r="U213" s="65"/>
      <c r="V213" s="65">
        <v>16</v>
      </c>
      <c r="W213" s="154">
        <v>4.3253760000000003</v>
      </c>
      <c r="X213" s="110">
        <v>448</v>
      </c>
      <c r="Y213" s="216">
        <v>3</v>
      </c>
      <c r="Z213" s="141">
        <f t="shared" si="124"/>
        <v>1194.6666666666667</v>
      </c>
      <c r="AA213" s="371">
        <f t="shared" si="125"/>
        <v>252</v>
      </c>
      <c r="AB213" s="54">
        <f t="shared" si="126"/>
        <v>0.224</v>
      </c>
      <c r="AC213" s="99">
        <f t="shared" si="127"/>
        <v>15.5</v>
      </c>
      <c r="AD213" s="191">
        <f t="shared" si="128"/>
        <v>0.29491200000000001</v>
      </c>
      <c r="AE213" s="197">
        <v>1.196</v>
      </c>
      <c r="AF213" s="198">
        <f t="shared" si="129"/>
        <v>62.854910714285715</v>
      </c>
      <c r="AG213" s="236" t="s">
        <v>583</v>
      </c>
    </row>
    <row r="214" spans="1:33" x14ac:dyDescent="0.2">
      <c r="A214" s="182" t="s">
        <v>189</v>
      </c>
      <c r="B214" s="17"/>
      <c r="C214" s="227"/>
      <c r="D214" s="213"/>
      <c r="E214" s="118" t="s">
        <v>216</v>
      </c>
      <c r="F214" s="18" t="s">
        <v>452</v>
      </c>
      <c r="G214" s="19">
        <v>19.059999999999999</v>
      </c>
      <c r="H214" s="124">
        <v>8</v>
      </c>
      <c r="I214" s="162">
        <v>92</v>
      </c>
      <c r="J214" s="138" t="s">
        <v>222</v>
      </c>
      <c r="K214" s="20">
        <v>21.06</v>
      </c>
      <c r="L214" s="460">
        <f t="shared" si="120"/>
        <v>4.8959999999999999</v>
      </c>
      <c r="M214" s="235">
        <f t="shared" si="121"/>
        <v>5.508</v>
      </c>
      <c r="N214" s="282">
        <f t="shared" si="122"/>
        <v>288.98216159496332</v>
      </c>
      <c r="O214" s="65">
        <f t="shared" si="123"/>
        <v>0.25687303252885624</v>
      </c>
      <c r="P214" s="65"/>
      <c r="Q214" s="65">
        <v>12</v>
      </c>
      <c r="R214" s="65"/>
      <c r="S214" s="65"/>
      <c r="T214" s="65">
        <v>172</v>
      </c>
      <c r="U214" s="65"/>
      <c r="V214" s="65">
        <v>12</v>
      </c>
      <c r="W214" s="154"/>
      <c r="X214" s="110">
        <v>612</v>
      </c>
      <c r="Y214" s="216"/>
      <c r="Z214" s="141" t="str">
        <f t="shared" si="124"/>
        <v/>
      </c>
      <c r="AA214" s="371">
        <f t="shared" si="125"/>
        <v>459</v>
      </c>
      <c r="AB214" s="54">
        <f t="shared" si="126"/>
        <v>0.40799999999999997</v>
      </c>
      <c r="AC214" s="99">
        <f t="shared" si="127"/>
        <v>14.333333333333334</v>
      </c>
      <c r="AD214" s="191">
        <f t="shared" si="128"/>
        <v>0.22118399999999999</v>
      </c>
      <c r="AE214" s="197">
        <v>1.3540000000000001</v>
      </c>
      <c r="AF214" s="198">
        <f t="shared" si="129"/>
        <v>57.843954248366011</v>
      </c>
      <c r="AG214" s="236"/>
    </row>
    <row r="215" spans="1:33" x14ac:dyDescent="0.2">
      <c r="A215" s="182" t="s">
        <v>189</v>
      </c>
      <c r="B215" s="17"/>
      <c r="C215" s="227"/>
      <c r="D215" s="213"/>
      <c r="E215" s="118" t="s">
        <v>217</v>
      </c>
      <c r="F215" s="18" t="s">
        <v>218</v>
      </c>
      <c r="G215" s="19">
        <v>18.260000000000002</v>
      </c>
      <c r="H215" s="124">
        <v>17</v>
      </c>
      <c r="I215" s="162">
        <v>173</v>
      </c>
      <c r="J215" s="138" t="s">
        <v>219</v>
      </c>
      <c r="K215" s="20">
        <v>59.564999999999998</v>
      </c>
      <c r="L215" s="460">
        <f t="shared" si="120"/>
        <v>7.1680000000000001</v>
      </c>
      <c r="M215" s="235">
        <f t="shared" si="121"/>
        <v>8.0640000000000001</v>
      </c>
      <c r="N215" s="282">
        <f t="shared" si="122"/>
        <v>441.62102957283679</v>
      </c>
      <c r="O215" s="65">
        <f t="shared" si="123"/>
        <v>0.392552026286966</v>
      </c>
      <c r="P215" s="65"/>
      <c r="Q215" s="65">
        <v>16</v>
      </c>
      <c r="R215" s="65">
        <v>4</v>
      </c>
      <c r="S215" s="65"/>
      <c r="T215" s="65">
        <v>264</v>
      </c>
      <c r="U215" s="65"/>
      <c r="V215" s="65">
        <v>16</v>
      </c>
      <c r="W215" s="154"/>
      <c r="X215" s="110">
        <v>896</v>
      </c>
      <c r="Y215" s="216">
        <v>6.5</v>
      </c>
      <c r="Z215" s="141">
        <f t="shared" si="124"/>
        <v>1102.7692307692307</v>
      </c>
      <c r="AA215" s="371">
        <f t="shared" si="125"/>
        <v>504</v>
      </c>
      <c r="AB215" s="54">
        <f t="shared" si="126"/>
        <v>0.44800000000000001</v>
      </c>
      <c r="AC215" s="99">
        <f t="shared" si="127"/>
        <v>16.5</v>
      </c>
      <c r="AD215" s="191">
        <f t="shared" si="128"/>
        <v>0.29491200000000001</v>
      </c>
      <c r="AE215" s="197">
        <v>1.6990000000000001</v>
      </c>
      <c r="AF215" s="198">
        <f t="shared" si="129"/>
        <v>48.970703125</v>
      </c>
      <c r="AG215" s="236"/>
    </row>
    <row r="216" spans="1:33" x14ac:dyDescent="0.2">
      <c r="A216" s="182" t="s">
        <v>189</v>
      </c>
      <c r="B216" s="17"/>
      <c r="C216" s="227"/>
      <c r="D216" s="213"/>
      <c r="E216" s="118" t="s">
        <v>536</v>
      </c>
      <c r="F216" s="18" t="s">
        <v>606</v>
      </c>
      <c r="G216" s="19">
        <v>30.5625</v>
      </c>
      <c r="H216" s="124">
        <v>17</v>
      </c>
      <c r="I216" s="162">
        <v>195</v>
      </c>
      <c r="J216" s="138"/>
      <c r="K216" s="20"/>
      <c r="L216" s="460">
        <f t="shared" si="120"/>
        <v>7.1680000000000001</v>
      </c>
      <c r="M216" s="235">
        <f t="shared" si="121"/>
        <v>8.0640000000000001</v>
      </c>
      <c r="N216" s="282">
        <f t="shared" si="122"/>
        <v>263.85276073619633</v>
      </c>
      <c r="O216" s="65">
        <f t="shared" si="123"/>
        <v>0.23453578732106339</v>
      </c>
      <c r="P216" s="65"/>
      <c r="Q216" s="65">
        <v>20</v>
      </c>
      <c r="R216" s="65">
        <v>4</v>
      </c>
      <c r="S216" s="65"/>
      <c r="T216" s="65">
        <v>311</v>
      </c>
      <c r="U216" s="65"/>
      <c r="V216" s="65">
        <v>16</v>
      </c>
      <c r="W216" s="154">
        <v>4.3253760000000003</v>
      </c>
      <c r="X216" s="110">
        <v>896</v>
      </c>
      <c r="Y216" s="216"/>
      <c r="Z216" s="141" t="str">
        <f t="shared" si="124"/>
        <v/>
      </c>
      <c r="AA216" s="371">
        <f t="shared" si="125"/>
        <v>403.2</v>
      </c>
      <c r="AB216" s="54">
        <f t="shared" si="126"/>
        <v>0.44800000000000001</v>
      </c>
      <c r="AC216" s="99">
        <f t="shared" si="127"/>
        <v>19.4375</v>
      </c>
      <c r="AD216" s="191">
        <f t="shared" si="128"/>
        <v>0.29491200000000001</v>
      </c>
      <c r="AE216" s="197">
        <v>1.8859999999999999</v>
      </c>
      <c r="AF216" s="198">
        <f t="shared" si="129"/>
        <v>55.492745535714285</v>
      </c>
      <c r="AG216" s="236" t="s">
        <v>583</v>
      </c>
    </row>
    <row r="217" spans="1:33" x14ac:dyDescent="0.2">
      <c r="A217" s="182" t="s">
        <v>189</v>
      </c>
      <c r="B217" s="17"/>
      <c r="C217" s="227"/>
      <c r="D217" s="213"/>
      <c r="E217" s="118" t="s">
        <v>220</v>
      </c>
      <c r="F217" s="18" t="s">
        <v>453</v>
      </c>
      <c r="G217" s="19">
        <v>21.63</v>
      </c>
      <c r="H217" s="124">
        <v>8</v>
      </c>
      <c r="I217" s="162">
        <v>92</v>
      </c>
      <c r="J217" s="138" t="s">
        <v>222</v>
      </c>
      <c r="K217" s="20">
        <v>28.56</v>
      </c>
      <c r="L217" s="460">
        <f t="shared" si="120"/>
        <v>9.3119999999999994</v>
      </c>
      <c r="M217" s="235">
        <f t="shared" si="121"/>
        <v>10.476000000000001</v>
      </c>
      <c r="N217" s="282">
        <f t="shared" si="122"/>
        <v>484.32732316227464</v>
      </c>
      <c r="O217" s="65">
        <f t="shared" si="123"/>
        <v>0.43051317614424411</v>
      </c>
      <c r="P217" s="65"/>
      <c r="Q217" s="65">
        <v>20</v>
      </c>
      <c r="R217" s="65"/>
      <c r="S217" s="65"/>
      <c r="T217" s="65">
        <v>232</v>
      </c>
      <c r="U217" s="65"/>
      <c r="V217" s="65">
        <v>20</v>
      </c>
      <c r="W217" s="154"/>
      <c r="X217" s="110">
        <v>1164</v>
      </c>
      <c r="Y217" s="216"/>
      <c r="Z217" s="141" t="str">
        <f t="shared" si="124"/>
        <v/>
      </c>
      <c r="AA217" s="371">
        <f t="shared" si="125"/>
        <v>523.79999999999995</v>
      </c>
      <c r="AB217" s="54">
        <f t="shared" si="126"/>
        <v>0.46559999999999996</v>
      </c>
      <c r="AC217" s="99">
        <f t="shared" si="127"/>
        <v>11.6</v>
      </c>
      <c r="AD217" s="191">
        <f t="shared" si="128"/>
        <v>0.36864000000000002</v>
      </c>
      <c r="AE217" s="197">
        <v>2.27</v>
      </c>
      <c r="AF217" s="198">
        <f t="shared" si="129"/>
        <v>51.045962199312712</v>
      </c>
      <c r="AG217" s="236"/>
    </row>
    <row r="218" spans="1:33" x14ac:dyDescent="0.2">
      <c r="A218" s="182" t="s">
        <v>189</v>
      </c>
      <c r="B218" s="17"/>
      <c r="C218" s="227"/>
      <c r="D218" s="213"/>
      <c r="E218" s="118" t="s">
        <v>537</v>
      </c>
      <c r="F218" s="18" t="s">
        <v>605</v>
      </c>
      <c r="G218" s="19">
        <v>51.125</v>
      </c>
      <c r="H218" s="124">
        <v>21</v>
      </c>
      <c r="I218" s="162">
        <v>311</v>
      </c>
      <c r="J218" s="138"/>
      <c r="K218" s="20"/>
      <c r="L218" s="460">
        <f t="shared" si="120"/>
        <v>11.776</v>
      </c>
      <c r="M218" s="235">
        <f t="shared" si="121"/>
        <v>13.247999999999999</v>
      </c>
      <c r="N218" s="282">
        <f t="shared" si="122"/>
        <v>259.12958435207821</v>
      </c>
      <c r="O218" s="65">
        <f t="shared" si="123"/>
        <v>0.23033740831295843</v>
      </c>
      <c r="P218" s="65"/>
      <c r="Q218" s="65">
        <v>20</v>
      </c>
      <c r="R218" s="65">
        <v>8</v>
      </c>
      <c r="S218" s="65"/>
      <c r="T218" s="65">
        <v>372</v>
      </c>
      <c r="U218" s="65"/>
      <c r="V218" s="65">
        <v>20</v>
      </c>
      <c r="W218" s="154">
        <v>8.6507520000000007</v>
      </c>
      <c r="X218" s="110">
        <v>1472</v>
      </c>
      <c r="Y218" s="216">
        <v>6</v>
      </c>
      <c r="Z218" s="141">
        <f t="shared" si="124"/>
        <v>1962.6666666666667</v>
      </c>
      <c r="AA218" s="371">
        <f t="shared" si="125"/>
        <v>662.4</v>
      </c>
      <c r="AB218" s="54">
        <f t="shared" si="126"/>
        <v>0.58879999999999999</v>
      </c>
      <c r="AC218" s="99">
        <f t="shared" si="127"/>
        <v>18.600000000000001</v>
      </c>
      <c r="AD218" s="191">
        <f t="shared" si="128"/>
        <v>0.36864000000000002</v>
      </c>
      <c r="AE218" s="197">
        <v>2.7320000000000002</v>
      </c>
      <c r="AF218" s="198">
        <f t="shared" si="129"/>
        <v>50.173233695652172</v>
      </c>
      <c r="AG218" s="236" t="s">
        <v>583</v>
      </c>
    </row>
    <row r="219" spans="1:33" x14ac:dyDescent="0.2">
      <c r="A219" s="182" t="s">
        <v>189</v>
      </c>
      <c r="B219" s="17"/>
      <c r="C219" s="227"/>
      <c r="D219" s="213"/>
      <c r="E219" s="118" t="s">
        <v>221</v>
      </c>
      <c r="F219" s="18" t="s">
        <v>222</v>
      </c>
      <c r="G219" s="19">
        <v>38.774999999999999</v>
      </c>
      <c r="H219" s="124">
        <v>17</v>
      </c>
      <c r="I219" s="162">
        <v>173</v>
      </c>
      <c r="J219" s="138" t="s">
        <v>359</v>
      </c>
      <c r="K219" s="20">
        <v>108.295</v>
      </c>
      <c r="L219" s="460">
        <f t="shared" si="120"/>
        <v>15.36</v>
      </c>
      <c r="M219" s="235">
        <f t="shared" si="121"/>
        <v>17.28</v>
      </c>
      <c r="N219" s="282">
        <f t="shared" si="122"/>
        <v>445.64796905222437</v>
      </c>
      <c r="O219" s="65">
        <f t="shared" si="123"/>
        <v>0.39613152804642165</v>
      </c>
      <c r="P219" s="65"/>
      <c r="Q219" s="65">
        <v>24</v>
      </c>
      <c r="R219" s="65">
        <v>4</v>
      </c>
      <c r="S219" s="65"/>
      <c r="T219" s="65">
        <v>391</v>
      </c>
      <c r="U219" s="65"/>
      <c r="V219" s="65">
        <v>24</v>
      </c>
      <c r="W219" s="154"/>
      <c r="X219" s="110">
        <v>1920</v>
      </c>
      <c r="Y219" s="216">
        <v>12</v>
      </c>
      <c r="Z219" s="141">
        <f t="shared" si="124"/>
        <v>1280</v>
      </c>
      <c r="AA219" s="371">
        <f t="shared" si="125"/>
        <v>720</v>
      </c>
      <c r="AB219" s="54">
        <f t="shared" si="126"/>
        <v>0.64</v>
      </c>
      <c r="AC219" s="99">
        <f t="shared" si="127"/>
        <v>16.291666666666668</v>
      </c>
      <c r="AD219" s="191">
        <f t="shared" si="128"/>
        <v>0.44236799999999998</v>
      </c>
      <c r="AE219" s="197">
        <v>3.2229999999999999</v>
      </c>
      <c r="AF219" s="198">
        <f t="shared" si="129"/>
        <v>45.257682291666669</v>
      </c>
      <c r="AG219" s="236"/>
    </row>
    <row r="220" spans="1:33" x14ac:dyDescent="0.2">
      <c r="A220" s="182" t="s">
        <v>189</v>
      </c>
      <c r="B220" s="17"/>
      <c r="C220" s="227"/>
      <c r="D220" s="213"/>
      <c r="E220" s="118" t="s">
        <v>223</v>
      </c>
      <c r="F220" s="18" t="s">
        <v>454</v>
      </c>
      <c r="G220" s="19">
        <v>52.38</v>
      </c>
      <c r="H220" s="124">
        <v>17</v>
      </c>
      <c r="I220" s="162">
        <v>190</v>
      </c>
      <c r="J220" s="138"/>
      <c r="K220" s="20"/>
      <c r="L220" s="460">
        <f t="shared" si="120"/>
        <v>17.344000000000001</v>
      </c>
      <c r="M220" s="235">
        <f t="shared" si="121"/>
        <v>19.512</v>
      </c>
      <c r="N220" s="282">
        <f t="shared" si="122"/>
        <v>372.50859106529208</v>
      </c>
      <c r="O220" s="65">
        <f t="shared" si="123"/>
        <v>0.331118747613593</v>
      </c>
      <c r="P220" s="65"/>
      <c r="Q220" s="65">
        <v>28</v>
      </c>
      <c r="R220" s="65"/>
      <c r="S220" s="65"/>
      <c r="T220" s="65">
        <v>304</v>
      </c>
      <c r="U220" s="65"/>
      <c r="V220" s="65">
        <v>28</v>
      </c>
      <c r="W220" s="154"/>
      <c r="X220" s="110">
        <v>2168</v>
      </c>
      <c r="Y220" s="216">
        <v>9</v>
      </c>
      <c r="Z220" s="141">
        <f t="shared" si="124"/>
        <v>1927.1111111111111</v>
      </c>
      <c r="AA220" s="371">
        <f t="shared" si="125"/>
        <v>696.85714285714289</v>
      </c>
      <c r="AB220" s="54">
        <f t="shared" si="126"/>
        <v>0.61942857142857144</v>
      </c>
      <c r="AC220" s="99">
        <f t="shared" si="127"/>
        <v>10.857142857142858</v>
      </c>
      <c r="AD220" s="191">
        <f t="shared" si="128"/>
        <v>0.516096</v>
      </c>
      <c r="AE220" s="197">
        <v>3.8410000000000002</v>
      </c>
      <c r="AF220" s="198">
        <f t="shared" si="129"/>
        <v>47.925853321033209</v>
      </c>
      <c r="AG220" s="236"/>
    </row>
    <row r="221" spans="1:33" x14ac:dyDescent="0.2">
      <c r="A221" s="182" t="s">
        <v>189</v>
      </c>
      <c r="B221" s="17"/>
      <c r="C221" s="227"/>
      <c r="D221" s="213"/>
      <c r="E221" s="118" t="s">
        <v>538</v>
      </c>
      <c r="F221" s="18" t="s">
        <v>604</v>
      </c>
      <c r="G221" s="19">
        <v>70.8125</v>
      </c>
      <c r="H221" s="124">
        <v>23</v>
      </c>
      <c r="I221" s="162">
        <v>375</v>
      </c>
      <c r="J221" s="138"/>
      <c r="K221" s="20"/>
      <c r="L221" s="460">
        <f t="shared" si="120"/>
        <v>22.527999999999999</v>
      </c>
      <c r="M221" s="235">
        <f t="shared" si="121"/>
        <v>25.344000000000001</v>
      </c>
      <c r="N221" s="282">
        <f t="shared" si="122"/>
        <v>357.90291262135923</v>
      </c>
      <c r="O221" s="65">
        <f t="shared" si="123"/>
        <v>0.31813592233009708</v>
      </c>
      <c r="P221" s="65"/>
      <c r="Q221" s="65">
        <v>32</v>
      </c>
      <c r="R221" s="65">
        <v>8</v>
      </c>
      <c r="S221" s="65"/>
      <c r="T221" s="65">
        <v>502</v>
      </c>
      <c r="U221" s="65"/>
      <c r="V221" s="65">
        <v>32</v>
      </c>
      <c r="W221" s="154">
        <v>1.7301504000000001</v>
      </c>
      <c r="X221" s="110">
        <v>2816</v>
      </c>
      <c r="Y221" s="216">
        <v>9</v>
      </c>
      <c r="Z221" s="141">
        <f t="shared" si="124"/>
        <v>2503.1111111111113</v>
      </c>
      <c r="AA221" s="371">
        <f t="shared" si="125"/>
        <v>792</v>
      </c>
      <c r="AB221" s="54">
        <f t="shared" si="126"/>
        <v>0.70399999999999996</v>
      </c>
      <c r="AC221" s="99">
        <f t="shared" si="127"/>
        <v>15.6875</v>
      </c>
      <c r="AD221" s="191">
        <f t="shared" si="128"/>
        <v>0.58982400000000001</v>
      </c>
      <c r="AE221" s="197">
        <v>4.7549999999999999</v>
      </c>
      <c r="AF221" s="198">
        <f t="shared" si="129"/>
        <v>46.222212357954547</v>
      </c>
      <c r="AG221" s="236" t="s">
        <v>793</v>
      </c>
    </row>
    <row r="222" spans="1:33" x14ac:dyDescent="0.2">
      <c r="A222" s="182" t="s">
        <v>189</v>
      </c>
      <c r="B222" s="17"/>
      <c r="C222" s="227"/>
      <c r="D222" s="213"/>
      <c r="E222" s="118" t="s">
        <v>224</v>
      </c>
      <c r="F222" s="18" t="s">
        <v>225</v>
      </c>
      <c r="G222" s="19">
        <v>61.545000000000002</v>
      </c>
      <c r="H222" s="124">
        <v>19</v>
      </c>
      <c r="I222" s="162">
        <v>221</v>
      </c>
      <c r="J222" s="139" t="s">
        <v>226</v>
      </c>
      <c r="K222" s="28">
        <v>152.9</v>
      </c>
      <c r="L222" s="460">
        <f t="shared" si="120"/>
        <v>26.623999999999999</v>
      </c>
      <c r="M222" s="235">
        <f t="shared" si="121"/>
        <v>29.952000000000002</v>
      </c>
      <c r="N222" s="282">
        <f t="shared" si="122"/>
        <v>486.66829149402872</v>
      </c>
      <c r="O222" s="65">
        <f t="shared" si="123"/>
        <v>0.43259403688358111</v>
      </c>
      <c r="P222" s="65"/>
      <c r="Q222" s="65">
        <v>32</v>
      </c>
      <c r="R222" s="65">
        <v>4</v>
      </c>
      <c r="S222" s="65"/>
      <c r="T222" s="65">
        <v>487</v>
      </c>
      <c r="U222" s="65"/>
      <c r="V222" s="65">
        <v>32</v>
      </c>
      <c r="W222" s="154"/>
      <c r="X222" s="110">
        <v>3328</v>
      </c>
      <c r="Y222" s="216">
        <v>18</v>
      </c>
      <c r="Z222" s="141">
        <f t="shared" si="124"/>
        <v>1479.1111111111111</v>
      </c>
      <c r="AA222" s="371">
        <f t="shared" si="125"/>
        <v>936</v>
      </c>
      <c r="AB222" s="57">
        <f t="shared" si="126"/>
        <v>0.83199999999999996</v>
      </c>
      <c r="AC222" s="101">
        <f t="shared" si="127"/>
        <v>15.21875</v>
      </c>
      <c r="AD222" s="191">
        <f t="shared" si="128"/>
        <v>0.58982400000000001</v>
      </c>
      <c r="AE222" s="197">
        <v>5.2140000000000004</v>
      </c>
      <c r="AF222" s="198">
        <f t="shared" si="129"/>
        <v>43.42112379807692</v>
      </c>
      <c r="AG222" s="236" t="s">
        <v>792</v>
      </c>
    </row>
    <row r="223" spans="1:33" x14ac:dyDescent="0.2">
      <c r="A223" s="182" t="s">
        <v>189</v>
      </c>
      <c r="B223" s="17"/>
      <c r="C223" s="227"/>
      <c r="D223" s="213"/>
      <c r="E223" s="118" t="s">
        <v>227</v>
      </c>
      <c r="F223" s="18" t="s">
        <v>225</v>
      </c>
      <c r="G223" s="19">
        <v>63.5</v>
      </c>
      <c r="H223" s="124">
        <v>19</v>
      </c>
      <c r="I223" s="162">
        <v>250</v>
      </c>
      <c r="J223" s="137"/>
      <c r="K223" s="32"/>
      <c r="L223" s="460">
        <f t="shared" si="120"/>
        <v>29.504000000000001</v>
      </c>
      <c r="M223" s="235">
        <f t="shared" si="121"/>
        <v>33.192</v>
      </c>
      <c r="N223" s="282">
        <f t="shared" si="122"/>
        <v>522.70866141732279</v>
      </c>
      <c r="O223" s="65">
        <f t="shared" si="123"/>
        <v>0.46462992125984254</v>
      </c>
      <c r="P223" s="65"/>
      <c r="Q223" s="65">
        <v>36</v>
      </c>
      <c r="R223" s="65"/>
      <c r="S223" s="65"/>
      <c r="T223" s="65">
        <v>376</v>
      </c>
      <c r="U223" s="65"/>
      <c r="V223" s="65">
        <v>36</v>
      </c>
      <c r="W223" s="154"/>
      <c r="X223" s="110">
        <v>3688</v>
      </c>
      <c r="Y223" s="216"/>
      <c r="Z223" s="141" t="str">
        <f t="shared" si="124"/>
        <v/>
      </c>
      <c r="AA223" s="371">
        <f t="shared" si="125"/>
        <v>922</v>
      </c>
      <c r="AB223" s="56">
        <f t="shared" si="126"/>
        <v>0.81955555555555559</v>
      </c>
      <c r="AC223" s="102">
        <f t="shared" si="127"/>
        <v>10.444444444444445</v>
      </c>
      <c r="AD223" s="191">
        <f t="shared" si="128"/>
        <v>0.66355200000000003</v>
      </c>
      <c r="AE223" s="197">
        <v>5.97</v>
      </c>
      <c r="AF223" s="198">
        <f t="shared" si="129"/>
        <v>44.963801518438181</v>
      </c>
      <c r="AG223" s="236"/>
    </row>
    <row r="224" spans="1:33" ht="13.5" thickBot="1" x14ac:dyDescent="0.25">
      <c r="A224" s="182" t="s">
        <v>189</v>
      </c>
      <c r="B224" s="17"/>
      <c r="C224" s="227"/>
      <c r="D224" s="213"/>
      <c r="E224" s="118" t="s">
        <v>503</v>
      </c>
      <c r="F224" s="18" t="s">
        <v>603</v>
      </c>
      <c r="G224" s="19">
        <v>113.9375</v>
      </c>
      <c r="H224" s="124">
        <v>19</v>
      </c>
      <c r="I224" s="162">
        <v>309</v>
      </c>
      <c r="J224" s="137"/>
      <c r="K224" s="32"/>
      <c r="L224" s="460">
        <f t="shared" si="120"/>
        <v>33.28</v>
      </c>
      <c r="M224" s="235">
        <f t="shared" si="121"/>
        <v>37.44</v>
      </c>
      <c r="N224" s="282">
        <f t="shared" si="122"/>
        <v>328.60120680197474</v>
      </c>
      <c r="O224" s="71">
        <f t="shared" si="123"/>
        <v>0.29208996160175538</v>
      </c>
      <c r="P224" s="71"/>
      <c r="Q224" s="71">
        <v>84</v>
      </c>
      <c r="R224" s="71">
        <v>8</v>
      </c>
      <c r="S224" s="71"/>
      <c r="T224" s="71">
        <v>519</v>
      </c>
      <c r="U224" s="71"/>
      <c r="V224" s="71">
        <v>84</v>
      </c>
      <c r="W224" s="154"/>
      <c r="X224" s="114">
        <v>4160</v>
      </c>
      <c r="Y224" s="216">
        <v>29.85</v>
      </c>
      <c r="Z224" s="141">
        <f t="shared" si="124"/>
        <v>1114.9078726968173</v>
      </c>
      <c r="AA224" s="371">
        <f t="shared" si="125"/>
        <v>445.71428571428572</v>
      </c>
      <c r="AB224" s="56">
        <f t="shared" si="126"/>
        <v>0.3961904761904762</v>
      </c>
      <c r="AC224" s="102">
        <f t="shared" si="127"/>
        <v>6.1785714285714288</v>
      </c>
      <c r="AD224" s="191">
        <f t="shared" si="128"/>
        <v>1.5482880000000001</v>
      </c>
      <c r="AE224" s="197">
        <v>8.1999999999999993</v>
      </c>
      <c r="AF224" s="198">
        <f t="shared" si="129"/>
        <v>49.967788461538454</v>
      </c>
      <c r="AG224" s="236" t="s">
        <v>794</v>
      </c>
    </row>
    <row r="225" spans="1:33" ht="13.5" thickBot="1" x14ac:dyDescent="0.25">
      <c r="A225" s="182"/>
      <c r="B225" s="48" t="s">
        <v>715</v>
      </c>
      <c r="C225" s="226"/>
      <c r="D225" s="212"/>
      <c r="E225" s="12" t="s">
        <v>233</v>
      </c>
      <c r="F225" s="466" t="s">
        <v>1016</v>
      </c>
      <c r="G225" s="14" t="s">
        <v>234</v>
      </c>
      <c r="H225" s="40" t="s">
        <v>512</v>
      </c>
      <c r="I225" s="161"/>
      <c r="J225" s="174"/>
      <c r="K225" s="175" t="s">
        <v>22</v>
      </c>
      <c r="L225" s="248" t="s">
        <v>23</v>
      </c>
      <c r="M225" s="383" t="s">
        <v>696</v>
      </c>
      <c r="N225" s="380">
        <f>AVERAGE(N226:N229)</f>
        <v>42.634946214160379</v>
      </c>
      <c r="O225" s="382">
        <f>AVERAGE(O226:O229)</f>
        <v>37.897729968142556</v>
      </c>
      <c r="P225" s="61"/>
      <c r="Q225" s="61" t="s">
        <v>92</v>
      </c>
      <c r="R225" s="61"/>
      <c r="S225" s="61"/>
      <c r="T225" s="61"/>
      <c r="U225" s="61" t="s">
        <v>187</v>
      </c>
      <c r="V225" s="62" t="s">
        <v>206</v>
      </c>
      <c r="W225" s="61"/>
      <c r="X225" s="109" t="s">
        <v>207</v>
      </c>
      <c r="Y225" s="215"/>
      <c r="Z225" s="164"/>
      <c r="AA225" s="370">
        <f>AVERAGE(AA226:AA229)</f>
        <v>162</v>
      </c>
      <c r="AB225" s="92">
        <f>AVERAGE(AB226:AB229)</f>
        <v>144</v>
      </c>
      <c r="AC225" s="98">
        <f>AVERAGE(AC226:AC229)</f>
        <v>13.395833333333334</v>
      </c>
      <c r="AD225" s="109" t="s">
        <v>650</v>
      </c>
      <c r="AE225" s="1167"/>
      <c r="AF225" s="1168">
        <f>AVERAGE(AF226:AF229)</f>
        <v>103.14876302083333</v>
      </c>
      <c r="AG225" s="237" t="s">
        <v>235</v>
      </c>
    </row>
    <row r="226" spans="1:33" ht="13.5" thickBot="1" x14ac:dyDescent="0.25">
      <c r="A226" s="182" t="s">
        <v>189</v>
      </c>
      <c r="B226" s="17"/>
      <c r="C226" s="227"/>
      <c r="D226" s="213"/>
      <c r="E226" s="118" t="s">
        <v>236</v>
      </c>
      <c r="F226" s="18" t="s">
        <v>237</v>
      </c>
      <c r="G226" s="19">
        <v>26.73</v>
      </c>
      <c r="H226" s="124"/>
      <c r="I226" s="162"/>
      <c r="J226" s="174" t="s">
        <v>238</v>
      </c>
      <c r="K226" s="176">
        <v>59.62</v>
      </c>
      <c r="L226" s="249">
        <f t="shared" ref="L226:L229" si="130">8*X226</f>
        <v>512</v>
      </c>
      <c r="M226" s="65">
        <f t="shared" ref="M226:M229" si="131">9*X226</f>
        <v>576</v>
      </c>
      <c r="N226" s="65">
        <f t="shared" ref="N226:N229" si="132">IF(AND(G226&lt;&gt;"",M226&lt;&gt;""),M226/G226,"")</f>
        <v>21.54882154882155</v>
      </c>
      <c r="O226" s="65">
        <f t="shared" ref="O226:O229" si="133">IF(AND(G226&lt;&gt;"",L226&lt;&gt;""),L226/G226,"")</f>
        <v>19.15450804339693</v>
      </c>
      <c r="P226" s="65"/>
      <c r="Q226" s="65">
        <v>4</v>
      </c>
      <c r="R226" s="65">
        <v>4</v>
      </c>
      <c r="S226" s="65"/>
      <c r="T226" s="65">
        <v>88</v>
      </c>
      <c r="U226" s="65"/>
      <c r="V226" s="65">
        <v>4</v>
      </c>
      <c r="W226" s="65"/>
      <c r="X226" s="110">
        <v>64</v>
      </c>
      <c r="Y226" s="216">
        <v>10</v>
      </c>
      <c r="Z226" s="141">
        <f t="shared" ref="Z226:Z229" si="134">IF(AND(L226&lt;&gt;"",Y226&lt;&gt;""),L226/Y226,"")</f>
        <v>51.2</v>
      </c>
      <c r="AA226" s="378">
        <f t="shared" ref="AA226:AA229" si="135">M226/Q226</f>
        <v>144</v>
      </c>
      <c r="AB226" s="54">
        <f t="shared" ref="AB226:AB229" si="136">L226/V226</f>
        <v>128</v>
      </c>
      <c r="AC226" s="99">
        <f t="shared" ref="AC226:AC229" si="137">T226/V226</f>
        <v>22</v>
      </c>
      <c r="AD226" s="191">
        <f t="shared" ref="AD226:AD229" si="138">512*36*V226/1000000</f>
        <v>7.3728000000000002E-2</v>
      </c>
      <c r="AE226" s="1169">
        <v>0.33820800000000001</v>
      </c>
      <c r="AF226" s="198">
        <f>(AE226*1000000-V226*36*512)/(4*L226)</f>
        <v>129.140625</v>
      </c>
      <c r="AG226" s="236"/>
    </row>
    <row r="227" spans="1:33" ht="13.5" thickBot="1" x14ac:dyDescent="0.25">
      <c r="A227" s="182" t="s">
        <v>189</v>
      </c>
      <c r="B227" s="17"/>
      <c r="C227" s="227"/>
      <c r="D227" s="213"/>
      <c r="E227" s="118" t="s">
        <v>239</v>
      </c>
      <c r="F227" s="18" t="s">
        <v>240</v>
      </c>
      <c r="G227" s="19">
        <v>28.324999999999999</v>
      </c>
      <c r="H227" s="124"/>
      <c r="I227" s="162"/>
      <c r="J227" s="174" t="s">
        <v>238</v>
      </c>
      <c r="K227" s="176">
        <v>75.844999999999999</v>
      </c>
      <c r="L227" s="249">
        <f t="shared" si="130"/>
        <v>1024</v>
      </c>
      <c r="M227" s="65">
        <f t="shared" si="131"/>
        <v>1152</v>
      </c>
      <c r="N227" s="65">
        <f t="shared" si="132"/>
        <v>40.670785525154457</v>
      </c>
      <c r="O227" s="65">
        <f t="shared" si="133"/>
        <v>36.151809355692855</v>
      </c>
      <c r="P227" s="65"/>
      <c r="Q227" s="65">
        <v>8</v>
      </c>
      <c r="R227" s="65">
        <v>4</v>
      </c>
      <c r="S227" s="65"/>
      <c r="T227" s="65">
        <v>120</v>
      </c>
      <c r="U227" s="65"/>
      <c r="V227" s="65">
        <v>8</v>
      </c>
      <c r="W227" s="65"/>
      <c r="X227" s="110">
        <v>128</v>
      </c>
      <c r="Y227" s="216"/>
      <c r="Z227" s="141" t="str">
        <f t="shared" si="134"/>
        <v/>
      </c>
      <c r="AA227" s="378">
        <f t="shared" si="135"/>
        <v>144</v>
      </c>
      <c r="AB227" s="54">
        <f t="shared" si="136"/>
        <v>128</v>
      </c>
      <c r="AC227" s="99">
        <f t="shared" si="137"/>
        <v>15</v>
      </c>
      <c r="AD227" s="191">
        <f t="shared" si="138"/>
        <v>0.147456</v>
      </c>
      <c r="AE227" s="1169">
        <v>0.59740800000000005</v>
      </c>
      <c r="AF227" s="198">
        <f t="shared" ref="AF227:AF229" si="139">(AE227*1000000-V227*36*512)/(4*L227)</f>
        <v>109.8515625</v>
      </c>
      <c r="AG227" s="236"/>
    </row>
    <row r="228" spans="1:33" ht="13.5" thickBot="1" x14ac:dyDescent="0.25">
      <c r="A228" s="182" t="s">
        <v>189</v>
      </c>
      <c r="B228" s="17"/>
      <c r="C228" s="227"/>
      <c r="D228" s="213"/>
      <c r="E228" s="118" t="s">
        <v>241</v>
      </c>
      <c r="F228" s="18" t="s">
        <v>237</v>
      </c>
      <c r="G228" s="19">
        <v>69.685000000000002</v>
      </c>
      <c r="H228" s="124"/>
      <c r="I228" s="162"/>
      <c r="J228" s="174" t="s">
        <v>204</v>
      </c>
      <c r="K228" s="176">
        <v>168.3</v>
      </c>
      <c r="L228" s="249">
        <f t="shared" si="130"/>
        <v>3072</v>
      </c>
      <c r="M228" s="65">
        <f t="shared" si="131"/>
        <v>3456</v>
      </c>
      <c r="N228" s="65">
        <f t="shared" si="132"/>
        <v>49.594604290736889</v>
      </c>
      <c r="O228" s="65">
        <f t="shared" si="133"/>
        <v>44.084092702877228</v>
      </c>
      <c r="P228" s="65"/>
      <c r="Q228" s="65">
        <v>24</v>
      </c>
      <c r="R228" s="65">
        <v>8</v>
      </c>
      <c r="S228" s="65"/>
      <c r="T228" s="65">
        <v>200</v>
      </c>
      <c r="U228" s="65"/>
      <c r="V228" s="65">
        <v>24</v>
      </c>
      <c r="W228" s="65"/>
      <c r="X228" s="110">
        <v>384</v>
      </c>
      <c r="Y228" s="216"/>
      <c r="Z228" s="141" t="str">
        <f t="shared" si="134"/>
        <v/>
      </c>
      <c r="AA228" s="378">
        <f t="shared" si="135"/>
        <v>144</v>
      </c>
      <c r="AB228" s="54">
        <f t="shared" si="136"/>
        <v>128</v>
      </c>
      <c r="AC228" s="99">
        <f t="shared" si="137"/>
        <v>8.3333333333333339</v>
      </c>
      <c r="AD228" s="191">
        <f t="shared" si="138"/>
        <v>0.44236799999999998</v>
      </c>
      <c r="AE228" s="1169">
        <v>1.5915840000000001</v>
      </c>
      <c r="AF228" s="198">
        <f t="shared" si="139"/>
        <v>93.5234375</v>
      </c>
      <c r="AG228" s="236"/>
    </row>
    <row r="229" spans="1:33" ht="13.5" thickBot="1" x14ac:dyDescent="0.25">
      <c r="A229" s="182" t="s">
        <v>189</v>
      </c>
      <c r="B229" s="17"/>
      <c r="C229" s="227"/>
      <c r="D229" s="213"/>
      <c r="E229" s="118" t="s">
        <v>242</v>
      </c>
      <c r="F229" s="18" t="s">
        <v>237</v>
      </c>
      <c r="G229" s="19">
        <v>117.7</v>
      </c>
      <c r="H229" s="124"/>
      <c r="I229" s="162"/>
      <c r="J229" s="174" t="s">
        <v>204</v>
      </c>
      <c r="K229" s="176">
        <v>288.2</v>
      </c>
      <c r="L229" s="249">
        <f t="shared" si="130"/>
        <v>6144</v>
      </c>
      <c r="M229" s="65">
        <f t="shared" si="131"/>
        <v>6912</v>
      </c>
      <c r="N229" s="65">
        <f t="shared" si="132"/>
        <v>58.725573491928628</v>
      </c>
      <c r="O229" s="65">
        <f t="shared" si="133"/>
        <v>52.200509770603226</v>
      </c>
      <c r="P229" s="65"/>
      <c r="Q229" s="65">
        <v>32</v>
      </c>
      <c r="R229" s="65">
        <v>8</v>
      </c>
      <c r="S229" s="65"/>
      <c r="T229" s="65">
        <v>264</v>
      </c>
      <c r="U229" s="65"/>
      <c r="V229" s="65">
        <v>32</v>
      </c>
      <c r="W229" s="65"/>
      <c r="X229" s="110">
        <v>768</v>
      </c>
      <c r="Y229" s="216"/>
      <c r="Z229" s="141" t="str">
        <f t="shared" si="134"/>
        <v/>
      </c>
      <c r="AA229" s="378">
        <f t="shared" si="135"/>
        <v>216</v>
      </c>
      <c r="AB229" s="54">
        <f t="shared" si="136"/>
        <v>192</v>
      </c>
      <c r="AC229" s="99">
        <f t="shared" si="137"/>
        <v>8.25</v>
      </c>
      <c r="AD229" s="191">
        <f t="shared" si="138"/>
        <v>0.58982400000000001</v>
      </c>
      <c r="AE229" s="1169">
        <v>2.5578560000000001</v>
      </c>
      <c r="AF229" s="198">
        <f t="shared" si="139"/>
        <v>80.079427083333329</v>
      </c>
      <c r="AG229" s="236"/>
    </row>
    <row r="230" spans="1:33" x14ac:dyDescent="0.2">
      <c r="A230" s="181"/>
      <c r="B230" s="48" t="s">
        <v>715</v>
      </c>
      <c r="C230" s="226"/>
      <c r="D230" s="212"/>
      <c r="E230" s="12" t="s">
        <v>259</v>
      </c>
      <c r="F230" s="466" t="s">
        <v>1016</v>
      </c>
      <c r="G230" s="14" t="s">
        <v>185</v>
      </c>
      <c r="H230" s="40" t="s">
        <v>512</v>
      </c>
      <c r="I230" s="161"/>
      <c r="J230" s="136"/>
      <c r="K230" s="16" t="s">
        <v>22</v>
      </c>
      <c r="L230" s="244" t="s">
        <v>23</v>
      </c>
      <c r="M230" s="383" t="s">
        <v>696</v>
      </c>
      <c r="N230" s="380">
        <f>AVERAGE(N231:N235)</f>
        <v>60.926677520352442</v>
      </c>
      <c r="O230" s="382">
        <f>AVERAGE(O231:O235)</f>
        <v>54.157046684757731</v>
      </c>
      <c r="P230" s="61" t="s">
        <v>260</v>
      </c>
      <c r="Q230" s="61" t="s">
        <v>92</v>
      </c>
      <c r="R230" s="61"/>
      <c r="S230" s="61" t="s">
        <v>103</v>
      </c>
      <c r="T230" s="61"/>
      <c r="U230" s="61" t="s">
        <v>187</v>
      </c>
      <c r="V230" s="62" t="s">
        <v>206</v>
      </c>
      <c r="W230" s="61"/>
      <c r="X230" s="109" t="s">
        <v>207</v>
      </c>
      <c r="Y230" s="80"/>
      <c r="Z230" s="164"/>
      <c r="AA230" s="92">
        <f>AVERAGE(AA231:AA235)</f>
        <v>244.31504965622611</v>
      </c>
      <c r="AB230" s="92">
        <f>AVERAGE(AB231:AB235)</f>
        <v>217.16893302775657</v>
      </c>
      <c r="AC230" s="98">
        <f>AVERAGE(AC231:AC234)</f>
        <v>11.209415584415584</v>
      </c>
      <c r="AD230" s="109" t="s">
        <v>650</v>
      </c>
      <c r="AE230" s="1167"/>
      <c r="AF230" s="1171">
        <f>AVERAGE(AF231:AF235)</f>
        <v>92.220205587373798</v>
      </c>
      <c r="AG230" s="268" t="s">
        <v>261</v>
      </c>
    </row>
    <row r="231" spans="1:33" x14ac:dyDescent="0.2">
      <c r="A231" s="182" t="s">
        <v>189</v>
      </c>
      <c r="B231" s="17"/>
      <c r="C231" s="227"/>
      <c r="D231" s="213"/>
      <c r="E231" s="118" t="s">
        <v>262</v>
      </c>
      <c r="F231" s="18" t="s">
        <v>263</v>
      </c>
      <c r="G231" s="19">
        <v>61.545000000000002</v>
      </c>
      <c r="H231" s="124"/>
      <c r="I231" s="162"/>
      <c r="J231" s="138" t="s">
        <v>264</v>
      </c>
      <c r="K231" s="20">
        <v>174.9</v>
      </c>
      <c r="L231" s="245">
        <f t="shared" ref="L231:L235" si="140">8*X231</f>
        <v>2816</v>
      </c>
      <c r="M231" s="64">
        <f t="shared" ref="M231:M235" si="141">9*X231</f>
        <v>3168</v>
      </c>
      <c r="N231" s="65">
        <f t="shared" ref="N231:N235" si="142">IF(AND(G231&lt;&gt;"",M231&lt;&gt;""),M231/G231,"")</f>
        <v>51.474530831099194</v>
      </c>
      <c r="O231" s="65">
        <f t="shared" ref="O231:O235" si="143">IF(AND(G231&lt;&gt;"",L231&lt;&gt;""),L231/G231,"")</f>
        <v>45.755138516532618</v>
      </c>
      <c r="P231" s="65">
        <v>0</v>
      </c>
      <c r="Q231" s="65">
        <v>12</v>
      </c>
      <c r="R231" s="65">
        <v>4</v>
      </c>
      <c r="S231" s="65">
        <v>4</v>
      </c>
      <c r="T231" s="65">
        <v>204</v>
      </c>
      <c r="U231" s="65"/>
      <c r="V231" s="65">
        <v>12</v>
      </c>
      <c r="W231" s="65"/>
      <c r="X231" s="110">
        <v>352</v>
      </c>
      <c r="Y231" s="81"/>
      <c r="Z231" s="141"/>
      <c r="AA231" s="371">
        <f t="shared" ref="AA231:AA235" si="144">M231/Q231</f>
        <v>264</v>
      </c>
      <c r="AB231" s="54">
        <f t="shared" ref="AB231:AB235" si="145">L231/V231</f>
        <v>234.66666666666666</v>
      </c>
      <c r="AC231" s="99">
        <f t="shared" ref="AC231:AC235" si="146">T231/V231</f>
        <v>17</v>
      </c>
      <c r="AD231" s="191">
        <f t="shared" ref="AD231:AD235" si="147">512*36*V231/1000000</f>
        <v>0.22118399999999999</v>
      </c>
      <c r="AE231" s="1169">
        <v>1.301248</v>
      </c>
      <c r="AF231" s="198">
        <f t="shared" ref="AF231:AF235" si="148">(AE231*1000000-V231*36*512)/(4*L231)</f>
        <v>95.88636363636364</v>
      </c>
      <c r="AG231" s="1166"/>
    </row>
    <row r="232" spans="1:33" x14ac:dyDescent="0.2">
      <c r="A232" s="182" t="s">
        <v>189</v>
      </c>
      <c r="B232" s="17"/>
      <c r="C232" s="227"/>
      <c r="D232" s="213"/>
      <c r="E232" s="118" t="s">
        <v>265</v>
      </c>
      <c r="F232" s="18" t="s">
        <v>266</v>
      </c>
      <c r="G232" s="19">
        <v>113.3</v>
      </c>
      <c r="H232" s="124"/>
      <c r="I232" s="162"/>
      <c r="J232" s="138" t="s">
        <v>264</v>
      </c>
      <c r="K232" s="20">
        <v>229.9</v>
      </c>
      <c r="L232" s="245">
        <f t="shared" si="140"/>
        <v>6016</v>
      </c>
      <c r="M232" s="64">
        <f t="shared" si="141"/>
        <v>6768</v>
      </c>
      <c r="N232" s="65">
        <f t="shared" si="142"/>
        <v>59.735216240070613</v>
      </c>
      <c r="O232" s="65">
        <f t="shared" si="143"/>
        <v>53.097969991173876</v>
      </c>
      <c r="P232" s="65">
        <v>1</v>
      </c>
      <c r="Q232" s="65">
        <v>28</v>
      </c>
      <c r="R232" s="65">
        <v>4</v>
      </c>
      <c r="S232" s="65">
        <v>4</v>
      </c>
      <c r="T232" s="65">
        <v>348</v>
      </c>
      <c r="U232" s="65"/>
      <c r="V232" s="65">
        <v>28</v>
      </c>
      <c r="W232" s="65"/>
      <c r="X232" s="110">
        <v>752</v>
      </c>
      <c r="Y232" s="81"/>
      <c r="Z232" s="141"/>
      <c r="AA232" s="371">
        <f t="shared" si="144"/>
        <v>241.71428571428572</v>
      </c>
      <c r="AB232" s="54">
        <f t="shared" si="145"/>
        <v>214.85714285714286</v>
      </c>
      <c r="AC232" s="99">
        <f t="shared" si="146"/>
        <v>12.428571428571429</v>
      </c>
      <c r="AD232" s="191">
        <f t="shared" si="147"/>
        <v>0.516096</v>
      </c>
      <c r="AE232" s="1169">
        <v>2.9985279999999999</v>
      </c>
      <c r="AF232" s="198">
        <f t="shared" si="148"/>
        <v>103.15957446808511</v>
      </c>
      <c r="AG232" s="1166"/>
    </row>
    <row r="233" spans="1:33" x14ac:dyDescent="0.2">
      <c r="A233" s="182" t="s">
        <v>189</v>
      </c>
      <c r="B233" s="17"/>
      <c r="C233" s="227"/>
      <c r="D233" s="213"/>
      <c r="E233" s="118" t="s">
        <v>267</v>
      </c>
      <c r="F233" s="18" t="s">
        <v>268</v>
      </c>
      <c r="G233" s="19">
        <v>176</v>
      </c>
      <c r="H233" s="124"/>
      <c r="I233" s="162"/>
      <c r="J233" s="138" t="s">
        <v>269</v>
      </c>
      <c r="K233" s="20">
        <v>463.1</v>
      </c>
      <c r="L233" s="245">
        <f t="shared" si="140"/>
        <v>9856</v>
      </c>
      <c r="M233" s="64">
        <f t="shared" si="141"/>
        <v>11088</v>
      </c>
      <c r="N233" s="65">
        <f t="shared" si="142"/>
        <v>63</v>
      </c>
      <c r="O233" s="65">
        <f t="shared" si="143"/>
        <v>56</v>
      </c>
      <c r="P233" s="65">
        <v>1</v>
      </c>
      <c r="Q233" s="65">
        <v>44</v>
      </c>
      <c r="R233" s="65">
        <v>4</v>
      </c>
      <c r="S233" s="65">
        <v>8</v>
      </c>
      <c r="T233" s="65">
        <v>396</v>
      </c>
      <c r="U233" s="65"/>
      <c r="V233" s="65">
        <v>44</v>
      </c>
      <c r="W233" s="65"/>
      <c r="X233" s="110">
        <v>1232</v>
      </c>
      <c r="Y233" s="81"/>
      <c r="Z233" s="141"/>
      <c r="AA233" s="371">
        <f t="shared" si="144"/>
        <v>252</v>
      </c>
      <c r="AB233" s="54">
        <f t="shared" si="145"/>
        <v>224</v>
      </c>
      <c r="AC233" s="99">
        <f t="shared" si="146"/>
        <v>9</v>
      </c>
      <c r="AD233" s="191">
        <f t="shared" si="147"/>
        <v>0.81100799999999995</v>
      </c>
      <c r="AE233" s="1169">
        <v>4.4774399999999996</v>
      </c>
      <c r="AF233" s="198">
        <f t="shared" si="148"/>
        <v>93</v>
      </c>
      <c r="AG233" s="1166"/>
    </row>
    <row r="234" spans="1:33" x14ac:dyDescent="0.2">
      <c r="A234" s="182" t="s">
        <v>189</v>
      </c>
      <c r="B234" s="17"/>
      <c r="C234" s="227"/>
      <c r="D234" s="213"/>
      <c r="E234" s="118" t="s">
        <v>270</v>
      </c>
      <c r="F234" s="18" t="s">
        <v>271</v>
      </c>
      <c r="G234" s="19">
        <v>299.2</v>
      </c>
      <c r="H234" s="124"/>
      <c r="I234" s="162"/>
      <c r="J234" s="138" t="s">
        <v>272</v>
      </c>
      <c r="K234" s="20">
        <v>819.5</v>
      </c>
      <c r="L234" s="245">
        <f t="shared" si="140"/>
        <v>18560</v>
      </c>
      <c r="M234" s="64">
        <f t="shared" si="141"/>
        <v>20880</v>
      </c>
      <c r="N234" s="65">
        <f t="shared" si="142"/>
        <v>69.786096256684488</v>
      </c>
      <c r="O234" s="65">
        <f t="shared" si="143"/>
        <v>62.032085561497325</v>
      </c>
      <c r="P234" s="65">
        <v>2</v>
      </c>
      <c r="Q234" s="65">
        <v>88</v>
      </c>
      <c r="R234" s="65">
        <v>8</v>
      </c>
      <c r="S234" s="65">
        <v>8</v>
      </c>
      <c r="T234" s="65">
        <v>564</v>
      </c>
      <c r="U234" s="65"/>
      <c r="V234" s="65">
        <v>88</v>
      </c>
      <c r="W234" s="65"/>
      <c r="X234" s="110">
        <v>2320</v>
      </c>
      <c r="Y234" s="81"/>
      <c r="Z234" s="141"/>
      <c r="AA234" s="371">
        <f t="shared" si="144"/>
        <v>237.27272727272728</v>
      </c>
      <c r="AB234" s="54">
        <f t="shared" si="145"/>
        <v>210.90909090909091</v>
      </c>
      <c r="AC234" s="99">
        <f t="shared" si="146"/>
        <v>6.4090909090909092</v>
      </c>
      <c r="AD234" s="191">
        <f t="shared" si="147"/>
        <v>1.6220159999999999</v>
      </c>
      <c r="AE234" s="1169">
        <v>8.2146240000000006</v>
      </c>
      <c r="AF234" s="198">
        <f t="shared" si="148"/>
        <v>88.801293103448288</v>
      </c>
      <c r="AG234" s="236"/>
    </row>
    <row r="235" spans="1:33" ht="13.5" thickBot="1" x14ac:dyDescent="0.25">
      <c r="A235" s="182" t="s">
        <v>189</v>
      </c>
      <c r="B235" s="17"/>
      <c r="C235" s="227"/>
      <c r="D235" s="213"/>
      <c r="E235" s="118" t="s">
        <v>276</v>
      </c>
      <c r="F235" s="18" t="s">
        <v>226</v>
      </c>
      <c r="G235" s="19">
        <v>508.2</v>
      </c>
      <c r="H235" s="124"/>
      <c r="I235" s="162"/>
      <c r="J235" s="138" t="s">
        <v>274</v>
      </c>
      <c r="K235" s="20">
        <v>1334.3</v>
      </c>
      <c r="L235" s="245">
        <f t="shared" si="140"/>
        <v>27392</v>
      </c>
      <c r="M235" s="64">
        <f t="shared" si="141"/>
        <v>30816</v>
      </c>
      <c r="N235" s="65">
        <f t="shared" si="142"/>
        <v>60.637544273907913</v>
      </c>
      <c r="O235" s="65">
        <f t="shared" si="143"/>
        <v>53.900039354584813</v>
      </c>
      <c r="P235" s="65">
        <v>2</v>
      </c>
      <c r="Q235" s="65">
        <v>136</v>
      </c>
      <c r="R235" s="65">
        <v>8</v>
      </c>
      <c r="S235" s="65">
        <v>8</v>
      </c>
      <c r="T235" s="65">
        <v>644</v>
      </c>
      <c r="U235" s="65"/>
      <c r="V235" s="65">
        <v>136</v>
      </c>
      <c r="W235" s="65"/>
      <c r="X235" s="110">
        <v>3424</v>
      </c>
      <c r="Y235" s="81"/>
      <c r="Z235" s="141"/>
      <c r="AA235" s="371">
        <f t="shared" si="144"/>
        <v>226.58823529411765</v>
      </c>
      <c r="AB235" s="54">
        <f t="shared" si="145"/>
        <v>201.41176470588235</v>
      </c>
      <c r="AC235" s="99">
        <f t="shared" si="146"/>
        <v>4.7352941176470589</v>
      </c>
      <c r="AD235" s="191">
        <f t="shared" si="147"/>
        <v>2.5067520000000001</v>
      </c>
      <c r="AE235" s="1169">
        <v>11.3</v>
      </c>
      <c r="AF235" s="198">
        <f t="shared" si="148"/>
        <v>80.253796728971963</v>
      </c>
      <c r="AG235" s="236"/>
    </row>
    <row r="236" spans="1:33" x14ac:dyDescent="0.2">
      <c r="A236" s="182"/>
      <c r="B236" s="48" t="s">
        <v>715</v>
      </c>
      <c r="C236" s="226"/>
      <c r="D236" s="212"/>
      <c r="E236" s="12" t="s">
        <v>286</v>
      </c>
      <c r="F236" s="466" t="s">
        <v>1015</v>
      </c>
      <c r="G236" s="14" t="s">
        <v>21</v>
      </c>
      <c r="H236" s="40" t="s">
        <v>530</v>
      </c>
      <c r="I236" s="161"/>
      <c r="J236" s="136"/>
      <c r="K236" s="16" t="s">
        <v>22</v>
      </c>
      <c r="L236" s="244" t="s">
        <v>23</v>
      </c>
      <c r="M236" s="383" t="s">
        <v>696</v>
      </c>
      <c r="N236" s="380">
        <f>AVERAGE(N237:N240)</f>
        <v>110.07390398882266</v>
      </c>
      <c r="O236" s="382">
        <f>AVERAGE(O237:O240)</f>
        <v>97.843470212286803</v>
      </c>
      <c r="P236" s="61" t="s">
        <v>260</v>
      </c>
      <c r="Q236" s="399" t="s">
        <v>1737</v>
      </c>
      <c r="R236" s="61"/>
      <c r="S236" s="61" t="s">
        <v>287</v>
      </c>
      <c r="T236" s="61"/>
      <c r="U236" s="61" t="s">
        <v>187</v>
      </c>
      <c r="V236" s="62" t="s">
        <v>206</v>
      </c>
      <c r="W236" s="61"/>
      <c r="X236" s="109" t="s">
        <v>207</v>
      </c>
      <c r="Y236" s="80" t="s">
        <v>288</v>
      </c>
      <c r="Z236" s="164"/>
      <c r="AA236" s="372">
        <f>AVERAGE(AA237:AA240)</f>
        <v>392.765625</v>
      </c>
      <c r="AB236" s="92">
        <f>AVERAGE(AB237:AB240)</f>
        <v>268.55555555555554</v>
      </c>
      <c r="AC236" s="1452">
        <f>AVERAGE(AC237:AC240)</f>
        <v>6.0694444444444446</v>
      </c>
      <c r="AD236" s="109" t="s">
        <v>650</v>
      </c>
      <c r="AE236" s="193"/>
      <c r="AF236" s="196">
        <f>AVERAGE(AF237:AF240)</f>
        <v>79.270922562715214</v>
      </c>
      <c r="AG236" t="s">
        <v>289</v>
      </c>
    </row>
    <row r="237" spans="1:33" x14ac:dyDescent="0.2">
      <c r="A237" s="182" t="s">
        <v>189</v>
      </c>
      <c r="B237" s="17" t="s">
        <v>702</v>
      </c>
      <c r="C237" s="227"/>
      <c r="D237" s="213"/>
      <c r="E237" s="118" t="s">
        <v>290</v>
      </c>
      <c r="F237" s="18" t="s">
        <v>291</v>
      </c>
      <c r="G237" s="19">
        <v>105.38</v>
      </c>
      <c r="H237" s="124">
        <v>17</v>
      </c>
      <c r="I237" s="162">
        <v>240</v>
      </c>
      <c r="J237" s="138" t="s">
        <v>292</v>
      </c>
      <c r="K237" s="20">
        <v>249.7</v>
      </c>
      <c r="L237" s="245">
        <v>12288</v>
      </c>
      <c r="M237" s="64">
        <v>13824</v>
      </c>
      <c r="N237" s="65">
        <f t="shared" ref="N237:N240" si="149">IF(AND(G237&lt;&gt;"",M237&lt;&gt;""),M237/G237,"")</f>
        <v>131.18238754981971</v>
      </c>
      <c r="O237" s="65">
        <f t="shared" ref="O237:O240" si="150">IF(AND(G237&lt;&gt;"",L237&lt;&gt;""),L237/G237,"")</f>
        <v>116.60656671095084</v>
      </c>
      <c r="P237" s="65"/>
      <c r="Q237" s="65">
        <v>32</v>
      </c>
      <c r="R237" s="65">
        <v>4</v>
      </c>
      <c r="S237" s="65"/>
      <c r="T237" s="65">
        <v>320</v>
      </c>
      <c r="U237" s="65"/>
      <c r="V237" s="65">
        <v>48</v>
      </c>
      <c r="W237" s="65"/>
      <c r="X237" s="110">
        <v>1536</v>
      </c>
      <c r="Y237" s="81"/>
      <c r="Z237" s="141"/>
      <c r="AA237" s="371">
        <f t="shared" ref="AA237:AA240" si="151">M237/Q237</f>
        <v>432</v>
      </c>
      <c r="AB237" s="54">
        <v>256</v>
      </c>
      <c r="AC237" s="281">
        <v>6.666666666666667</v>
      </c>
      <c r="AD237" s="191">
        <f t="shared" ref="AD237:AD240" si="152">512*36*V237/1000000</f>
        <v>0.88473599999999997</v>
      </c>
      <c r="AE237" s="197">
        <v>4.8</v>
      </c>
      <c r="AF237" s="198">
        <f t="shared" ref="AF237:AF240" si="153">(AE237*1000000-V237*36*512)/(4*L237)</f>
        <v>79.65625</v>
      </c>
      <c r="AG237" s="492" t="s">
        <v>1654</v>
      </c>
    </row>
    <row r="238" spans="1:33" x14ac:dyDescent="0.2">
      <c r="A238" s="182" t="s">
        <v>189</v>
      </c>
      <c r="B238" s="17" t="s">
        <v>702</v>
      </c>
      <c r="C238" s="227"/>
      <c r="D238" s="229" t="s">
        <v>704</v>
      </c>
      <c r="E238" s="118" t="s">
        <v>761</v>
      </c>
      <c r="F238" s="18" t="s">
        <v>291</v>
      </c>
      <c r="G238" s="19">
        <v>234.67</v>
      </c>
      <c r="H238" s="124">
        <v>17</v>
      </c>
      <c r="I238" s="162">
        <v>240</v>
      </c>
      <c r="J238" s="138" t="s">
        <v>292</v>
      </c>
      <c r="K238" s="20">
        <v>556.6</v>
      </c>
      <c r="L238" s="245">
        <v>21504</v>
      </c>
      <c r="M238" s="64">
        <v>24192</v>
      </c>
      <c r="N238" s="65">
        <f t="shared" si="149"/>
        <v>103.08944475220522</v>
      </c>
      <c r="O238" s="65">
        <f t="shared" si="150"/>
        <v>91.635062001960208</v>
      </c>
      <c r="P238" s="65"/>
      <c r="Q238" s="65">
        <v>48</v>
      </c>
      <c r="R238" s="65">
        <v>8</v>
      </c>
      <c r="S238" s="65"/>
      <c r="T238" s="65">
        <v>448</v>
      </c>
      <c r="U238" s="65"/>
      <c r="V238" s="65">
        <v>72</v>
      </c>
      <c r="W238" s="65"/>
      <c r="X238" s="110">
        <v>2688</v>
      </c>
      <c r="Y238" s="81">
        <v>39.99</v>
      </c>
      <c r="Z238" s="141">
        <v>537.73443360840213</v>
      </c>
      <c r="AA238" s="371">
        <f t="shared" si="151"/>
        <v>504</v>
      </c>
      <c r="AB238" s="54">
        <v>298.66666666666669</v>
      </c>
      <c r="AC238" s="281">
        <v>6.2222222222222223</v>
      </c>
      <c r="AD238" s="191">
        <f t="shared" si="152"/>
        <v>1.3271040000000001</v>
      </c>
      <c r="AE238" s="197">
        <v>7.8</v>
      </c>
      <c r="AF238" s="198">
        <f t="shared" si="153"/>
        <v>75.252232142857139</v>
      </c>
      <c r="AG238" s="6" t="s">
        <v>795</v>
      </c>
    </row>
    <row r="239" spans="1:33" x14ac:dyDescent="0.2">
      <c r="A239" s="182" t="s">
        <v>189</v>
      </c>
      <c r="B239" s="17" t="s">
        <v>702</v>
      </c>
      <c r="C239" s="227"/>
      <c r="D239" s="213"/>
      <c r="E239" s="118" t="s">
        <v>298</v>
      </c>
      <c r="F239" s="18" t="s">
        <v>294</v>
      </c>
      <c r="G239" s="19">
        <v>276.10000000000002</v>
      </c>
      <c r="H239" s="124">
        <v>27</v>
      </c>
      <c r="I239" s="162">
        <v>320</v>
      </c>
      <c r="J239" s="138" t="s">
        <v>292</v>
      </c>
      <c r="K239" s="20">
        <v>579.48</v>
      </c>
      <c r="L239" s="245">
        <v>20480</v>
      </c>
      <c r="M239" s="64">
        <v>23040</v>
      </c>
      <c r="N239" s="65">
        <f t="shared" si="149"/>
        <v>83.448026077508146</v>
      </c>
      <c r="O239" s="65">
        <f t="shared" si="150"/>
        <v>74.176023180007235</v>
      </c>
      <c r="P239" s="65"/>
      <c r="Q239" s="65">
        <v>128</v>
      </c>
      <c r="R239" s="65">
        <v>4</v>
      </c>
      <c r="S239" s="65"/>
      <c r="T239" s="65">
        <v>320</v>
      </c>
      <c r="U239" s="65"/>
      <c r="V239" s="65">
        <v>128</v>
      </c>
      <c r="W239" s="65"/>
      <c r="X239" s="110">
        <v>2560</v>
      </c>
      <c r="Y239" s="81">
        <v>59.99</v>
      </c>
      <c r="Z239" s="141">
        <v>341.39023170528418</v>
      </c>
      <c r="AA239" s="371">
        <f t="shared" si="151"/>
        <v>180</v>
      </c>
      <c r="AB239" s="54">
        <v>160</v>
      </c>
      <c r="AC239" s="281">
        <v>2.5</v>
      </c>
      <c r="AD239" s="191">
        <f t="shared" si="152"/>
        <v>2.3592960000000001</v>
      </c>
      <c r="AE239" s="197">
        <v>9.1</v>
      </c>
      <c r="AF239" s="198">
        <f t="shared" si="153"/>
        <v>82.283984375000003</v>
      </c>
    </row>
    <row r="240" spans="1:33" ht="13.5" thickBot="1" x14ac:dyDescent="0.25">
      <c r="A240" s="182" t="s">
        <v>189</v>
      </c>
      <c r="B240" s="17" t="s">
        <v>702</v>
      </c>
      <c r="C240" s="227"/>
      <c r="D240" s="213"/>
      <c r="E240" s="118" t="s">
        <v>301</v>
      </c>
      <c r="F240" s="18" t="s">
        <v>291</v>
      </c>
      <c r="G240" s="19">
        <v>118.8</v>
      </c>
      <c r="H240" s="124">
        <v>17</v>
      </c>
      <c r="I240" s="162">
        <v>240</v>
      </c>
      <c r="J240" s="138" t="s">
        <v>292</v>
      </c>
      <c r="K240" s="20">
        <v>331.1</v>
      </c>
      <c r="L240" s="245">
        <v>12944</v>
      </c>
      <c r="M240" s="64">
        <v>14562</v>
      </c>
      <c r="N240" s="65">
        <f t="shared" si="149"/>
        <v>122.57575757575758</v>
      </c>
      <c r="O240" s="65">
        <f t="shared" si="150"/>
        <v>108.95622895622895</v>
      </c>
      <c r="P240" s="65">
        <v>1</v>
      </c>
      <c r="Q240" s="65">
        <v>32</v>
      </c>
      <c r="R240" s="65">
        <v>4</v>
      </c>
      <c r="S240" s="65"/>
      <c r="T240" s="65">
        <v>320</v>
      </c>
      <c r="U240" s="65"/>
      <c r="V240" s="65">
        <v>36</v>
      </c>
      <c r="W240" s="65"/>
      <c r="X240" s="110">
        <v>1618</v>
      </c>
      <c r="Y240" s="81">
        <v>29.99</v>
      </c>
      <c r="Z240" s="141">
        <v>431.61053684561523</v>
      </c>
      <c r="AA240" s="371">
        <f t="shared" si="151"/>
        <v>455.0625</v>
      </c>
      <c r="AB240" s="54">
        <v>359.55555555555554</v>
      </c>
      <c r="AC240" s="281">
        <v>8.8888888888888893</v>
      </c>
      <c r="AD240" s="191">
        <f t="shared" si="152"/>
        <v>0.66355200000000003</v>
      </c>
      <c r="AE240" s="197">
        <v>4.8</v>
      </c>
      <c r="AF240" s="198">
        <f t="shared" si="153"/>
        <v>79.891223733003713</v>
      </c>
    </row>
    <row r="241" spans="1:33" x14ac:dyDescent="0.2">
      <c r="A241" s="182"/>
      <c r="B241" s="48" t="s">
        <v>715</v>
      </c>
      <c r="C241" s="226"/>
      <c r="D241" s="212"/>
      <c r="E241" s="12" t="s">
        <v>430</v>
      </c>
      <c r="F241" s="466" t="s">
        <v>1012</v>
      </c>
      <c r="G241" s="14" t="s">
        <v>22</v>
      </c>
      <c r="H241" s="40" t="s">
        <v>531</v>
      </c>
      <c r="I241" s="161"/>
      <c r="J241" s="136"/>
      <c r="K241" s="16" t="s">
        <v>22</v>
      </c>
      <c r="L241" s="244" t="s">
        <v>431</v>
      </c>
      <c r="M241" s="383" t="s">
        <v>696</v>
      </c>
      <c r="N241" s="380">
        <f>AVERAGE(N242:N245)</f>
        <v>95.545886257134015</v>
      </c>
      <c r="O241" s="382">
        <f>AVERAGE(O243:O244)</f>
        <v>7.0223204419889496E-2</v>
      </c>
      <c r="P241" s="61" t="s">
        <v>260</v>
      </c>
      <c r="Q241" s="399" t="s">
        <v>1739</v>
      </c>
      <c r="R241" s="61"/>
      <c r="S241" s="61" t="s">
        <v>642</v>
      </c>
      <c r="T241" s="61"/>
      <c r="U241" s="61" t="s">
        <v>634</v>
      </c>
      <c r="V241" s="74" t="s">
        <v>433</v>
      </c>
      <c r="W241" s="61" t="s">
        <v>635</v>
      </c>
      <c r="X241" s="156" t="s">
        <v>207</v>
      </c>
      <c r="Y241" s="215" t="s">
        <v>434</v>
      </c>
      <c r="Z241" s="164"/>
      <c r="AA241" s="372">
        <f>AVERAGE(AA242:AA245)</f>
        <v>816</v>
      </c>
      <c r="AB241" s="92">
        <f>AVERAGE(AB243:AB244)</f>
        <v>0.6</v>
      </c>
      <c r="AC241" s="98">
        <f>AVERAGE(AC242:AC245)</f>
        <v>8.9036576168929109</v>
      </c>
      <c r="AD241" s="109" t="s">
        <v>650</v>
      </c>
      <c r="AE241" s="195"/>
      <c r="AF241" s="196">
        <f>AVERAGE(AF242:AF245)</f>
        <v>78.451258012820517</v>
      </c>
      <c r="AG241" t="s">
        <v>445</v>
      </c>
    </row>
    <row r="242" spans="1:33" x14ac:dyDescent="0.2">
      <c r="A242" s="182" t="s">
        <v>189</v>
      </c>
      <c r="B242" s="17" t="s">
        <v>702</v>
      </c>
      <c r="C242" s="227"/>
      <c r="D242" s="213"/>
      <c r="E242" s="134" t="s">
        <v>874</v>
      </c>
      <c r="F242" s="143" t="s">
        <v>554</v>
      </c>
      <c r="G242" s="43">
        <v>226.25</v>
      </c>
      <c r="H242" s="18">
        <v>19</v>
      </c>
      <c r="I242" s="167">
        <v>172</v>
      </c>
      <c r="J242" s="137"/>
      <c r="K242" s="39"/>
      <c r="L242" s="456">
        <f t="shared" ref="L242:L245" si="154">8*X242/1000</f>
        <v>12.48</v>
      </c>
      <c r="M242" s="457">
        <f t="shared" ref="M242:M245" si="155">12.8*X242/1000</f>
        <v>19.968</v>
      </c>
      <c r="N242" s="65">
        <f t="shared" ref="N242:N245" si="156">IF(AND(G242&lt;&gt;"",M242&lt;&gt;""),1000*M242/G242,"")</f>
        <v>88.25635359116022</v>
      </c>
      <c r="O242" s="65">
        <f t="shared" ref="O242:O245" si="157">IF(AND(G242&lt;&gt;"",L242&lt;&gt;""),L242/G242,"")</f>
        <v>5.5160220994475137E-2</v>
      </c>
      <c r="P242" s="65"/>
      <c r="Q242" s="65">
        <v>24</v>
      </c>
      <c r="R242" s="65">
        <v>1</v>
      </c>
      <c r="S242" s="65">
        <v>4</v>
      </c>
      <c r="T242" s="65">
        <v>160</v>
      </c>
      <c r="U242" s="65">
        <v>1</v>
      </c>
      <c r="V242" s="75">
        <v>26</v>
      </c>
      <c r="W242" s="65">
        <v>2</v>
      </c>
      <c r="X242" s="189">
        <v>1560</v>
      </c>
      <c r="Y242" s="261"/>
      <c r="Z242" s="141"/>
      <c r="AA242" s="371">
        <f t="shared" ref="AA242:AA245" si="158">1000*M242/Q242</f>
        <v>832</v>
      </c>
      <c r="AB242" s="54">
        <f t="shared" ref="AB242:AB245" si="159">L242/V242</f>
        <v>0.48000000000000004</v>
      </c>
      <c r="AC242" s="99">
        <f t="shared" ref="AC242:AC245" si="160">T242/V242</f>
        <v>6.1538461538461542</v>
      </c>
      <c r="AD242" s="191">
        <f t="shared" ref="AD242:AD245" si="161">512*72*V242/1000000</f>
        <v>0.95846399999999998</v>
      </c>
      <c r="AE242" s="197">
        <v>6.3</v>
      </c>
      <c r="AF242" s="198">
        <f t="shared" ref="AF242:AF245" si="162">(AE242*1000000-V242*36*512)/(6000*L242)</f>
        <v>77.734615384615381</v>
      </c>
      <c r="AG242"/>
    </row>
    <row r="243" spans="1:33" x14ac:dyDescent="0.2">
      <c r="A243" s="182" t="s">
        <v>189</v>
      </c>
      <c r="B243" s="17" t="s">
        <v>702</v>
      </c>
      <c r="C243" s="227" t="s">
        <v>697</v>
      </c>
      <c r="D243" s="213" t="s">
        <v>704</v>
      </c>
      <c r="E243" s="134" t="s">
        <v>608</v>
      </c>
      <c r="F243" s="143" t="s">
        <v>555</v>
      </c>
      <c r="G243" s="43">
        <v>250</v>
      </c>
      <c r="H243" s="128">
        <v>19</v>
      </c>
      <c r="I243" s="167">
        <v>220</v>
      </c>
      <c r="J243" s="137" t="s">
        <v>467</v>
      </c>
      <c r="K243" s="39">
        <v>250</v>
      </c>
      <c r="L243" s="456">
        <f t="shared" si="154"/>
        <v>19.2</v>
      </c>
      <c r="M243" s="457">
        <f t="shared" si="155"/>
        <v>30.72</v>
      </c>
      <c r="N243" s="65">
        <f t="shared" si="156"/>
        <v>122.88</v>
      </c>
      <c r="O243" s="65">
        <f t="shared" si="157"/>
        <v>7.6799999999999993E-2</v>
      </c>
      <c r="P243" s="65"/>
      <c r="Q243" s="65">
        <v>32</v>
      </c>
      <c r="R243" s="65">
        <v>2</v>
      </c>
      <c r="S243" s="65">
        <v>8</v>
      </c>
      <c r="T243" s="65">
        <v>400</v>
      </c>
      <c r="U243" s="65">
        <v>1</v>
      </c>
      <c r="V243" s="65">
        <v>32</v>
      </c>
      <c r="W243" s="65">
        <v>4</v>
      </c>
      <c r="X243" s="189">
        <v>2400</v>
      </c>
      <c r="Y243" s="262">
        <v>159</v>
      </c>
      <c r="Z243" s="141">
        <f>IF(AND(L243&lt;&gt;"",Y243&lt;&gt;""),1000*L243/Y243,"")</f>
        <v>120.75471698113208</v>
      </c>
      <c r="AA243" s="371">
        <f t="shared" si="158"/>
        <v>960</v>
      </c>
      <c r="AB243" s="54">
        <f t="shared" si="159"/>
        <v>0.6</v>
      </c>
      <c r="AC243" s="99">
        <f t="shared" si="160"/>
        <v>12.5</v>
      </c>
      <c r="AD243" s="191">
        <f t="shared" si="161"/>
        <v>1.179648</v>
      </c>
      <c r="AE243" s="197">
        <v>8.4</v>
      </c>
      <c r="AF243" s="198">
        <f t="shared" si="162"/>
        <v>67.796666666666667</v>
      </c>
    </row>
    <row r="244" spans="1:33" x14ac:dyDescent="0.2">
      <c r="A244" s="182" t="s">
        <v>189</v>
      </c>
      <c r="B244" s="17" t="s">
        <v>702</v>
      </c>
      <c r="C244" s="227"/>
      <c r="D244" s="213"/>
      <c r="E244" s="134" t="s">
        <v>609</v>
      </c>
      <c r="F244" s="143" t="s">
        <v>556</v>
      </c>
      <c r="G244" s="43">
        <v>452.5</v>
      </c>
      <c r="H244" s="128">
        <v>19</v>
      </c>
      <c r="I244" s="167">
        <v>440</v>
      </c>
      <c r="J244" s="138"/>
      <c r="K244" s="44"/>
      <c r="L244" s="456">
        <f t="shared" si="154"/>
        <v>28.8</v>
      </c>
      <c r="M244" s="457">
        <f t="shared" si="155"/>
        <v>46.08</v>
      </c>
      <c r="N244" s="65">
        <f t="shared" si="156"/>
        <v>101.8342541436464</v>
      </c>
      <c r="O244" s="65">
        <f t="shared" si="157"/>
        <v>6.3646408839779012E-2</v>
      </c>
      <c r="P244" s="65"/>
      <c r="Q244" s="65">
        <v>48</v>
      </c>
      <c r="R244" s="65">
        <v>6</v>
      </c>
      <c r="S244" s="65">
        <v>12</v>
      </c>
      <c r="T244" s="65">
        <v>560</v>
      </c>
      <c r="U244" s="65">
        <v>1</v>
      </c>
      <c r="V244" s="65">
        <v>48</v>
      </c>
      <c r="W244" s="65">
        <v>4</v>
      </c>
      <c r="X244" s="189">
        <v>3600</v>
      </c>
      <c r="Y244" s="262">
        <v>149</v>
      </c>
      <c r="Z244" s="141">
        <f>IF(AND(L244&lt;&gt;"",Y244&lt;&gt;""),1000*L244/Y244,"")</f>
        <v>193.28859060402684</v>
      </c>
      <c r="AA244" s="371">
        <f t="shared" si="158"/>
        <v>960</v>
      </c>
      <c r="AB244" s="54">
        <f t="shared" si="159"/>
        <v>0.6</v>
      </c>
      <c r="AC244" s="99">
        <f t="shared" si="160"/>
        <v>11.666666666666666</v>
      </c>
      <c r="AD244" s="191">
        <f t="shared" si="161"/>
        <v>1.7694719999999999</v>
      </c>
      <c r="AE244" s="197">
        <v>12.6</v>
      </c>
      <c r="AF244" s="198">
        <f t="shared" si="162"/>
        <v>67.796666666666667</v>
      </c>
    </row>
    <row r="245" spans="1:33" ht="13.5" thickBot="1" x14ac:dyDescent="0.25">
      <c r="A245" s="182" t="s">
        <v>189</v>
      </c>
      <c r="B245" s="17" t="s">
        <v>702</v>
      </c>
      <c r="C245" s="227"/>
      <c r="D245" s="213"/>
      <c r="E245" s="134" t="s">
        <v>548</v>
      </c>
      <c r="F245" s="143" t="s">
        <v>599</v>
      </c>
      <c r="G245" s="43">
        <v>473.4375</v>
      </c>
      <c r="H245" s="128">
        <v>27</v>
      </c>
      <c r="I245" s="167">
        <v>360</v>
      </c>
      <c r="J245" s="139"/>
      <c r="K245" s="47"/>
      <c r="L245" s="456">
        <f t="shared" si="154"/>
        <v>20.48</v>
      </c>
      <c r="M245" s="457">
        <f t="shared" si="155"/>
        <v>32.768000000000001</v>
      </c>
      <c r="N245" s="65">
        <f t="shared" si="156"/>
        <v>69.212937293729368</v>
      </c>
      <c r="O245" s="65">
        <f t="shared" si="157"/>
        <v>4.3258085808580857E-2</v>
      </c>
      <c r="P245" s="65">
        <v>1</v>
      </c>
      <c r="Q245" s="65">
        <v>64</v>
      </c>
      <c r="R245" s="65">
        <v>2</v>
      </c>
      <c r="S245" s="65">
        <v>8</v>
      </c>
      <c r="T245" s="65">
        <v>360</v>
      </c>
      <c r="U245" s="65">
        <v>1</v>
      </c>
      <c r="V245" s="65">
        <v>68</v>
      </c>
      <c r="W245" s="65">
        <v>4</v>
      </c>
      <c r="X245" s="189">
        <v>2560</v>
      </c>
      <c r="Y245" s="262"/>
      <c r="Z245" s="141" t="str">
        <f t="shared" ref="Z245" si="163">IF(AND(L245&lt;&gt;"",Y245&lt;&gt;""),L245/Y245,"")</f>
        <v/>
      </c>
      <c r="AA245" s="371">
        <f t="shared" si="158"/>
        <v>512</v>
      </c>
      <c r="AB245" s="54">
        <f t="shared" si="159"/>
        <v>0.30117647058823532</v>
      </c>
      <c r="AC245" s="102">
        <f t="shared" si="160"/>
        <v>5.2941176470588234</v>
      </c>
      <c r="AD245" s="191">
        <f t="shared" si="161"/>
        <v>2.5067520000000001</v>
      </c>
      <c r="AE245" s="197">
        <v>13.6</v>
      </c>
      <c r="AF245" s="198">
        <f t="shared" si="162"/>
        <v>100.47708333333334</v>
      </c>
      <c r="AG245" s="6" t="s">
        <v>643</v>
      </c>
    </row>
    <row r="246" spans="1:33" x14ac:dyDescent="0.2">
      <c r="A246" s="182"/>
      <c r="B246" s="48" t="s">
        <v>715</v>
      </c>
      <c r="C246" s="226"/>
      <c r="D246" s="212"/>
      <c r="E246" s="12" t="s">
        <v>663</v>
      </c>
      <c r="F246" s="466" t="s">
        <v>1017</v>
      </c>
      <c r="G246" s="14" t="s">
        <v>22</v>
      </c>
      <c r="H246" s="40" t="s">
        <v>683</v>
      </c>
      <c r="I246" s="123"/>
      <c r="J246" s="15"/>
      <c r="K246" s="16" t="s">
        <v>22</v>
      </c>
      <c r="L246" s="248" t="s">
        <v>665</v>
      </c>
      <c r="M246" s="383" t="s">
        <v>696</v>
      </c>
      <c r="N246" s="380">
        <f>AVERAGE(N247:N247)</f>
        <v>140.22776470588235</v>
      </c>
      <c r="O246" s="382" t="e">
        <f>AVERAGE(#REF!)</f>
        <v>#REF!</v>
      </c>
      <c r="P246" s="60"/>
      <c r="Q246" s="399" t="s">
        <v>1739</v>
      </c>
      <c r="R246" s="61"/>
      <c r="S246" s="61" t="s">
        <v>853</v>
      </c>
      <c r="T246" s="61"/>
      <c r="U246" s="61" t="s">
        <v>634</v>
      </c>
      <c r="V246" s="74" t="s">
        <v>433</v>
      </c>
      <c r="W246" s="61" t="s">
        <v>635</v>
      </c>
      <c r="X246" s="156" t="s">
        <v>188</v>
      </c>
      <c r="Y246" s="215" t="s">
        <v>695</v>
      </c>
      <c r="Z246" s="164"/>
      <c r="AA246" s="370">
        <f>AVERAGE(AA247:AA247)</f>
        <v>258.66666666666669</v>
      </c>
      <c r="AB246" s="92" t="e">
        <f>AVERAGE(#REF!)</f>
        <v>#REF!</v>
      </c>
      <c r="AC246" s="1452">
        <f>AVERAGE(AC247:AC247)</f>
        <v>2.3076923076923075</v>
      </c>
      <c r="AD246" s="109" t="s">
        <v>650</v>
      </c>
      <c r="AE246" s="207"/>
      <c r="AF246" s="196">
        <f>AVERAGE(AF247:AF247)</f>
        <v>73.341008018327599</v>
      </c>
    </row>
    <row r="247" spans="1:33" ht="13.5" thickBot="1" x14ac:dyDescent="0.25">
      <c r="A247" s="188" t="s">
        <v>189</v>
      </c>
      <c r="B247" s="17" t="s">
        <v>702</v>
      </c>
      <c r="C247" s="227"/>
      <c r="D247" s="213"/>
      <c r="E247" s="134" t="s">
        <v>812</v>
      </c>
      <c r="F247" s="143" t="s">
        <v>1142</v>
      </c>
      <c r="G247" s="43">
        <v>531.25</v>
      </c>
      <c r="H247" s="128">
        <v>23</v>
      </c>
      <c r="I247" s="128">
        <v>240</v>
      </c>
      <c r="J247" s="18"/>
      <c r="K247" s="44"/>
      <c r="L247" s="456">
        <f t="shared" ref="L247" si="164">4*X247/1000</f>
        <v>46.56</v>
      </c>
      <c r="M247" s="457">
        <f t="shared" ref="M247" si="165">6.4*X247/1000</f>
        <v>74.495999999999995</v>
      </c>
      <c r="N247" s="65">
        <f t="shared" ref="N247" si="166">IF(AND(G247&lt;&gt;"",M247&lt;&gt;""),1000*M247/G247,"")</f>
        <v>140.22776470588235</v>
      </c>
      <c r="O247" s="65"/>
      <c r="P247" s="65"/>
      <c r="Q247" s="65">
        <v>288</v>
      </c>
      <c r="R247" s="65">
        <v>6</v>
      </c>
      <c r="S247" s="402" t="s">
        <v>854</v>
      </c>
      <c r="T247" s="128">
        <v>360</v>
      </c>
      <c r="U247" s="65">
        <v>1</v>
      </c>
      <c r="V247" s="65">
        <v>156</v>
      </c>
      <c r="W247" s="65">
        <v>4</v>
      </c>
      <c r="X247" s="189">
        <v>11640</v>
      </c>
      <c r="Y247" s="262">
        <v>50</v>
      </c>
      <c r="Z247" s="141">
        <f>IF(AND(L247&lt;&gt;"",Y247&lt;&gt;""),1000*L247/Y247,"")</f>
        <v>931.2</v>
      </c>
      <c r="AA247" s="371">
        <f t="shared" ref="AA247" si="167">1000*M247/Q247</f>
        <v>258.66666666666669</v>
      </c>
      <c r="AB247" s="54">
        <f t="shared" ref="AB247" si="168">L247/V247</f>
        <v>0.2984615384615385</v>
      </c>
      <c r="AC247" s="281">
        <f t="shared" ref="AC247" si="169">T247/V247</f>
        <v>2.3076923076923075</v>
      </c>
      <c r="AD247" s="191">
        <f t="shared" ref="AD247" si="170">512*72*V247/1000000</f>
        <v>5.7507840000000003</v>
      </c>
      <c r="AE247" s="208">
        <v>26.239328</v>
      </c>
      <c r="AF247" s="198">
        <f t="shared" ref="AF247" si="171">(AE247*1000000-V247*36*1024)/(6000*L247)</f>
        <v>73.341008018327599</v>
      </c>
      <c r="AG247" s="6" t="s">
        <v>680</v>
      </c>
    </row>
    <row r="248" spans="1:33" x14ac:dyDescent="0.2">
      <c r="A248" s="182"/>
      <c r="B248" s="48" t="s">
        <v>715</v>
      </c>
      <c r="C248" s="226"/>
      <c r="D248" s="212"/>
      <c r="E248" s="12" t="s">
        <v>664</v>
      </c>
      <c r="F248" s="466" t="s">
        <v>1019</v>
      </c>
      <c r="G248" s="14" t="s">
        <v>22</v>
      </c>
      <c r="H248" s="40" t="s">
        <v>531</v>
      </c>
      <c r="I248" s="123"/>
      <c r="J248" s="15"/>
      <c r="K248" s="16" t="s">
        <v>22</v>
      </c>
      <c r="L248" s="248" t="s">
        <v>665</v>
      </c>
      <c r="M248" s="383" t="s">
        <v>696</v>
      </c>
      <c r="N248" s="380">
        <f>AVERAGE(N249:N261)</f>
        <v>733.56589873010466</v>
      </c>
      <c r="O248" s="382">
        <f>AVERAGE(O250:O256)</f>
        <v>0.49916158238721181</v>
      </c>
      <c r="P248" s="60"/>
      <c r="Q248" s="399" t="s">
        <v>1737</v>
      </c>
      <c r="R248" s="61"/>
      <c r="S248" s="61" t="s">
        <v>833</v>
      </c>
      <c r="T248" s="61"/>
      <c r="U248" s="61" t="s">
        <v>634</v>
      </c>
      <c r="V248" s="490" t="s">
        <v>677</v>
      </c>
      <c r="W248" s="61"/>
      <c r="X248" s="109" t="s">
        <v>188</v>
      </c>
      <c r="Y248" s="80" t="s">
        <v>695</v>
      </c>
      <c r="Z248" s="206"/>
      <c r="AA248" s="370">
        <f>AVERAGE(AA249:AA261)</f>
        <v>663.76191516613119</v>
      </c>
      <c r="AB248" s="92">
        <f>AVERAGE(AB250:AB256)</f>
        <v>0.2630538154289665</v>
      </c>
      <c r="AC248" s="98">
        <f>AVERAGE(AC249:AC261)</f>
        <v>4.2885623013558076</v>
      </c>
      <c r="AD248" s="109" t="s">
        <v>650</v>
      </c>
      <c r="AE248" s="207"/>
      <c r="AF248" s="196">
        <f>AVERAGE(AF249:AF261)</f>
        <v>66.955288821320124</v>
      </c>
      <c r="AG248" t="s">
        <v>261</v>
      </c>
    </row>
    <row r="249" spans="1:33" x14ac:dyDescent="0.2">
      <c r="A249" s="188" t="s">
        <v>189</v>
      </c>
      <c r="B249" s="17" t="s">
        <v>702</v>
      </c>
      <c r="C249" s="227"/>
      <c r="D249" s="213"/>
      <c r="E249" s="910" t="s">
        <v>666</v>
      </c>
      <c r="F249" s="143" t="s">
        <v>867</v>
      </c>
      <c r="G249" s="43">
        <v>10.81</v>
      </c>
      <c r="H249" s="128">
        <v>8</v>
      </c>
      <c r="I249" s="128">
        <v>100</v>
      </c>
      <c r="J249" s="18"/>
      <c r="K249" s="44"/>
      <c r="L249" s="456">
        <f t="shared" ref="L249:L261" si="172">4*X249/1000</f>
        <v>2.4</v>
      </c>
      <c r="M249" s="457">
        <f t="shared" ref="M249:M261" si="173">6.4*X249/1000</f>
        <v>3.84</v>
      </c>
      <c r="N249" s="65">
        <f t="shared" ref="N249:N261" si="174">IF(AND(G249&lt;&gt;"",M249&lt;&gt;""),1000*M249/G249,"")</f>
        <v>355.22664199814983</v>
      </c>
      <c r="O249" s="65"/>
      <c r="P249" s="65"/>
      <c r="Q249" s="65">
        <v>4</v>
      </c>
      <c r="R249" s="65">
        <v>1</v>
      </c>
      <c r="S249" s="65"/>
      <c r="T249" s="65">
        <v>120</v>
      </c>
      <c r="U249" s="65"/>
      <c r="V249" s="65">
        <v>8</v>
      </c>
      <c r="W249" s="65"/>
      <c r="X249" s="115">
        <v>600</v>
      </c>
      <c r="Y249" s="87">
        <v>3</v>
      </c>
      <c r="Z249" s="141">
        <f>IF(AND(L249&lt;&gt;"",Y249&lt;&gt;""),1000*L249/Y249,"")</f>
        <v>800</v>
      </c>
      <c r="AA249" s="371">
        <f t="shared" ref="AA249:AA261" si="175">1000*M249/Q249</f>
        <v>960</v>
      </c>
      <c r="AB249" s="54">
        <f t="shared" ref="AB249:AB261" si="176">L249/V249</f>
        <v>0.3</v>
      </c>
      <c r="AC249" s="99">
        <f t="shared" ref="AC249:AC261" si="177">T249/V249</f>
        <v>15</v>
      </c>
      <c r="AD249" s="191">
        <f t="shared" ref="AD249:AD261" si="178">256*72*V249/1000000</f>
        <v>0.147456</v>
      </c>
      <c r="AE249" s="208">
        <v>2.7</v>
      </c>
      <c r="AF249" s="198">
        <f t="shared" ref="AF249:AF261" si="179">(AE249*1000000-V249*36*512)/(6000*L249)</f>
        <v>177.26</v>
      </c>
      <c r="AG249" s="6" t="s">
        <v>678</v>
      </c>
    </row>
    <row r="250" spans="1:33" x14ac:dyDescent="0.2">
      <c r="A250" s="188" t="s">
        <v>189</v>
      </c>
      <c r="B250" s="17" t="s">
        <v>702</v>
      </c>
      <c r="C250" s="227"/>
      <c r="D250" s="213"/>
      <c r="E250" s="910" t="s">
        <v>667</v>
      </c>
      <c r="F250" s="143" t="s">
        <v>1106</v>
      </c>
      <c r="G250" s="43">
        <v>14.75</v>
      </c>
      <c r="H250" s="128">
        <v>8</v>
      </c>
      <c r="I250" s="128">
        <v>100</v>
      </c>
      <c r="J250" s="18"/>
      <c r="K250" s="44"/>
      <c r="L250" s="456">
        <f t="shared" si="172"/>
        <v>5.72</v>
      </c>
      <c r="M250" s="457">
        <f t="shared" si="173"/>
        <v>9.1519999999999992</v>
      </c>
      <c r="N250" s="65">
        <f t="shared" si="174"/>
        <v>620.47457627118649</v>
      </c>
      <c r="O250" s="65"/>
      <c r="P250" s="65"/>
      <c r="Q250" s="65">
        <v>16</v>
      </c>
      <c r="R250" s="65">
        <v>2</v>
      </c>
      <c r="S250" s="65"/>
      <c r="T250" s="65">
        <v>200</v>
      </c>
      <c r="U250" s="65"/>
      <c r="V250" s="65">
        <v>32</v>
      </c>
      <c r="W250" s="65"/>
      <c r="X250" s="115">
        <v>1430</v>
      </c>
      <c r="Y250" s="87"/>
      <c r="Z250" s="141" t="str">
        <f t="shared" ref="Z250:Z261" si="180">IF(AND(L250&lt;&gt;"",Y250&lt;&gt;""),L250/Y250,"")</f>
        <v/>
      </c>
      <c r="AA250" s="371">
        <f t="shared" si="175"/>
        <v>572</v>
      </c>
      <c r="AB250" s="54">
        <f t="shared" si="176"/>
        <v>0.17874999999999999</v>
      </c>
      <c r="AC250" s="99">
        <f t="shared" si="177"/>
        <v>6.25</v>
      </c>
      <c r="AD250" s="191">
        <f t="shared" si="178"/>
        <v>0.58982400000000001</v>
      </c>
      <c r="AE250" s="208">
        <v>2.7</v>
      </c>
      <c r="AF250" s="198">
        <f t="shared" si="179"/>
        <v>61.485314685314684</v>
      </c>
      <c r="AG250" s="6" t="s">
        <v>679</v>
      </c>
    </row>
    <row r="251" spans="1:33" x14ac:dyDescent="0.2">
      <c r="A251" s="188" t="s">
        <v>189</v>
      </c>
      <c r="B251" s="17" t="s">
        <v>702</v>
      </c>
      <c r="C251" s="227"/>
      <c r="D251" s="213"/>
      <c r="E251" s="910" t="s">
        <v>668</v>
      </c>
      <c r="F251" s="143" t="s">
        <v>870</v>
      </c>
      <c r="G251" s="43">
        <v>20.94</v>
      </c>
      <c r="H251" s="128">
        <v>8</v>
      </c>
      <c r="I251" s="128">
        <v>180</v>
      </c>
      <c r="J251" s="18"/>
      <c r="K251" s="44"/>
      <c r="L251" s="456">
        <f t="shared" si="172"/>
        <v>9.1120000000000001</v>
      </c>
      <c r="M251" s="457">
        <f t="shared" si="173"/>
        <v>14.5792</v>
      </c>
      <c r="N251" s="65">
        <f t="shared" si="174"/>
        <v>696.23686723973253</v>
      </c>
      <c r="O251" s="65">
        <f>IF(AND(G251&lt;&gt;"",L251&lt;&gt;""),L251/G251,"")</f>
        <v>0.43514804202483282</v>
      </c>
      <c r="P251" s="65"/>
      <c r="Q251" s="65">
        <v>32</v>
      </c>
      <c r="R251" s="65">
        <v>2</v>
      </c>
      <c r="S251" s="65"/>
      <c r="T251" s="65">
        <v>232</v>
      </c>
      <c r="U251" s="65"/>
      <c r="V251" s="65">
        <v>32</v>
      </c>
      <c r="W251" s="65"/>
      <c r="X251" s="115">
        <v>2278</v>
      </c>
      <c r="Y251" s="87"/>
      <c r="Z251" s="141" t="str">
        <f t="shared" si="180"/>
        <v/>
      </c>
      <c r="AA251" s="371">
        <f t="shared" si="175"/>
        <v>455.6</v>
      </c>
      <c r="AB251" s="54">
        <f t="shared" si="176"/>
        <v>0.28475</v>
      </c>
      <c r="AC251" s="99">
        <f t="shared" si="177"/>
        <v>7.25</v>
      </c>
      <c r="AD251" s="191">
        <f t="shared" si="178"/>
        <v>0.58982400000000001</v>
      </c>
      <c r="AE251" s="208">
        <v>3.7</v>
      </c>
      <c r="AF251" s="198">
        <f t="shared" si="179"/>
        <v>56.887913374304944</v>
      </c>
    </row>
    <row r="252" spans="1:33" x14ac:dyDescent="0.2">
      <c r="A252" s="188" t="s">
        <v>189</v>
      </c>
      <c r="B252" s="17" t="s">
        <v>702</v>
      </c>
      <c r="C252" s="227"/>
      <c r="D252" s="213"/>
      <c r="E252" s="910" t="s">
        <v>669</v>
      </c>
      <c r="F252" s="143" t="s">
        <v>1107</v>
      </c>
      <c r="G252" s="43">
        <v>32.19</v>
      </c>
      <c r="H252" s="128">
        <v>15</v>
      </c>
      <c r="I252" s="128">
        <v>180</v>
      </c>
      <c r="J252" s="18"/>
      <c r="K252" s="44"/>
      <c r="L252" s="456">
        <f t="shared" si="172"/>
        <v>15</v>
      </c>
      <c r="M252" s="457">
        <f t="shared" si="173"/>
        <v>24</v>
      </c>
      <c r="N252" s="65">
        <f t="shared" si="174"/>
        <v>745.57315936626287</v>
      </c>
      <c r="O252" s="65"/>
      <c r="P252" s="65"/>
      <c r="Q252" s="65">
        <v>38</v>
      </c>
      <c r="R252" s="65">
        <v>2</v>
      </c>
      <c r="S252" s="65"/>
      <c r="T252" s="65">
        <v>264</v>
      </c>
      <c r="U252" s="65"/>
      <c r="V252" s="65">
        <v>52</v>
      </c>
      <c r="W252" s="65"/>
      <c r="X252" s="115">
        <v>3750</v>
      </c>
      <c r="Y252" s="87"/>
      <c r="Z252" s="141" t="str">
        <f t="shared" si="180"/>
        <v/>
      </c>
      <c r="AA252" s="371">
        <f t="shared" si="175"/>
        <v>631.57894736842104</v>
      </c>
      <c r="AB252" s="54">
        <f t="shared" si="176"/>
        <v>0.28846153846153844</v>
      </c>
      <c r="AC252" s="99">
        <f t="shared" si="177"/>
        <v>5.0769230769230766</v>
      </c>
      <c r="AD252" s="191">
        <f t="shared" si="178"/>
        <v>0.95846399999999998</v>
      </c>
      <c r="AE252" s="208">
        <v>6.4</v>
      </c>
      <c r="AF252" s="198">
        <f t="shared" si="179"/>
        <v>60.461511111111108</v>
      </c>
    </row>
    <row r="253" spans="1:33" x14ac:dyDescent="0.2">
      <c r="A253" s="188" t="s">
        <v>189</v>
      </c>
      <c r="B253" s="17" t="s">
        <v>702</v>
      </c>
      <c r="C253" s="227"/>
      <c r="D253" s="213"/>
      <c r="E253" s="910" t="s">
        <v>670</v>
      </c>
      <c r="F253" s="143" t="s">
        <v>868</v>
      </c>
      <c r="G253" s="43">
        <v>48.88</v>
      </c>
      <c r="H253" s="128">
        <v>15</v>
      </c>
      <c r="I253" s="128">
        <v>354</v>
      </c>
      <c r="J253" s="18"/>
      <c r="K253" s="44"/>
      <c r="L253" s="456">
        <f t="shared" si="172"/>
        <v>27.527999999999999</v>
      </c>
      <c r="M253" s="457">
        <f t="shared" si="173"/>
        <v>44.044800000000002</v>
      </c>
      <c r="N253" s="65">
        <f t="shared" si="174"/>
        <v>901.08019639934537</v>
      </c>
      <c r="O253" s="65">
        <f>IF(AND(G253&lt;&gt;"",L253&lt;&gt;""),L253/G253,"")</f>
        <v>0.56317512274959081</v>
      </c>
      <c r="P253" s="65"/>
      <c r="Q253" s="65">
        <v>58</v>
      </c>
      <c r="R253" s="65">
        <v>4</v>
      </c>
      <c r="S253" s="65"/>
      <c r="T253" s="65">
        <v>370</v>
      </c>
      <c r="U253" s="65"/>
      <c r="V253" s="65">
        <v>116</v>
      </c>
      <c r="W253" s="65"/>
      <c r="X253" s="115">
        <v>6882</v>
      </c>
      <c r="Y253" s="87"/>
      <c r="Z253" s="141" t="str">
        <f t="shared" si="180"/>
        <v/>
      </c>
      <c r="AA253" s="371">
        <f t="shared" si="175"/>
        <v>759.39310344827595</v>
      </c>
      <c r="AB253" s="54">
        <f t="shared" si="176"/>
        <v>0.2373103448275862</v>
      </c>
      <c r="AC253" s="99">
        <f t="shared" si="177"/>
        <v>3.1896551724137931</v>
      </c>
      <c r="AD253" s="191">
        <f t="shared" si="178"/>
        <v>2.138112</v>
      </c>
      <c r="AE253" s="208">
        <v>11.9</v>
      </c>
      <c r="AF253" s="198">
        <f t="shared" si="179"/>
        <v>59.102780199554395</v>
      </c>
    </row>
    <row r="254" spans="1:33" x14ac:dyDescent="0.2">
      <c r="A254" s="188" t="s">
        <v>189</v>
      </c>
      <c r="B254" s="17" t="s">
        <v>702</v>
      </c>
      <c r="C254" s="227" t="s">
        <v>697</v>
      </c>
      <c r="D254" s="213" t="s">
        <v>704</v>
      </c>
      <c r="E254" s="910" t="s">
        <v>869</v>
      </c>
      <c r="F254" s="143" t="s">
        <v>866</v>
      </c>
      <c r="G254" s="43">
        <v>88.88</v>
      </c>
      <c r="H254" s="128">
        <v>19</v>
      </c>
      <c r="I254" s="128">
        <v>290</v>
      </c>
      <c r="J254" s="18"/>
      <c r="K254" s="44"/>
      <c r="L254" s="456">
        <f t="shared" si="172"/>
        <v>46.648000000000003</v>
      </c>
      <c r="M254" s="457">
        <f t="shared" si="173"/>
        <v>74.636800000000008</v>
      </c>
      <c r="N254" s="65">
        <f t="shared" si="174"/>
        <v>839.74797479747986</v>
      </c>
      <c r="O254" s="65"/>
      <c r="P254" s="65"/>
      <c r="Q254" s="65">
        <v>132</v>
      </c>
      <c r="R254" s="65">
        <v>6</v>
      </c>
      <c r="S254" s="65"/>
      <c r="T254" s="65">
        <v>348</v>
      </c>
      <c r="U254" s="65"/>
      <c r="V254" s="65">
        <v>172</v>
      </c>
      <c r="W254" s="65"/>
      <c r="X254" s="115">
        <v>11662</v>
      </c>
      <c r="Y254" s="87"/>
      <c r="Z254" s="141" t="str">
        <f t="shared" si="180"/>
        <v/>
      </c>
      <c r="AA254" s="371">
        <f t="shared" si="175"/>
        <v>565.43030303030309</v>
      </c>
      <c r="AB254" s="54">
        <f t="shared" si="176"/>
        <v>0.27120930232558144</v>
      </c>
      <c r="AC254" s="99">
        <f t="shared" si="177"/>
        <v>2.0232558139534884</v>
      </c>
      <c r="AD254" s="191">
        <f t="shared" si="178"/>
        <v>3.1703039999999998</v>
      </c>
      <c r="AE254" s="208">
        <v>19.600000000000001</v>
      </c>
      <c r="AF254" s="198">
        <f t="shared" si="179"/>
        <v>58.700966100726006</v>
      </c>
    </row>
    <row r="255" spans="1:33" x14ac:dyDescent="0.2">
      <c r="A255" s="188" t="s">
        <v>189</v>
      </c>
      <c r="B255" s="17" t="s">
        <v>702</v>
      </c>
      <c r="C255" s="227"/>
      <c r="D255" s="213"/>
      <c r="E255" s="910" t="s">
        <v>671</v>
      </c>
      <c r="F255" s="143" t="s">
        <v>865</v>
      </c>
      <c r="G255" s="43">
        <v>110.75</v>
      </c>
      <c r="H255" s="128">
        <v>19</v>
      </c>
      <c r="I255" s="128">
        <v>354</v>
      </c>
      <c r="J255" s="18"/>
      <c r="K255" s="44"/>
      <c r="L255" s="456">
        <f t="shared" si="172"/>
        <v>63.527999999999999</v>
      </c>
      <c r="M255" s="457">
        <f t="shared" si="173"/>
        <v>101.6448</v>
      </c>
      <c r="N255" s="65">
        <f t="shared" si="174"/>
        <v>917.78600451467275</v>
      </c>
      <c r="O255" s="65"/>
      <c r="P255" s="65"/>
      <c r="Q255" s="65">
        <v>182</v>
      </c>
      <c r="R255" s="65">
        <v>6</v>
      </c>
      <c r="S255" s="65"/>
      <c r="T255" s="65">
        <v>498</v>
      </c>
      <c r="U255" s="65"/>
      <c r="V255" s="65">
        <v>268</v>
      </c>
      <c r="W255" s="65"/>
      <c r="X255" s="115">
        <v>15882</v>
      </c>
      <c r="Y255" s="87"/>
      <c r="Z255" s="141" t="str">
        <f t="shared" si="180"/>
        <v/>
      </c>
      <c r="AA255" s="371">
        <f t="shared" si="175"/>
        <v>558.48791208791215</v>
      </c>
      <c r="AB255" s="54">
        <f t="shared" si="176"/>
        <v>0.23704477611940297</v>
      </c>
      <c r="AC255" s="99">
        <f t="shared" si="177"/>
        <v>1.8582089552238805</v>
      </c>
      <c r="AD255" s="191">
        <f t="shared" si="178"/>
        <v>4.9397760000000002</v>
      </c>
      <c r="AE255" s="208">
        <v>26.5</v>
      </c>
      <c r="AF255" s="198">
        <f t="shared" si="179"/>
        <v>56.563573017671999</v>
      </c>
    </row>
    <row r="256" spans="1:33" x14ac:dyDescent="0.2">
      <c r="A256" s="188" t="s">
        <v>189</v>
      </c>
      <c r="B256" s="17" t="s">
        <v>702</v>
      </c>
      <c r="C256" s="227" t="s">
        <v>697</v>
      </c>
      <c r="D256" s="213" t="s">
        <v>704</v>
      </c>
      <c r="E256" s="910" t="s">
        <v>672</v>
      </c>
      <c r="F256" s="143" t="s">
        <v>865</v>
      </c>
      <c r="G256" s="43">
        <v>158.75</v>
      </c>
      <c r="H256" s="128">
        <v>19</v>
      </c>
      <c r="I256" s="128">
        <v>345</v>
      </c>
      <c r="J256" s="18"/>
      <c r="K256" s="44"/>
      <c r="L256" s="456">
        <f t="shared" si="172"/>
        <v>92.152000000000001</v>
      </c>
      <c r="M256" s="457">
        <f t="shared" si="173"/>
        <v>147.44320000000002</v>
      </c>
      <c r="N256" s="65">
        <f t="shared" si="174"/>
        <v>928.77606299212607</v>
      </c>
      <c r="O256" s="65"/>
      <c r="P256" s="65"/>
      <c r="Q256" s="65">
        <v>182</v>
      </c>
      <c r="R256" s="65">
        <v>6</v>
      </c>
      <c r="S256" s="65"/>
      <c r="T256" s="65">
        <v>498</v>
      </c>
      <c r="U256" s="65"/>
      <c r="V256" s="65">
        <v>268</v>
      </c>
      <c r="W256" s="65"/>
      <c r="X256" s="115">
        <v>23038</v>
      </c>
      <c r="Y256" s="87"/>
      <c r="Z256" s="141" t="str">
        <f t="shared" si="180"/>
        <v/>
      </c>
      <c r="AA256" s="371">
        <f t="shared" si="175"/>
        <v>810.12747252747261</v>
      </c>
      <c r="AB256" s="54">
        <f t="shared" si="176"/>
        <v>0.34385074626865669</v>
      </c>
      <c r="AC256" s="99">
        <f t="shared" si="177"/>
        <v>1.8582089552238805</v>
      </c>
      <c r="AD256" s="191">
        <f t="shared" si="178"/>
        <v>4.9397760000000002</v>
      </c>
      <c r="AE256" s="208">
        <v>33.799999999999997</v>
      </c>
      <c r="AF256" s="198">
        <f t="shared" si="179"/>
        <v>52.196776340538818</v>
      </c>
    </row>
    <row r="257" spans="1:33" x14ac:dyDescent="0.2">
      <c r="A257" s="188" t="s">
        <v>871</v>
      </c>
      <c r="B257" s="17" t="s">
        <v>702</v>
      </c>
      <c r="C257" s="227"/>
      <c r="D257" s="213"/>
      <c r="E257" s="910" t="s">
        <v>673</v>
      </c>
      <c r="F257" s="143" t="s">
        <v>868</v>
      </c>
      <c r="G257" s="43">
        <v>45.44</v>
      </c>
      <c r="H257" s="128">
        <v>15</v>
      </c>
      <c r="I257" s="128">
        <v>174</v>
      </c>
      <c r="J257" s="18"/>
      <c r="K257" s="44"/>
      <c r="L257" s="456">
        <f t="shared" si="172"/>
        <v>15</v>
      </c>
      <c r="M257" s="457">
        <f t="shared" si="173"/>
        <v>24</v>
      </c>
      <c r="N257" s="65">
        <f t="shared" si="174"/>
        <v>528.16901408450713</v>
      </c>
      <c r="O257" s="65"/>
      <c r="P257" s="65"/>
      <c r="Q257" s="65">
        <v>38</v>
      </c>
      <c r="R257" s="65">
        <v>2</v>
      </c>
      <c r="S257" s="65">
        <v>2</v>
      </c>
      <c r="T257" s="65">
        <v>264</v>
      </c>
      <c r="U257" s="65">
        <v>1</v>
      </c>
      <c r="V257" s="65">
        <v>52</v>
      </c>
      <c r="W257" s="65"/>
      <c r="X257" s="115">
        <v>3750</v>
      </c>
      <c r="Y257" s="87"/>
      <c r="Z257" s="141" t="str">
        <f t="shared" si="180"/>
        <v/>
      </c>
      <c r="AA257" s="371">
        <f t="shared" si="175"/>
        <v>631.57894736842104</v>
      </c>
      <c r="AB257" s="54">
        <f t="shared" si="176"/>
        <v>0.28846153846153844</v>
      </c>
      <c r="AC257" s="99">
        <f t="shared" si="177"/>
        <v>5.0769230769230766</v>
      </c>
      <c r="AD257" s="191">
        <f t="shared" si="178"/>
        <v>0.95846399999999998</v>
      </c>
      <c r="AE257" s="208">
        <v>6.4</v>
      </c>
      <c r="AF257" s="198">
        <f t="shared" si="179"/>
        <v>60.461511111111108</v>
      </c>
    </row>
    <row r="258" spans="1:33" x14ac:dyDescent="0.2">
      <c r="A258" s="188" t="s">
        <v>189</v>
      </c>
      <c r="B258" s="17" t="s">
        <v>702</v>
      </c>
      <c r="C258" s="227"/>
      <c r="D258" s="213"/>
      <c r="E258" s="910" t="s">
        <v>674</v>
      </c>
      <c r="F258" s="143" t="s">
        <v>868</v>
      </c>
      <c r="G258" s="43">
        <v>62.69</v>
      </c>
      <c r="H258" s="128">
        <v>15</v>
      </c>
      <c r="I258" s="128">
        <v>174</v>
      </c>
      <c r="J258" s="18"/>
      <c r="K258" s="44"/>
      <c r="L258" s="456">
        <f t="shared" si="172"/>
        <v>27.288</v>
      </c>
      <c r="M258" s="457">
        <f t="shared" si="173"/>
        <v>43.660800000000002</v>
      </c>
      <c r="N258" s="65">
        <f t="shared" si="174"/>
        <v>696.45557505184252</v>
      </c>
      <c r="O258" s="65"/>
      <c r="P258" s="65"/>
      <c r="Q258" s="65">
        <v>58</v>
      </c>
      <c r="R258" s="65">
        <v>4</v>
      </c>
      <c r="S258" s="65">
        <v>4</v>
      </c>
      <c r="T258" s="65">
        <v>370</v>
      </c>
      <c r="U258" s="65">
        <v>1</v>
      </c>
      <c r="V258" s="65">
        <v>116</v>
      </c>
      <c r="W258" s="65"/>
      <c r="X258" s="115">
        <v>6822</v>
      </c>
      <c r="Y258" s="87"/>
      <c r="Z258" s="141" t="str">
        <f t="shared" si="180"/>
        <v/>
      </c>
      <c r="AA258" s="371">
        <f t="shared" si="175"/>
        <v>752.77241379310351</v>
      </c>
      <c r="AB258" s="54">
        <f t="shared" si="176"/>
        <v>0.23524137931034483</v>
      </c>
      <c r="AC258" s="99">
        <f t="shared" si="177"/>
        <v>3.1896551724137931</v>
      </c>
      <c r="AD258" s="191">
        <f t="shared" si="178"/>
        <v>2.138112</v>
      </c>
      <c r="AE258" s="208">
        <v>11.9</v>
      </c>
      <c r="AF258" s="198">
        <f t="shared" si="179"/>
        <v>59.622593569823124</v>
      </c>
    </row>
    <row r="259" spans="1:33" x14ac:dyDescent="0.2">
      <c r="A259" s="188" t="s">
        <v>871</v>
      </c>
      <c r="B259" s="17" t="s">
        <v>702</v>
      </c>
      <c r="C259" s="227" t="s">
        <v>697</v>
      </c>
      <c r="D259" s="213" t="s">
        <v>704</v>
      </c>
      <c r="E259" s="910" t="s">
        <v>834</v>
      </c>
      <c r="F259" s="143" t="s">
        <v>866</v>
      </c>
      <c r="G259" s="43">
        <v>106.44</v>
      </c>
      <c r="H259" s="128">
        <v>19</v>
      </c>
      <c r="I259" s="128">
        <v>290</v>
      </c>
      <c r="J259" s="18"/>
      <c r="K259" s="44"/>
      <c r="L259" s="456">
        <f t="shared" si="172"/>
        <v>46.648000000000003</v>
      </c>
      <c r="M259" s="457">
        <f t="shared" si="173"/>
        <v>74.636800000000008</v>
      </c>
      <c r="N259" s="65">
        <f t="shared" si="174"/>
        <v>701.21007140172867</v>
      </c>
      <c r="O259" s="65"/>
      <c r="P259" s="65"/>
      <c r="Q259" s="65">
        <v>132</v>
      </c>
      <c r="R259" s="65">
        <v>6</v>
      </c>
      <c r="S259" s="65">
        <v>8</v>
      </c>
      <c r="T259" s="65">
        <v>348</v>
      </c>
      <c r="U259" s="65">
        <v>1</v>
      </c>
      <c r="V259" s="65">
        <v>172</v>
      </c>
      <c r="W259" s="65"/>
      <c r="X259" s="115">
        <v>11662</v>
      </c>
      <c r="Y259" s="87"/>
      <c r="Z259" s="141" t="str">
        <f t="shared" si="180"/>
        <v/>
      </c>
      <c r="AA259" s="371">
        <f t="shared" si="175"/>
        <v>565.43030303030309</v>
      </c>
      <c r="AB259" s="54">
        <f t="shared" si="176"/>
        <v>0.27120930232558144</v>
      </c>
      <c r="AC259" s="99">
        <f t="shared" si="177"/>
        <v>2.0232558139534884</v>
      </c>
      <c r="AD259" s="191">
        <f t="shared" si="178"/>
        <v>3.1703039999999998</v>
      </c>
      <c r="AE259" s="208">
        <v>19.600000000000001</v>
      </c>
      <c r="AF259" s="198">
        <f t="shared" si="179"/>
        <v>58.700966100726006</v>
      </c>
    </row>
    <row r="260" spans="1:33" x14ac:dyDescent="0.2">
      <c r="A260" s="188" t="s">
        <v>871</v>
      </c>
      <c r="B260" s="17" t="s">
        <v>702</v>
      </c>
      <c r="C260" s="227"/>
      <c r="D260" s="213"/>
      <c r="E260" s="910" t="s">
        <v>675</v>
      </c>
      <c r="F260" s="143" t="s">
        <v>1108</v>
      </c>
      <c r="G260" s="43">
        <v>128.75</v>
      </c>
      <c r="H260" s="128">
        <v>19</v>
      </c>
      <c r="I260" s="128">
        <v>296</v>
      </c>
      <c r="J260" s="18"/>
      <c r="K260" s="44"/>
      <c r="L260" s="456">
        <f t="shared" si="172"/>
        <v>63.287999999999997</v>
      </c>
      <c r="M260" s="457">
        <f t="shared" si="173"/>
        <v>101.2608</v>
      </c>
      <c r="N260" s="65">
        <f t="shared" si="174"/>
        <v>786.49165048543694</v>
      </c>
      <c r="O260" s="65"/>
      <c r="P260" s="65"/>
      <c r="Q260" s="65">
        <v>182</v>
      </c>
      <c r="R260" s="65">
        <v>6</v>
      </c>
      <c r="S260" s="65">
        <v>8</v>
      </c>
      <c r="T260" s="65">
        <v>396</v>
      </c>
      <c r="U260" s="65">
        <v>1</v>
      </c>
      <c r="V260" s="65">
        <v>268</v>
      </c>
      <c r="W260" s="65"/>
      <c r="X260" s="115">
        <v>15822</v>
      </c>
      <c r="Y260" s="87"/>
      <c r="Z260" s="141" t="str">
        <f t="shared" si="180"/>
        <v/>
      </c>
      <c r="AA260" s="371">
        <f t="shared" si="175"/>
        <v>556.37802197802205</v>
      </c>
      <c r="AB260" s="54">
        <f t="shared" si="176"/>
        <v>0.23614925373134327</v>
      </c>
      <c r="AC260" s="99">
        <f t="shared" si="177"/>
        <v>1.4776119402985075</v>
      </c>
      <c r="AD260" s="191">
        <f t="shared" si="178"/>
        <v>4.9397760000000002</v>
      </c>
      <c r="AE260" s="208">
        <v>26.5</v>
      </c>
      <c r="AF260" s="198">
        <f t="shared" si="179"/>
        <v>56.778072725740529</v>
      </c>
    </row>
    <row r="261" spans="1:33" ht="13.5" thickBot="1" x14ac:dyDescent="0.25">
      <c r="A261" s="188" t="s">
        <v>871</v>
      </c>
      <c r="B261" s="17" t="s">
        <v>702</v>
      </c>
      <c r="C261" s="227" t="s">
        <v>697</v>
      </c>
      <c r="D261" s="214" t="s">
        <v>704</v>
      </c>
      <c r="E261" s="1112" t="s">
        <v>676</v>
      </c>
      <c r="F261" s="144" t="s">
        <v>1108</v>
      </c>
      <c r="G261" s="34">
        <v>180</v>
      </c>
      <c r="H261" s="130">
        <v>19</v>
      </c>
      <c r="I261" s="130">
        <v>296</v>
      </c>
      <c r="J261" s="22"/>
      <c r="K261" s="35"/>
      <c r="L261" s="456">
        <f t="shared" si="172"/>
        <v>92.152000000000001</v>
      </c>
      <c r="M261" s="457">
        <f t="shared" si="173"/>
        <v>147.44320000000002</v>
      </c>
      <c r="N261" s="65">
        <f t="shared" si="174"/>
        <v>819.12888888888892</v>
      </c>
      <c r="O261" s="68"/>
      <c r="P261" s="68"/>
      <c r="Q261" s="68">
        <v>182</v>
      </c>
      <c r="R261" s="68">
        <v>6</v>
      </c>
      <c r="S261" s="68">
        <v>8</v>
      </c>
      <c r="T261" s="68">
        <v>396</v>
      </c>
      <c r="U261" s="68">
        <v>1</v>
      </c>
      <c r="V261" s="68">
        <v>268</v>
      </c>
      <c r="W261" s="68"/>
      <c r="X261" s="116">
        <v>23038</v>
      </c>
      <c r="Y261" s="205"/>
      <c r="Z261" s="141" t="str">
        <f t="shared" si="180"/>
        <v/>
      </c>
      <c r="AA261" s="371">
        <f t="shared" si="175"/>
        <v>810.12747252747261</v>
      </c>
      <c r="AB261" s="55">
        <f t="shared" si="176"/>
        <v>0.34385074626865669</v>
      </c>
      <c r="AC261" s="100">
        <f t="shared" si="177"/>
        <v>1.4776119402985075</v>
      </c>
      <c r="AD261" s="192">
        <f t="shared" si="178"/>
        <v>4.9397760000000002</v>
      </c>
      <c r="AE261" s="209">
        <v>33.799999999999997</v>
      </c>
      <c r="AF261" s="198">
        <f t="shared" si="179"/>
        <v>52.196776340538818</v>
      </c>
    </row>
    <row r="262" spans="1:33" ht="12.75" customHeight="1" x14ac:dyDescent="0.2">
      <c r="A262" s="182"/>
      <c r="B262" s="48" t="s">
        <v>715</v>
      </c>
      <c r="C262" s="226"/>
      <c r="D262" s="212"/>
      <c r="E262" s="12" t="s">
        <v>1785</v>
      </c>
      <c r="F262" s="466" t="s">
        <v>1018</v>
      </c>
      <c r="G262" s="14" t="s">
        <v>22</v>
      </c>
      <c r="H262" s="40" t="s">
        <v>531</v>
      </c>
      <c r="I262" s="123"/>
      <c r="J262" s="15"/>
      <c r="K262" s="16" t="s">
        <v>22</v>
      </c>
      <c r="L262" s="248" t="s">
        <v>665</v>
      </c>
      <c r="M262" s="383" t="s">
        <v>696</v>
      </c>
      <c r="N262" s="380">
        <f>AVERAGE(N263:N268)</f>
        <v>954.1312457948161</v>
      </c>
      <c r="O262" s="382">
        <f>AVERAGE(O264:O301)</f>
        <v>293.53946035385917</v>
      </c>
      <c r="P262" s="60"/>
      <c r="Q262" s="399" t="s">
        <v>1739</v>
      </c>
      <c r="R262" s="399" t="s">
        <v>1341</v>
      </c>
      <c r="S262" s="61"/>
      <c r="T262" s="61"/>
      <c r="U262" s="61" t="s">
        <v>963</v>
      </c>
      <c r="V262" s="74" t="s">
        <v>433</v>
      </c>
      <c r="W262" s="399" t="s">
        <v>1167</v>
      </c>
      <c r="X262" s="109" t="s">
        <v>207</v>
      </c>
      <c r="Y262" s="80" t="s">
        <v>695</v>
      </c>
      <c r="Z262" s="206"/>
      <c r="AA262" s="370">
        <f>AVERAGE(AA263:AB268)</f>
        <v>525.93523809523811</v>
      </c>
      <c r="AB262" s="92">
        <f>AVERAGE(AB264:AB301)</f>
        <v>526.46229654403567</v>
      </c>
      <c r="AC262" s="98">
        <f>AVERAGE(AC263:AC268)</f>
        <v>7.4074074074074083</v>
      </c>
      <c r="AD262" s="109" t="s">
        <v>650</v>
      </c>
      <c r="AE262" s="195"/>
      <c r="AF262" s="196">
        <f>AVERAGE(AF263:AF268)</f>
        <v>132.57461377473365</v>
      </c>
      <c r="AG262" t="s">
        <v>2105</v>
      </c>
    </row>
    <row r="263" spans="1:33" s="493" customFormat="1" ht="12.75" customHeight="1" x14ac:dyDescent="0.2">
      <c r="A263" s="188" t="s">
        <v>189</v>
      </c>
      <c r="B263" s="41" t="s">
        <v>702</v>
      </c>
      <c r="C263" s="230" t="s">
        <v>697</v>
      </c>
      <c r="D263" s="470"/>
      <c r="E263" s="1003" t="s">
        <v>1786</v>
      </c>
      <c r="F263" s="1192" t="s">
        <v>1933</v>
      </c>
      <c r="G263" s="1148">
        <v>14.7</v>
      </c>
      <c r="H263" s="1038">
        <v>8</v>
      </c>
      <c r="I263" s="1039">
        <v>86</v>
      </c>
      <c r="J263" s="1054"/>
      <c r="K263" s="1149"/>
      <c r="L263" s="896">
        <f t="shared" ref="L263:L268" si="181">8*X263/1000</f>
        <v>3.7519999999999998</v>
      </c>
      <c r="M263" s="1042">
        <f t="shared" ref="M263:M268" si="182">12.8*X263/1000</f>
        <v>6.0032000000000005</v>
      </c>
      <c r="N263" s="1150">
        <f t="shared" ref="N263:N268" si="183">IF(AND(G263&lt;&gt;"",M263&lt;&gt;""),1000*M263/G263,"")</f>
        <v>408.38095238095246</v>
      </c>
      <c r="O263" s="1151"/>
      <c r="P263" s="1102"/>
      <c r="Q263" s="1004">
        <v>10</v>
      </c>
      <c r="R263" s="1004">
        <v>2</v>
      </c>
      <c r="S263" s="1004"/>
      <c r="T263" s="1004">
        <v>100</v>
      </c>
      <c r="U263" s="1004"/>
      <c r="V263" s="1152">
        <v>5</v>
      </c>
      <c r="W263" s="1004">
        <v>1</v>
      </c>
      <c r="X263" s="1153">
        <v>469</v>
      </c>
      <c r="Y263" s="89"/>
      <c r="Z263" s="1154"/>
      <c r="AA263" s="1155">
        <f t="shared" ref="AA263:AA268" si="184">1000*M263/Q263</f>
        <v>600.32000000000005</v>
      </c>
      <c r="AB263" s="95"/>
      <c r="AC263" s="103">
        <f t="shared" ref="AC263:AC268" si="185">T263/V263</f>
        <v>20</v>
      </c>
      <c r="AD263" s="1047">
        <f t="shared" ref="AD263:AD268" si="186">512*72*V263/1000000</f>
        <v>0.18432000000000001</v>
      </c>
      <c r="AE263" s="1156"/>
      <c r="AF263" s="1049"/>
      <c r="AG263" s="6" t="s">
        <v>2324</v>
      </c>
    </row>
    <row r="264" spans="1:33" s="493" customFormat="1" ht="12.75" customHeight="1" x14ac:dyDescent="0.2">
      <c r="A264" s="188" t="s">
        <v>189</v>
      </c>
      <c r="B264" s="41" t="s">
        <v>702</v>
      </c>
      <c r="C264" s="230" t="s">
        <v>697</v>
      </c>
      <c r="D264" s="470"/>
      <c r="E264" s="1003" t="s">
        <v>1787</v>
      </c>
      <c r="F264" s="1192" t="s">
        <v>1933</v>
      </c>
      <c r="G264" s="1148">
        <v>18.760000000000002</v>
      </c>
      <c r="H264" s="1038">
        <v>8</v>
      </c>
      <c r="I264" s="1039">
        <v>86</v>
      </c>
      <c r="J264" s="1054"/>
      <c r="K264" s="1149"/>
      <c r="L264" s="896">
        <f t="shared" si="181"/>
        <v>8</v>
      </c>
      <c r="M264" s="1042">
        <f t="shared" si="182"/>
        <v>12.8</v>
      </c>
      <c r="N264" s="1150">
        <f t="shared" si="183"/>
        <v>682.30277185501063</v>
      </c>
      <c r="O264" s="1151"/>
      <c r="P264" s="1102"/>
      <c r="Q264" s="1004">
        <v>20</v>
      </c>
      <c r="R264" s="1004">
        <v>2</v>
      </c>
      <c r="S264" s="1004"/>
      <c r="T264" s="1004">
        <v>100</v>
      </c>
      <c r="U264" s="1004"/>
      <c r="V264" s="1152">
        <v>10</v>
      </c>
      <c r="W264" s="1004">
        <v>1</v>
      </c>
      <c r="X264" s="1153">
        <v>1000</v>
      </c>
      <c r="Y264" s="89"/>
      <c r="Z264" s="1154"/>
      <c r="AA264" s="1155">
        <f t="shared" si="184"/>
        <v>640</v>
      </c>
      <c r="AB264" s="95"/>
      <c r="AC264" s="103">
        <f t="shared" si="185"/>
        <v>10</v>
      </c>
      <c r="AD264" s="1047">
        <f t="shared" si="186"/>
        <v>0.36864000000000002</v>
      </c>
      <c r="AE264" s="1156">
        <v>7.4</v>
      </c>
      <c r="AF264" s="1049">
        <f>(AE264*1000000-V264*36*1024)/(6000*L264)</f>
        <v>146.48666666666668</v>
      </c>
      <c r="AG264" s="493" t="s">
        <v>1169</v>
      </c>
    </row>
    <row r="265" spans="1:33" x14ac:dyDescent="0.2">
      <c r="A265" s="188" t="s">
        <v>189</v>
      </c>
      <c r="B265" s="17" t="s">
        <v>702</v>
      </c>
      <c r="C265" s="227" t="s">
        <v>697</v>
      </c>
      <c r="D265" s="213"/>
      <c r="E265" s="910" t="s">
        <v>1788</v>
      </c>
      <c r="F265" s="1192" t="s">
        <v>1933</v>
      </c>
      <c r="G265" s="43">
        <v>25.4</v>
      </c>
      <c r="H265" s="128">
        <v>13</v>
      </c>
      <c r="I265" s="430">
        <v>150</v>
      </c>
      <c r="J265" s="138"/>
      <c r="K265" s="44"/>
      <c r="L265" s="456">
        <f t="shared" si="181"/>
        <v>14.6</v>
      </c>
      <c r="M265" s="457">
        <f t="shared" si="182"/>
        <v>23.36</v>
      </c>
      <c r="N265" s="889">
        <f t="shared" si="183"/>
        <v>919.68503937007881</v>
      </c>
      <c r="O265" s="65"/>
      <c r="P265" s="65"/>
      <c r="Q265" s="65">
        <v>80</v>
      </c>
      <c r="R265" s="65">
        <v>3</v>
      </c>
      <c r="S265" s="65"/>
      <c r="T265" s="65">
        <v>150</v>
      </c>
      <c r="U265" s="65">
        <v>1</v>
      </c>
      <c r="V265" s="65">
        <v>45</v>
      </c>
      <c r="W265" s="71">
        <v>1</v>
      </c>
      <c r="X265" s="115">
        <v>1825</v>
      </c>
      <c r="Y265" s="87"/>
      <c r="Z265" s="141"/>
      <c r="AA265" s="371">
        <f t="shared" si="184"/>
        <v>292</v>
      </c>
      <c r="AB265" s="54"/>
      <c r="AC265" s="99">
        <f t="shared" si="185"/>
        <v>3.3333333333333335</v>
      </c>
      <c r="AD265" s="191">
        <f t="shared" si="186"/>
        <v>1.6588799999999999</v>
      </c>
      <c r="AE265" s="446">
        <v>17.536096000000001</v>
      </c>
      <c r="AF265" s="1049">
        <f>(AE265*1000000-V265*36*1024)/(6000*L265)</f>
        <v>181.24675799086759</v>
      </c>
      <c r="AG265" s="493" t="s">
        <v>1168</v>
      </c>
    </row>
    <row r="266" spans="1:33" x14ac:dyDescent="0.2">
      <c r="A266" s="188" t="s">
        <v>189</v>
      </c>
      <c r="B266" s="17" t="s">
        <v>702</v>
      </c>
      <c r="C266" s="227" t="s">
        <v>697</v>
      </c>
      <c r="D266" s="213"/>
      <c r="E266" s="910" t="s">
        <v>1789</v>
      </c>
      <c r="F266" s="143" t="s">
        <v>1934</v>
      </c>
      <c r="G266" s="43">
        <v>41.25</v>
      </c>
      <c r="H266" s="128">
        <v>15</v>
      </c>
      <c r="I266" s="430">
        <v>210</v>
      </c>
      <c r="J266" s="138"/>
      <c r="K266" s="44"/>
      <c r="L266" s="456">
        <f t="shared" si="181"/>
        <v>32.603999999999999</v>
      </c>
      <c r="M266" s="457">
        <f t="shared" si="182"/>
        <v>52.166400000000003</v>
      </c>
      <c r="N266" s="889">
        <f t="shared" si="183"/>
        <v>1264.6400000000001</v>
      </c>
      <c r="O266" s="65"/>
      <c r="P266" s="65"/>
      <c r="Q266" s="65">
        <v>120</v>
      </c>
      <c r="R266" s="65">
        <v>5</v>
      </c>
      <c r="S266" s="65"/>
      <c r="T266" s="65">
        <v>250</v>
      </c>
      <c r="U266" s="65">
        <v>1</v>
      </c>
      <c r="V266" s="65">
        <v>75</v>
      </c>
      <c r="W266" s="71">
        <v>1</v>
      </c>
      <c r="X266" s="115">
        <v>4075.5</v>
      </c>
      <c r="Y266" s="87"/>
      <c r="Z266" s="141"/>
      <c r="AA266" s="371">
        <f t="shared" si="184"/>
        <v>434.72</v>
      </c>
      <c r="AB266" s="54"/>
      <c r="AC266" s="99">
        <f t="shared" si="185"/>
        <v>3.3333333333333335</v>
      </c>
      <c r="AD266" s="191">
        <f t="shared" si="186"/>
        <v>2.7648000000000001</v>
      </c>
      <c r="AE266" s="446"/>
      <c r="AF266" s="198"/>
      <c r="AG266" s="492" t="s">
        <v>1170</v>
      </c>
    </row>
    <row r="267" spans="1:33" x14ac:dyDescent="0.2">
      <c r="A267" s="188" t="s">
        <v>189</v>
      </c>
      <c r="B267" s="17" t="s">
        <v>702</v>
      </c>
      <c r="C267" s="227" t="s">
        <v>697</v>
      </c>
      <c r="D267" s="213"/>
      <c r="E267" s="910" t="s">
        <v>1790</v>
      </c>
      <c r="F267" s="143" t="s">
        <v>1881</v>
      </c>
      <c r="G267" s="43">
        <v>62.19</v>
      </c>
      <c r="H267" s="128">
        <v>23</v>
      </c>
      <c r="I267" s="430">
        <v>338</v>
      </c>
      <c r="J267" s="138"/>
      <c r="K267" s="44"/>
      <c r="L267" s="456">
        <f t="shared" si="181"/>
        <v>48</v>
      </c>
      <c r="M267" s="457">
        <f t="shared" si="182"/>
        <v>76.8</v>
      </c>
      <c r="N267" s="889">
        <f t="shared" si="183"/>
        <v>1234.9252291365171</v>
      </c>
      <c r="O267" s="65"/>
      <c r="P267" s="65"/>
      <c r="Q267" s="65">
        <v>140</v>
      </c>
      <c r="R267" s="65">
        <v>8</v>
      </c>
      <c r="S267" s="65"/>
      <c r="T267" s="65">
        <v>400</v>
      </c>
      <c r="U267" s="65">
        <v>1</v>
      </c>
      <c r="V267" s="65">
        <v>90</v>
      </c>
      <c r="W267" s="71">
        <v>1</v>
      </c>
      <c r="X267" s="115">
        <v>6000</v>
      </c>
      <c r="Y267" s="87"/>
      <c r="Z267" s="141"/>
      <c r="AA267" s="371">
        <f t="shared" si="184"/>
        <v>548.57142857142856</v>
      </c>
      <c r="AB267" s="54"/>
      <c r="AC267" s="99">
        <f t="shared" si="185"/>
        <v>4.4444444444444446</v>
      </c>
      <c r="AD267" s="191">
        <f t="shared" si="186"/>
        <v>3.3177599999999998</v>
      </c>
      <c r="AE267" s="446"/>
      <c r="AF267" s="198"/>
    </row>
    <row r="268" spans="1:33" ht="13.5" thickBot="1" x14ac:dyDescent="0.25">
      <c r="A268" s="188" t="s">
        <v>189</v>
      </c>
      <c r="B268" s="17" t="s">
        <v>702</v>
      </c>
      <c r="C268" s="227" t="s">
        <v>697</v>
      </c>
      <c r="D268" s="213"/>
      <c r="E268" s="910" t="s">
        <v>1791</v>
      </c>
      <c r="F268" s="143" t="s">
        <v>1881</v>
      </c>
      <c r="G268" s="43">
        <v>84.29</v>
      </c>
      <c r="H268" s="128">
        <v>23</v>
      </c>
      <c r="I268" s="430">
        <v>338</v>
      </c>
      <c r="J268" s="138"/>
      <c r="K268" s="44"/>
      <c r="L268" s="456">
        <f t="shared" si="181"/>
        <v>64</v>
      </c>
      <c r="M268" s="457">
        <f t="shared" si="182"/>
        <v>102.4</v>
      </c>
      <c r="N268" s="889">
        <f t="shared" si="183"/>
        <v>1214.8534820263376</v>
      </c>
      <c r="O268" s="65"/>
      <c r="P268" s="65"/>
      <c r="Q268" s="65">
        <v>160</v>
      </c>
      <c r="R268" s="65">
        <v>8</v>
      </c>
      <c r="S268" s="65"/>
      <c r="T268" s="65">
        <v>400</v>
      </c>
      <c r="U268" s="65">
        <v>1</v>
      </c>
      <c r="V268" s="65">
        <v>120</v>
      </c>
      <c r="W268" s="71">
        <v>1</v>
      </c>
      <c r="X268" s="115">
        <v>8000</v>
      </c>
      <c r="Y268" s="87"/>
      <c r="Z268" s="141"/>
      <c r="AA268" s="371">
        <f t="shared" si="184"/>
        <v>640</v>
      </c>
      <c r="AB268" s="54"/>
      <c r="AC268" s="99">
        <f t="shared" si="185"/>
        <v>3.3333333333333335</v>
      </c>
      <c r="AD268" s="191">
        <f t="shared" si="186"/>
        <v>4.4236800000000001</v>
      </c>
      <c r="AE268" s="446">
        <v>31.3</v>
      </c>
      <c r="AF268" s="198">
        <f>(AE268*1000000-V268*36*1024)/(6000*L268)</f>
        <v>69.990416666666661</v>
      </c>
    </row>
    <row r="269" spans="1:33" ht="12.75" customHeight="1" x14ac:dyDescent="0.2">
      <c r="A269" s="182"/>
      <c r="B269" s="48" t="s">
        <v>715</v>
      </c>
      <c r="C269" s="226"/>
      <c r="D269" s="212"/>
      <c r="E269" s="12" t="s">
        <v>960</v>
      </c>
      <c r="F269" s="466" t="s">
        <v>1018</v>
      </c>
      <c r="G269" s="14" t="s">
        <v>22</v>
      </c>
      <c r="H269" s="40" t="s">
        <v>531</v>
      </c>
      <c r="I269" s="123"/>
      <c r="J269" s="15"/>
      <c r="K269" s="16" t="s">
        <v>22</v>
      </c>
      <c r="L269" s="248" t="s">
        <v>665</v>
      </c>
      <c r="M269" s="383" t="s">
        <v>696</v>
      </c>
      <c r="N269" s="380">
        <f>AVERAGE(N270:N277)</f>
        <v>892.77944009324176</v>
      </c>
      <c r="O269" s="382">
        <f>AVERAGE(O271:O301)</f>
        <v>293.53946035385923</v>
      </c>
      <c r="P269" s="60"/>
      <c r="Q269" s="399" t="s">
        <v>1739</v>
      </c>
      <c r="R269" s="399" t="s">
        <v>1341</v>
      </c>
      <c r="S269" s="61" t="s">
        <v>965</v>
      </c>
      <c r="T269" s="61"/>
      <c r="U269" s="61" t="s">
        <v>963</v>
      </c>
      <c r="V269" s="74" t="s">
        <v>433</v>
      </c>
      <c r="W269" s="399" t="s">
        <v>1167</v>
      </c>
      <c r="X269" s="109" t="s">
        <v>207</v>
      </c>
      <c r="Y269" s="80" t="s">
        <v>695</v>
      </c>
      <c r="Z269" s="206"/>
      <c r="AA269" s="370">
        <f>AVERAGE(AA270:AB277)</f>
        <v>364.93393393393393</v>
      </c>
      <c r="AB269" s="92">
        <f>AVERAGE(AB271:AB301)</f>
        <v>526.46229654403567</v>
      </c>
      <c r="AC269" s="98">
        <f>AVERAGE(AC270:AC277)</f>
        <v>4.4519868449662958</v>
      </c>
      <c r="AD269" s="109" t="s">
        <v>650</v>
      </c>
      <c r="AE269" s="195"/>
      <c r="AF269" s="196">
        <f>AVERAGE(AF270:AF277)</f>
        <v>87.903635156930704</v>
      </c>
      <c r="AG269" t="s">
        <v>983</v>
      </c>
    </row>
    <row r="270" spans="1:33" s="493" customFormat="1" ht="12.75" customHeight="1" x14ac:dyDescent="0.2">
      <c r="A270" s="188" t="s">
        <v>929</v>
      </c>
      <c r="B270" s="41" t="s">
        <v>702</v>
      </c>
      <c r="C270" s="230" t="s">
        <v>697</v>
      </c>
      <c r="D270" s="470"/>
      <c r="E270" s="1003" t="s">
        <v>1784</v>
      </c>
      <c r="F270" s="1192" t="s">
        <v>1556</v>
      </c>
      <c r="G270" s="1148">
        <v>21.59</v>
      </c>
      <c r="H270" s="1038">
        <v>10</v>
      </c>
      <c r="I270" s="1039">
        <v>106</v>
      </c>
      <c r="J270" s="1054"/>
      <c r="K270" s="1149"/>
      <c r="L270" s="896">
        <f>8*X270/1000</f>
        <v>8</v>
      </c>
      <c r="M270" s="1042">
        <f>12.8*X270/1000</f>
        <v>12.8</v>
      </c>
      <c r="N270" s="1150">
        <f>IF(AND(G270&lt;&gt;"",M270&lt;&gt;""),1000*M270/G270,"")</f>
        <v>592.86706808707731</v>
      </c>
      <c r="O270" s="1151"/>
      <c r="P270" s="1102"/>
      <c r="Q270" s="1004">
        <v>40</v>
      </c>
      <c r="R270" s="1004">
        <v>3</v>
      </c>
      <c r="S270" s="1004">
        <v>2</v>
      </c>
      <c r="T270" s="1004">
        <v>150</v>
      </c>
      <c r="U270" s="1004">
        <v>1</v>
      </c>
      <c r="V270" s="1152">
        <v>20</v>
      </c>
      <c r="W270" s="1004">
        <v>1</v>
      </c>
      <c r="X270" s="1153">
        <v>1000</v>
      </c>
      <c r="Y270" s="89"/>
      <c r="Z270" s="1154"/>
      <c r="AA270" s="1155">
        <f>1000*M270/Q270</f>
        <v>320</v>
      </c>
      <c r="AB270" s="95"/>
      <c r="AC270" s="103">
        <f>T270/V270</f>
        <v>7.5</v>
      </c>
      <c r="AD270" s="1047">
        <f>512*72*V270/1000000</f>
        <v>0.73728000000000005</v>
      </c>
      <c r="AE270" s="1156"/>
      <c r="AF270" s="1049"/>
      <c r="AG270" s="493" t="s">
        <v>1169</v>
      </c>
    </row>
    <row r="271" spans="1:33" s="493" customFormat="1" ht="12.75" customHeight="1" x14ac:dyDescent="0.2">
      <c r="A271" s="188" t="s">
        <v>929</v>
      </c>
      <c r="B271" s="41" t="s">
        <v>702</v>
      </c>
      <c r="C271" s="230" t="s">
        <v>697</v>
      </c>
      <c r="D271" s="470"/>
      <c r="E271" s="1003" t="s">
        <v>1598</v>
      </c>
      <c r="F271" s="1192" t="s">
        <v>1555</v>
      </c>
      <c r="G271" s="1148">
        <v>25.69</v>
      </c>
      <c r="H271" s="1038">
        <v>10</v>
      </c>
      <c r="I271" s="1039">
        <v>106</v>
      </c>
      <c r="J271" s="1054"/>
      <c r="K271" s="1149"/>
      <c r="L271" s="896">
        <f>8*X271/1000</f>
        <v>10.4</v>
      </c>
      <c r="M271" s="1042">
        <f>12.8*X271/1000</f>
        <v>16.64</v>
      </c>
      <c r="N271" s="1150">
        <f>IF(AND(G271&lt;&gt;"",M271&lt;&gt;""),1000*M271/G271,"")</f>
        <v>647.72284935772666</v>
      </c>
      <c r="O271" s="1151"/>
      <c r="P271" s="1102"/>
      <c r="Q271" s="1004">
        <v>45</v>
      </c>
      <c r="R271" s="1004">
        <v>5</v>
      </c>
      <c r="S271" s="1004">
        <v>4</v>
      </c>
      <c r="T271" s="1004">
        <v>250</v>
      </c>
      <c r="U271" s="1004">
        <v>1</v>
      </c>
      <c r="V271" s="1152">
        <v>25</v>
      </c>
      <c r="W271" s="1004">
        <v>1</v>
      </c>
      <c r="X271" s="1153">
        <v>1300</v>
      </c>
      <c r="Y271" s="89"/>
      <c r="Z271" s="1154"/>
      <c r="AA271" s="1155">
        <f>1000*M271/Q271</f>
        <v>369.77777777777777</v>
      </c>
      <c r="AB271" s="95"/>
      <c r="AC271" s="103">
        <f>T271/V271</f>
        <v>10</v>
      </c>
      <c r="AD271" s="1047">
        <f>512*72*V271/1000000</f>
        <v>0.92159999999999997</v>
      </c>
      <c r="AE271" s="1156">
        <v>7.4</v>
      </c>
      <c r="AF271" s="1049">
        <f>(AE271*1000000-V271*36*1024)/(6000*L271)</f>
        <v>103.82051282051282</v>
      </c>
      <c r="AG271" s="493" t="s">
        <v>1168</v>
      </c>
    </row>
    <row r="272" spans="1:33" s="493" customFormat="1" ht="12.75" customHeight="1" x14ac:dyDescent="0.2">
      <c r="A272" s="188" t="s">
        <v>929</v>
      </c>
      <c r="B272" s="41" t="s">
        <v>702</v>
      </c>
      <c r="C272" s="230" t="s">
        <v>697</v>
      </c>
      <c r="D272" s="470"/>
      <c r="E272" s="1003" t="s">
        <v>1792</v>
      </c>
      <c r="F272" s="1192" t="s">
        <v>2043</v>
      </c>
      <c r="G272" s="1148">
        <v>25.49</v>
      </c>
      <c r="H272" s="1038">
        <v>10</v>
      </c>
      <c r="I272" s="1039">
        <v>106</v>
      </c>
      <c r="J272" s="1054"/>
      <c r="K272" s="1149"/>
      <c r="L272" s="896">
        <f>8*X272/1000</f>
        <v>14.6</v>
      </c>
      <c r="M272" s="1042">
        <f>12.8*X272/1000</f>
        <v>23.36</v>
      </c>
      <c r="N272" s="1150">
        <f>IF(AND(G272&lt;&gt;"",M272&lt;&gt;""),1000*M272/G272,"")</f>
        <v>916.43781875245202</v>
      </c>
      <c r="O272" s="1151"/>
      <c r="P272" s="1102"/>
      <c r="Q272" s="1004">
        <v>80</v>
      </c>
      <c r="R272" s="1004">
        <v>3</v>
      </c>
      <c r="S272" s="1004">
        <v>4</v>
      </c>
      <c r="T272" s="1004">
        <v>150</v>
      </c>
      <c r="U272" s="1004">
        <v>1</v>
      </c>
      <c r="V272" s="1152">
        <v>45</v>
      </c>
      <c r="W272" s="1004">
        <v>1</v>
      </c>
      <c r="X272" s="1153">
        <v>1825</v>
      </c>
      <c r="Y272" s="89"/>
      <c r="Z272" s="1154"/>
      <c r="AA272" s="1155">
        <f>1000*M272/Q272</f>
        <v>292</v>
      </c>
      <c r="AB272" s="95"/>
      <c r="AC272" s="103">
        <f>T272/V272</f>
        <v>3.3333333333333335</v>
      </c>
      <c r="AD272" s="1047">
        <f>512*72*V272/1000000</f>
        <v>1.6588799999999999</v>
      </c>
      <c r="AE272" s="1156">
        <v>7.4</v>
      </c>
      <c r="AF272" s="1049">
        <f>(AE272*1000000-V272*36*1024)/(6000*L272)</f>
        <v>65.537899543378998</v>
      </c>
      <c r="AG272" s="492" t="s">
        <v>1170</v>
      </c>
    </row>
    <row r="273" spans="1:33" x14ac:dyDescent="0.2">
      <c r="A273" s="188" t="s">
        <v>929</v>
      </c>
      <c r="B273" s="17" t="s">
        <v>702</v>
      </c>
      <c r="C273" s="227" t="s">
        <v>697</v>
      </c>
      <c r="D273" s="213"/>
      <c r="E273" s="910" t="s">
        <v>1599</v>
      </c>
      <c r="F273" s="1192" t="s">
        <v>1555</v>
      </c>
      <c r="G273" s="43">
        <v>30.706499999999998</v>
      </c>
      <c r="H273" s="128">
        <v>10</v>
      </c>
      <c r="I273" s="430">
        <v>106</v>
      </c>
      <c r="J273" s="138"/>
      <c r="K273" s="44"/>
      <c r="L273" s="456">
        <f t="shared" ref="L273:L277" si="187">8*X273/1000</f>
        <v>20.8</v>
      </c>
      <c r="M273" s="457">
        <f t="shared" ref="M273:M277" si="188">12.8*X273/1000</f>
        <v>33.28</v>
      </c>
      <c r="N273" s="889">
        <f t="shared" ref="N273:N275" si="189">IF(AND(G273&lt;&gt;"",M273&lt;&gt;""),1000*M273/G273,"")</f>
        <v>1083.8096168563659</v>
      </c>
      <c r="O273" s="65"/>
      <c r="P273" s="65"/>
      <c r="Q273" s="65">
        <v>90</v>
      </c>
      <c r="R273" s="65">
        <v>5</v>
      </c>
      <c r="S273" s="65">
        <v>4</v>
      </c>
      <c r="T273" s="65">
        <v>250</v>
      </c>
      <c r="U273" s="65">
        <v>1</v>
      </c>
      <c r="V273" s="65">
        <v>50</v>
      </c>
      <c r="W273" s="71">
        <v>1</v>
      </c>
      <c r="X273" s="115">
        <v>2600</v>
      </c>
      <c r="Y273" s="87"/>
      <c r="Z273" s="141"/>
      <c r="AA273" s="371">
        <f t="shared" ref="AA273:AA277" si="190">1000*M273/Q273</f>
        <v>369.77777777777777</v>
      </c>
      <c r="AB273" s="54"/>
      <c r="AC273" s="99">
        <f t="shared" ref="AC273:AC277" si="191">T273/V273</f>
        <v>5</v>
      </c>
      <c r="AD273" s="191">
        <f t="shared" ref="AD273:AD277" si="192">512*72*V273/1000000</f>
        <v>1.8431999999999999</v>
      </c>
      <c r="AE273" s="446">
        <v>17.536096000000001</v>
      </c>
      <c r="AF273" s="1049">
        <f>(AE273*1000000-V273*36*1024)/(6000*L273)</f>
        <v>125.74435897435897</v>
      </c>
      <c r="AG273" s="6" t="s">
        <v>2324</v>
      </c>
    </row>
    <row r="274" spans="1:33" x14ac:dyDescent="0.2">
      <c r="A274" s="494" t="s">
        <v>189</v>
      </c>
      <c r="B274" s="17" t="s">
        <v>702</v>
      </c>
      <c r="C274" s="227" t="s">
        <v>697</v>
      </c>
      <c r="D274" s="213" t="s">
        <v>704</v>
      </c>
      <c r="E274" s="910" t="s">
        <v>1156</v>
      </c>
      <c r="F274" s="143" t="s">
        <v>1555</v>
      </c>
      <c r="G274" s="43">
        <v>51.59</v>
      </c>
      <c r="H274" s="128">
        <v>10</v>
      </c>
      <c r="I274" s="430">
        <v>106</v>
      </c>
      <c r="J274" s="138"/>
      <c r="K274" s="44"/>
      <c r="L274" s="456">
        <f t="shared" si="187"/>
        <v>32.6</v>
      </c>
      <c r="M274" s="457">
        <f t="shared" si="188"/>
        <v>52.16</v>
      </c>
      <c r="N274" s="889">
        <f t="shared" si="189"/>
        <v>1011.0486528396975</v>
      </c>
      <c r="O274" s="65"/>
      <c r="P274" s="65"/>
      <c r="Q274" s="65">
        <v>120</v>
      </c>
      <c r="R274" s="65">
        <v>5</v>
      </c>
      <c r="S274" s="65">
        <v>4</v>
      </c>
      <c r="T274" s="65">
        <v>250</v>
      </c>
      <c r="U274" s="65">
        <v>1</v>
      </c>
      <c r="V274" s="65">
        <v>75</v>
      </c>
      <c r="W274" s="71">
        <v>1</v>
      </c>
      <c r="X274" s="115">
        <v>4075</v>
      </c>
      <c r="Y274" s="87"/>
      <c r="Z274" s="141"/>
      <c r="AA274" s="371">
        <f t="shared" si="190"/>
        <v>434.66666666666669</v>
      </c>
      <c r="AB274" s="54"/>
      <c r="AC274" s="99">
        <f t="shared" si="191"/>
        <v>3.3333333333333335</v>
      </c>
      <c r="AD274" s="191">
        <f t="shared" si="192"/>
        <v>2.7648000000000001</v>
      </c>
      <c r="AE274" s="446"/>
      <c r="AF274" s="198"/>
    </row>
    <row r="275" spans="1:33" x14ac:dyDescent="0.2">
      <c r="A275" s="494" t="s">
        <v>189</v>
      </c>
      <c r="B275" s="17" t="s">
        <v>702</v>
      </c>
      <c r="C275" s="227" t="s">
        <v>697</v>
      </c>
      <c r="D275" s="213"/>
      <c r="E275" s="910" t="s">
        <v>1600</v>
      </c>
      <c r="F275" s="143" t="s">
        <v>1684</v>
      </c>
      <c r="G275" s="43">
        <v>88.89</v>
      </c>
      <c r="H275" s="128">
        <v>15</v>
      </c>
      <c r="I275" s="430">
        <v>170</v>
      </c>
      <c r="J275" s="138"/>
      <c r="K275" s="44"/>
      <c r="L275" s="456">
        <f t="shared" si="187"/>
        <v>47.2</v>
      </c>
      <c r="M275" s="457">
        <f t="shared" si="188"/>
        <v>75.52</v>
      </c>
      <c r="N275" s="889">
        <f t="shared" si="189"/>
        <v>849.58938013274837</v>
      </c>
      <c r="O275" s="65"/>
      <c r="P275" s="65"/>
      <c r="Q275" s="65">
        <v>180</v>
      </c>
      <c r="R275" s="65">
        <v>6</v>
      </c>
      <c r="S275" s="65">
        <v>8</v>
      </c>
      <c r="T275" s="65">
        <v>300</v>
      </c>
      <c r="U275" s="65">
        <v>1</v>
      </c>
      <c r="V275" s="65">
        <v>105</v>
      </c>
      <c r="W275" s="71">
        <v>1</v>
      </c>
      <c r="X275" s="115">
        <v>5900</v>
      </c>
      <c r="Y275" s="87"/>
      <c r="Z275" s="141"/>
      <c r="AA275" s="371">
        <f t="shared" si="190"/>
        <v>419.55555555555554</v>
      </c>
      <c r="AB275" s="54"/>
      <c r="AC275" s="99">
        <f t="shared" si="191"/>
        <v>2.8571428571428572</v>
      </c>
      <c r="AD275" s="191">
        <f t="shared" si="192"/>
        <v>3.8707199999999999</v>
      </c>
      <c r="AE275" s="446"/>
      <c r="AF275" s="198"/>
      <c r="AG275" s="492"/>
    </row>
    <row r="276" spans="1:33" x14ac:dyDescent="0.2">
      <c r="A276" s="188" t="s">
        <v>929</v>
      </c>
      <c r="B276" s="17" t="s">
        <v>702</v>
      </c>
      <c r="C276" s="227" t="s">
        <v>697</v>
      </c>
      <c r="D276" s="213" t="s">
        <v>704</v>
      </c>
      <c r="E276" s="910" t="s">
        <v>1157</v>
      </c>
      <c r="F276" s="143" t="s">
        <v>1743</v>
      </c>
      <c r="G276" s="43">
        <v>109.2</v>
      </c>
      <c r="H276" s="128">
        <v>15</v>
      </c>
      <c r="I276" s="430">
        <v>210</v>
      </c>
      <c r="J276" s="138"/>
      <c r="K276" s="44"/>
      <c r="L276" s="456">
        <f t="shared" si="187"/>
        <v>63.4</v>
      </c>
      <c r="M276" s="457">
        <f t="shared" si="188"/>
        <v>101.44</v>
      </c>
      <c r="N276" s="889">
        <f>IF(AND(G276&lt;&gt;"",M276&lt;&gt;""),1000*M276/G276,"")</f>
        <v>928.93772893772893</v>
      </c>
      <c r="O276" s="65"/>
      <c r="P276" s="65"/>
      <c r="Q276" s="65">
        <v>240</v>
      </c>
      <c r="R276" s="65">
        <v>6</v>
      </c>
      <c r="S276" s="65">
        <v>8</v>
      </c>
      <c r="T276" s="65">
        <v>300</v>
      </c>
      <c r="U276" s="65">
        <v>1</v>
      </c>
      <c r="V276" s="65">
        <v>135</v>
      </c>
      <c r="W276" s="71">
        <v>1</v>
      </c>
      <c r="X276" s="115">
        <v>7925</v>
      </c>
      <c r="Y276" s="87"/>
      <c r="Z276" s="141"/>
      <c r="AA276" s="371">
        <f t="shared" si="190"/>
        <v>422.66666666666669</v>
      </c>
      <c r="AB276" s="54"/>
      <c r="AC276" s="99">
        <f t="shared" si="191"/>
        <v>2.2222222222222223</v>
      </c>
      <c r="AD276" s="191">
        <f t="shared" si="192"/>
        <v>4.9766399999999997</v>
      </c>
      <c r="AE276" s="446">
        <v>31.3</v>
      </c>
      <c r="AF276" s="198">
        <f>(AE276*1000000-V276*36*1024)/(6000*L276)</f>
        <v>69.199158780231329</v>
      </c>
    </row>
    <row r="277" spans="1:33" ht="13.5" thickBot="1" x14ac:dyDescent="0.25">
      <c r="A277" s="188" t="s">
        <v>929</v>
      </c>
      <c r="B277" s="17" t="s">
        <v>702</v>
      </c>
      <c r="C277" s="227" t="s">
        <v>697</v>
      </c>
      <c r="D277" s="213" t="s">
        <v>704</v>
      </c>
      <c r="E277" s="910" t="s">
        <v>1158</v>
      </c>
      <c r="F277" s="143" t="s">
        <v>1379</v>
      </c>
      <c r="G277" s="43">
        <v>193.7</v>
      </c>
      <c r="H277" s="128">
        <v>19</v>
      </c>
      <c r="I277" s="430">
        <v>285</v>
      </c>
      <c r="J277" s="138"/>
      <c r="K277" s="44"/>
      <c r="L277" s="456">
        <f t="shared" si="187"/>
        <v>134.6</v>
      </c>
      <c r="M277" s="457">
        <f t="shared" si="188"/>
        <v>215.36</v>
      </c>
      <c r="N277" s="889">
        <f>IF(AND(G277&lt;&gt;"",M277&lt;&gt;""),1000*M277/G277,"")</f>
        <v>1111.8224057821374</v>
      </c>
      <c r="O277" s="65"/>
      <c r="P277" s="65"/>
      <c r="Q277" s="65">
        <v>740</v>
      </c>
      <c r="R277" s="65">
        <v>10</v>
      </c>
      <c r="S277" s="65">
        <v>16</v>
      </c>
      <c r="T277" s="65">
        <v>500</v>
      </c>
      <c r="U277" s="65">
        <v>1</v>
      </c>
      <c r="V277" s="65">
        <v>365</v>
      </c>
      <c r="W277" s="71">
        <v>1</v>
      </c>
      <c r="X277" s="115">
        <v>16825</v>
      </c>
      <c r="Y277" s="87"/>
      <c r="Z277" s="141"/>
      <c r="AA277" s="371">
        <f t="shared" si="190"/>
        <v>291.02702702702703</v>
      </c>
      <c r="AB277" s="54"/>
      <c r="AC277" s="99">
        <f t="shared" si="191"/>
        <v>1.3698630136986301</v>
      </c>
      <c r="AD277" s="191">
        <f t="shared" si="192"/>
        <v>13.455360000000001</v>
      </c>
      <c r="AE277" s="446">
        <v>74.2</v>
      </c>
      <c r="AF277" s="198">
        <f>(AE277*1000000-V277*36*1024)/(6000*L277)</f>
        <v>75.216245666171375</v>
      </c>
    </row>
    <row r="278" spans="1:33" x14ac:dyDescent="0.2">
      <c r="A278" s="182"/>
      <c r="B278" s="48" t="s">
        <v>715</v>
      </c>
      <c r="C278" s="226"/>
      <c r="D278" s="212"/>
      <c r="E278" s="12" t="s">
        <v>961</v>
      </c>
      <c r="F278" s="466" t="s">
        <v>1018</v>
      </c>
      <c r="G278" s="14" t="s">
        <v>22</v>
      </c>
      <c r="H278" s="40" t="s">
        <v>531</v>
      </c>
      <c r="I278" s="123"/>
      <c r="J278" s="15"/>
      <c r="K278" s="16" t="s">
        <v>22</v>
      </c>
      <c r="L278" s="248" t="s">
        <v>665</v>
      </c>
      <c r="M278" s="383" t="s">
        <v>696</v>
      </c>
      <c r="N278" s="380">
        <f>AVERAGE(N279:N280)</f>
        <v>633.5394341628147</v>
      </c>
      <c r="O278" s="382">
        <f>AVERAGE(O279:O303)</f>
        <v>269.83168113293567</v>
      </c>
      <c r="P278" s="60"/>
      <c r="Q278" s="399" t="s">
        <v>1739</v>
      </c>
      <c r="R278" s="61" t="s">
        <v>976</v>
      </c>
      <c r="S278" s="61" t="s">
        <v>966</v>
      </c>
      <c r="T278" s="61"/>
      <c r="U278" s="61" t="s">
        <v>964</v>
      </c>
      <c r="V278" s="74" t="s">
        <v>433</v>
      </c>
      <c r="W278" s="399" t="s">
        <v>1167</v>
      </c>
      <c r="X278" s="109" t="s">
        <v>207</v>
      </c>
      <c r="Y278" s="80" t="s">
        <v>695</v>
      </c>
      <c r="Z278" s="206"/>
      <c r="AA278" s="370">
        <f>AVERAGE(AA279:AA280)</f>
        <v>271.86666666666667</v>
      </c>
      <c r="AB278" s="92">
        <f>AVERAGE(AB279:AB303)</f>
        <v>481.3852471200297</v>
      </c>
      <c r="AC278" s="1452">
        <f>AVERAGE(AC279:AC280)</f>
        <v>1.7264957264957266</v>
      </c>
      <c r="AD278" s="109" t="s">
        <v>650</v>
      </c>
      <c r="AE278" s="195"/>
      <c r="AF278" s="196">
        <f>AVERAGE(AF279:AF280)</f>
        <v>68.782089446929973</v>
      </c>
      <c r="AG278" t="s">
        <v>984</v>
      </c>
    </row>
    <row r="279" spans="1:33" x14ac:dyDescent="0.2">
      <c r="A279" s="188" t="s">
        <v>929</v>
      </c>
      <c r="B279" s="17" t="s">
        <v>702</v>
      </c>
      <c r="C279" s="227" t="s">
        <v>697</v>
      </c>
      <c r="D279" s="213"/>
      <c r="E279" s="910" t="s">
        <v>974</v>
      </c>
      <c r="F279" s="143" t="s">
        <v>1336</v>
      </c>
      <c r="G279" s="43">
        <v>133.91</v>
      </c>
      <c r="H279" s="128">
        <v>23</v>
      </c>
      <c r="I279" s="430">
        <v>285</v>
      </c>
      <c r="J279" s="138"/>
      <c r="K279" s="44"/>
      <c r="L279" s="456">
        <f t="shared" ref="L279:L280" si="193">8*X279/1000</f>
        <v>41</v>
      </c>
      <c r="M279" s="457">
        <f t="shared" ref="M279:M280" si="194">12.8*X279/1000</f>
        <v>65.599999999999994</v>
      </c>
      <c r="N279" s="65">
        <f t="shared" ref="N279:N280" si="195">IF(AND(G279&lt;&gt;"",M279&lt;&gt;""),1000*M279/G279,"")</f>
        <v>489.88126353521022</v>
      </c>
      <c r="O279" s="65"/>
      <c r="P279" s="65"/>
      <c r="Q279" s="65">
        <v>240</v>
      </c>
      <c r="R279" s="65">
        <v>6</v>
      </c>
      <c r="S279" s="65">
        <v>8</v>
      </c>
      <c r="T279" s="65">
        <v>300</v>
      </c>
      <c r="U279" s="65">
        <v>1</v>
      </c>
      <c r="V279" s="65">
        <v>135</v>
      </c>
      <c r="W279" s="71">
        <v>1</v>
      </c>
      <c r="X279" s="115">
        <v>5125</v>
      </c>
      <c r="Y279" s="87"/>
      <c r="Z279" s="141"/>
      <c r="AA279" s="371">
        <f t="shared" ref="AA279:AA280" si="196">1000*M279/Q279</f>
        <v>273.33333333333331</v>
      </c>
      <c r="AB279" s="54"/>
      <c r="AC279" s="281">
        <f t="shared" ref="AC279:AC280" si="197">T279/V279</f>
        <v>2.2222222222222223</v>
      </c>
      <c r="AD279" s="191">
        <f t="shared" ref="AD279:AD280" si="198">512*72*V279/1000000</f>
        <v>4.9766399999999997</v>
      </c>
      <c r="AE279" s="446">
        <v>23</v>
      </c>
      <c r="AF279" s="198">
        <f t="shared" ref="AF279:AF280" si="199">(AE279*1000000-V279*36*1024)/(6000*L279)</f>
        <v>73.265691056910569</v>
      </c>
      <c r="AG279" s="493" t="s">
        <v>1168</v>
      </c>
    </row>
    <row r="280" spans="1:33" ht="13.5" thickBot="1" x14ac:dyDescent="0.25">
      <c r="A280" s="188" t="s">
        <v>929</v>
      </c>
      <c r="B280" s="17" t="s">
        <v>702</v>
      </c>
      <c r="C280" s="227" t="s">
        <v>697</v>
      </c>
      <c r="D280" s="213"/>
      <c r="E280" s="910" t="s">
        <v>1039</v>
      </c>
      <c r="F280" s="143" t="s">
        <v>1336</v>
      </c>
      <c r="G280" s="43">
        <v>208.75</v>
      </c>
      <c r="H280" s="128">
        <v>23</v>
      </c>
      <c r="I280" s="430">
        <v>285</v>
      </c>
      <c r="J280" s="138"/>
      <c r="K280" s="44"/>
      <c r="L280" s="456">
        <f t="shared" si="193"/>
        <v>101.4</v>
      </c>
      <c r="M280" s="457">
        <f t="shared" si="194"/>
        <v>162.24</v>
      </c>
      <c r="N280" s="65">
        <f t="shared" si="195"/>
        <v>777.19760479041918</v>
      </c>
      <c r="O280" s="65"/>
      <c r="P280" s="65"/>
      <c r="Q280" s="65">
        <v>600</v>
      </c>
      <c r="R280" s="65">
        <v>8</v>
      </c>
      <c r="S280" s="65">
        <v>8</v>
      </c>
      <c r="T280" s="65">
        <v>400</v>
      </c>
      <c r="U280" s="65">
        <v>1</v>
      </c>
      <c r="V280" s="65">
        <v>325</v>
      </c>
      <c r="W280" s="71">
        <v>1</v>
      </c>
      <c r="X280" s="115">
        <v>12675</v>
      </c>
      <c r="Y280" s="87"/>
      <c r="Z280" s="141"/>
      <c r="AA280" s="371">
        <f t="shared" si="196"/>
        <v>270.39999999999998</v>
      </c>
      <c r="AB280" s="54"/>
      <c r="AC280" s="281">
        <f t="shared" si="197"/>
        <v>1.2307692307692308</v>
      </c>
      <c r="AD280" s="191">
        <f t="shared" si="198"/>
        <v>11.9808</v>
      </c>
      <c r="AE280" s="446">
        <v>51.1</v>
      </c>
      <c r="AF280" s="198">
        <f t="shared" si="199"/>
        <v>64.298487836949377</v>
      </c>
      <c r="AG280" s="493" t="s">
        <v>1169</v>
      </c>
    </row>
    <row r="281" spans="1:33" x14ac:dyDescent="0.2">
      <c r="A281" s="182"/>
      <c r="B281" s="48" t="s">
        <v>715</v>
      </c>
      <c r="C281" s="226"/>
      <c r="D281" s="212"/>
      <c r="E281" s="12" t="s">
        <v>1073</v>
      </c>
      <c r="F281" s="466" t="s">
        <v>1018</v>
      </c>
      <c r="G281" s="14" t="s">
        <v>22</v>
      </c>
      <c r="H281" s="40" t="s">
        <v>531</v>
      </c>
      <c r="I281" s="123"/>
      <c r="J281" s="15"/>
      <c r="K281" s="16" t="s">
        <v>22</v>
      </c>
      <c r="L281" s="248" t="s">
        <v>665</v>
      </c>
      <c r="M281" s="383" t="s">
        <v>696</v>
      </c>
      <c r="N281" s="380">
        <f>AVERAGE(N282:N288)</f>
        <v>610.23669397995843</v>
      </c>
      <c r="O281" s="382">
        <f>AVERAGE(O287:O319)</f>
        <v>294.94398942584195</v>
      </c>
      <c r="P281" s="489" t="s">
        <v>1074</v>
      </c>
      <c r="Q281" s="399" t="s">
        <v>1739</v>
      </c>
      <c r="R281" s="61" t="s">
        <v>976</v>
      </c>
      <c r="S281" s="61" t="s">
        <v>1380</v>
      </c>
      <c r="T281" s="61"/>
      <c r="U281" s="399" t="s">
        <v>964</v>
      </c>
      <c r="V281" s="490" t="s">
        <v>433</v>
      </c>
      <c r="W281" s="491" t="s">
        <v>1075</v>
      </c>
      <c r="X281" s="109" t="s">
        <v>207</v>
      </c>
      <c r="Y281" s="80" t="s">
        <v>695</v>
      </c>
      <c r="Z281" s="206"/>
      <c r="AA281" s="370">
        <f>AVERAGE(AA285:AA301)</f>
        <v>318.47093391777139</v>
      </c>
      <c r="AB281" s="92">
        <f>AVERAGE(AB287:AB319)</f>
        <v>533.00873281308066</v>
      </c>
      <c r="AC281" s="1452">
        <f>AVERAGE(AC285:AC288)</f>
        <v>1.9188726533314417</v>
      </c>
      <c r="AD281" s="109" t="s">
        <v>650</v>
      </c>
      <c r="AE281" s="195"/>
      <c r="AF281" s="196">
        <f>AVERAGE(AF285:AF288)</f>
        <v>97.886995372713528</v>
      </c>
      <c r="AG281" s="492" t="s">
        <v>1076</v>
      </c>
    </row>
    <row r="282" spans="1:33" x14ac:dyDescent="0.2">
      <c r="A282" s="188" t="s">
        <v>929</v>
      </c>
      <c r="B282" s="17" t="s">
        <v>702</v>
      </c>
      <c r="C282" s="227" t="s">
        <v>697</v>
      </c>
      <c r="D282" s="213"/>
      <c r="E282" s="910" t="s">
        <v>1793</v>
      </c>
      <c r="F282" s="143" t="s">
        <v>1455</v>
      </c>
      <c r="G282" s="43">
        <v>46.13</v>
      </c>
      <c r="H282" s="128">
        <v>15</v>
      </c>
      <c r="I282" s="430">
        <v>100</v>
      </c>
      <c r="J282" s="138"/>
      <c r="K282" s="44"/>
      <c r="L282" s="456">
        <f>8*X282/1000</f>
        <v>14.4</v>
      </c>
      <c r="M282" s="457">
        <f>12.8*X282/1000</f>
        <v>23.04</v>
      </c>
      <c r="N282" s="65">
        <f>IF(AND(G282&lt;&gt;"",M282&lt;&gt;""),1000*M282/G282,"")</f>
        <v>499.45805332755253</v>
      </c>
      <c r="O282" s="65"/>
      <c r="P282" s="65">
        <v>1</v>
      </c>
      <c r="Q282" s="65">
        <v>66</v>
      </c>
      <c r="R282" s="65">
        <v>14</v>
      </c>
      <c r="S282" s="65"/>
      <c r="T282" s="449">
        <v>154</v>
      </c>
      <c r="U282" s="65"/>
      <c r="V282" s="65">
        <v>50</v>
      </c>
      <c r="W282" s="65">
        <v>768</v>
      </c>
      <c r="X282" s="115">
        <v>1800</v>
      </c>
      <c r="Y282" s="87"/>
      <c r="Z282" s="141"/>
      <c r="AA282" s="371">
        <f>1000*M282/Q282</f>
        <v>349.09090909090907</v>
      </c>
      <c r="AB282" s="54"/>
      <c r="AC282" s="281">
        <f>T282/V282</f>
        <v>3.08</v>
      </c>
      <c r="AD282" s="191">
        <f>512*72*V282/1000000</f>
        <v>1.8431999999999999</v>
      </c>
      <c r="AE282" s="197">
        <v>16.669920000000001</v>
      </c>
      <c r="AF282" s="1049"/>
      <c r="AG282" s="493" t="s">
        <v>1877</v>
      </c>
    </row>
    <row r="283" spans="1:33" x14ac:dyDescent="0.2">
      <c r="A283" s="188" t="s">
        <v>929</v>
      </c>
      <c r="B283" s="17" t="s">
        <v>702</v>
      </c>
      <c r="C283" s="227" t="s">
        <v>697</v>
      </c>
      <c r="D283" s="213"/>
      <c r="E283" s="910" t="s">
        <v>1794</v>
      </c>
      <c r="F283" s="143" t="s">
        <v>1463</v>
      </c>
      <c r="G283" s="43">
        <v>98.7</v>
      </c>
      <c r="H283" s="128">
        <v>19</v>
      </c>
      <c r="I283" s="430">
        <v>150</v>
      </c>
      <c r="J283" s="138"/>
      <c r="K283" s="44"/>
      <c r="L283" s="456">
        <f>8*X283/1000</f>
        <v>34.4</v>
      </c>
      <c r="M283" s="457">
        <f>12.8*X283/1000</f>
        <v>55.04</v>
      </c>
      <c r="N283" s="65">
        <f>IF(AND(G283&lt;&gt;"",M283&lt;&gt;""),1000*M283/G283,"")</f>
        <v>557.6494427558257</v>
      </c>
      <c r="O283" s="65"/>
      <c r="P283" s="65">
        <v>1</v>
      </c>
      <c r="Q283" s="65">
        <v>120</v>
      </c>
      <c r="R283" s="65">
        <v>14</v>
      </c>
      <c r="S283" s="65">
        <v>4</v>
      </c>
      <c r="T283" s="449">
        <v>204</v>
      </c>
      <c r="U283" s="65">
        <v>4</v>
      </c>
      <c r="V283" s="65">
        <v>72</v>
      </c>
      <c r="W283" s="65">
        <v>768</v>
      </c>
      <c r="X283" s="115">
        <v>4300</v>
      </c>
      <c r="Y283" s="87"/>
      <c r="Z283" s="141"/>
      <c r="AA283" s="371">
        <f>1000*M283/Q283</f>
        <v>458.66666666666669</v>
      </c>
      <c r="AB283" s="54"/>
      <c r="AC283" s="281">
        <f>T283/V283</f>
        <v>2.8333333333333335</v>
      </c>
      <c r="AD283" s="191">
        <f>512*72*V283/1000000</f>
        <v>2.6542080000000001</v>
      </c>
      <c r="AE283" s="197">
        <v>28.085343999999999</v>
      </c>
      <c r="AF283" s="1049"/>
    </row>
    <row r="284" spans="1:33" x14ac:dyDescent="0.2">
      <c r="A284" s="188" t="s">
        <v>929</v>
      </c>
      <c r="B284" s="17" t="s">
        <v>702</v>
      </c>
      <c r="C284" s="227" t="s">
        <v>697</v>
      </c>
      <c r="D284" s="213"/>
      <c r="E284" s="910" t="s">
        <v>1795</v>
      </c>
      <c r="F284" s="143" t="s">
        <v>1454</v>
      </c>
      <c r="G284" s="43">
        <v>88.9</v>
      </c>
      <c r="H284" s="128">
        <v>15</v>
      </c>
      <c r="I284" s="430">
        <v>200</v>
      </c>
      <c r="J284" s="138"/>
      <c r="K284" s="44"/>
      <c r="L284" s="456">
        <f>8*X284/1000</f>
        <v>40.6</v>
      </c>
      <c r="M284" s="457">
        <f>12.8*X284/1000</f>
        <v>64.959999999999994</v>
      </c>
      <c r="N284" s="65">
        <f>IF(AND(G284&lt;&gt;"",M284&lt;&gt;""),1000*M284/G284,"")</f>
        <v>730.70866141732267</v>
      </c>
      <c r="O284" s="65"/>
      <c r="P284" s="65">
        <v>1</v>
      </c>
      <c r="Q284" s="65">
        <v>170</v>
      </c>
      <c r="R284" s="65">
        <v>14</v>
      </c>
      <c r="S284" s="65"/>
      <c r="T284" s="449">
        <v>254</v>
      </c>
      <c r="U284" s="65"/>
      <c r="V284" s="65">
        <v>107</v>
      </c>
      <c r="W284" s="65">
        <v>768</v>
      </c>
      <c r="X284" s="115">
        <v>5075</v>
      </c>
      <c r="Y284" s="87"/>
      <c r="Z284" s="141" t="str">
        <f>IF(AND(L284&lt;&gt;"",Y284&lt;&gt;""),1000*L284/Y284,"")</f>
        <v/>
      </c>
      <c r="AA284" s="371">
        <f>1000*M284/Q284</f>
        <v>382.11764705882348</v>
      </c>
      <c r="AB284" s="54"/>
      <c r="AC284" s="281">
        <f>T284/V284</f>
        <v>2.3738317757009346</v>
      </c>
      <c r="AD284" s="191">
        <f>512*72*V284/1000000</f>
        <v>3.944448</v>
      </c>
      <c r="AE284" s="197">
        <v>32.364511999999998</v>
      </c>
      <c r="AF284" s="1049"/>
      <c r="AG284" s="493"/>
    </row>
    <row r="285" spans="1:33" x14ac:dyDescent="0.2">
      <c r="A285" s="188" t="s">
        <v>929</v>
      </c>
      <c r="B285" s="17" t="s">
        <v>702</v>
      </c>
      <c r="C285" s="227" t="s">
        <v>697</v>
      </c>
      <c r="D285" s="213"/>
      <c r="E285" s="910" t="s">
        <v>1370</v>
      </c>
      <c r="F285" s="143" t="s">
        <v>1455</v>
      </c>
      <c r="G285" s="43">
        <v>54.86</v>
      </c>
      <c r="H285" s="128">
        <v>15</v>
      </c>
      <c r="I285" s="430">
        <v>80</v>
      </c>
      <c r="J285" s="138"/>
      <c r="K285" s="44"/>
      <c r="L285" s="456">
        <f t="shared" ref="L285:L288" si="200">8*X285/1000</f>
        <v>17.600000000000001</v>
      </c>
      <c r="M285" s="457">
        <f t="shared" ref="M285:M288" si="201">12.8*X285/1000</f>
        <v>28.16</v>
      </c>
      <c r="N285" s="65">
        <f t="shared" ref="N285:N288" si="202">IF(AND(G285&lt;&gt;"",M285&lt;&gt;""),1000*M285/G285,"")</f>
        <v>513.30659861465551</v>
      </c>
      <c r="O285" s="65"/>
      <c r="P285" s="65">
        <v>2</v>
      </c>
      <c r="Q285" s="65">
        <v>80</v>
      </c>
      <c r="R285" s="65">
        <v>14</v>
      </c>
      <c r="S285" s="65"/>
      <c r="T285" s="449">
        <v>154</v>
      </c>
      <c r="U285" s="65"/>
      <c r="V285" s="65">
        <v>60</v>
      </c>
      <c r="W285" s="65">
        <v>768</v>
      </c>
      <c r="X285" s="115">
        <v>2200</v>
      </c>
      <c r="Y285" s="87">
        <v>15</v>
      </c>
      <c r="Z285" s="141">
        <f>IF(AND(L285&lt;&gt;"",Y285&lt;&gt;""),1000*L285/Y285,"")</f>
        <v>1173.3333333333333</v>
      </c>
      <c r="AA285" s="371">
        <f t="shared" ref="AA285:AA288" si="203">1000*M285/Q285</f>
        <v>352</v>
      </c>
      <c r="AB285" s="54"/>
      <c r="AC285" s="281">
        <f t="shared" ref="AC285:AC288" si="204">T285/V285</f>
        <v>2.5666666666666669</v>
      </c>
      <c r="AD285" s="191">
        <f t="shared" ref="AD285:AD288" si="205">512*72*V285/1000000</f>
        <v>2.21184</v>
      </c>
      <c r="AE285" s="197">
        <v>16.669920000000001</v>
      </c>
      <c r="AF285" s="1049">
        <f t="shared" ref="AF285:AF288" si="206">(AE285*1000000-V285*36*1024)/(6000*L285)</f>
        <v>136.91363636363636</v>
      </c>
      <c r="AG285" s="493" t="s">
        <v>1077</v>
      </c>
    </row>
    <row r="286" spans="1:33" x14ac:dyDescent="0.2">
      <c r="A286" s="188" t="s">
        <v>929</v>
      </c>
      <c r="B286" s="17" t="s">
        <v>702</v>
      </c>
      <c r="C286" s="227" t="s">
        <v>697</v>
      </c>
      <c r="D286" s="213"/>
      <c r="E286" s="910" t="s">
        <v>1462</v>
      </c>
      <c r="F286" s="143" t="s">
        <v>1463</v>
      </c>
      <c r="G286" s="43">
        <v>123.56</v>
      </c>
      <c r="H286" s="128">
        <v>19</v>
      </c>
      <c r="I286" s="430">
        <v>204</v>
      </c>
      <c r="J286" s="138"/>
      <c r="K286" s="44"/>
      <c r="L286" s="456">
        <f t="shared" si="200"/>
        <v>46.2</v>
      </c>
      <c r="M286" s="457">
        <f t="shared" si="201"/>
        <v>73.92</v>
      </c>
      <c r="N286" s="65">
        <f t="shared" si="202"/>
        <v>598.25186144383292</v>
      </c>
      <c r="O286" s="65"/>
      <c r="P286" s="65">
        <v>2</v>
      </c>
      <c r="Q286" s="65">
        <v>160</v>
      </c>
      <c r="R286" s="65">
        <v>14</v>
      </c>
      <c r="S286" s="65">
        <v>4</v>
      </c>
      <c r="T286" s="449">
        <v>204</v>
      </c>
      <c r="U286" s="65">
        <v>4</v>
      </c>
      <c r="V286" s="65">
        <v>95</v>
      </c>
      <c r="W286" s="65">
        <v>768</v>
      </c>
      <c r="X286" s="115">
        <v>5775</v>
      </c>
      <c r="Y286" s="87"/>
      <c r="Z286" s="141"/>
      <c r="AA286" s="371">
        <f t="shared" si="203"/>
        <v>462</v>
      </c>
      <c r="AB286" s="54"/>
      <c r="AC286" s="281">
        <f t="shared" si="204"/>
        <v>2.1473684210526316</v>
      </c>
      <c r="AD286" s="191">
        <f t="shared" si="205"/>
        <v>3.5020799999999999</v>
      </c>
      <c r="AE286" s="197">
        <v>28.085343999999999</v>
      </c>
      <c r="AF286" s="1049">
        <f t="shared" si="206"/>
        <v>88.684213564213564</v>
      </c>
      <c r="AG286" s="6" t="s">
        <v>2324</v>
      </c>
    </row>
    <row r="287" spans="1:33" x14ac:dyDescent="0.2">
      <c r="A287" s="188" t="s">
        <v>929</v>
      </c>
      <c r="B287" s="17" t="s">
        <v>702</v>
      </c>
      <c r="C287" s="227" t="s">
        <v>697</v>
      </c>
      <c r="D287" s="213" t="s">
        <v>704</v>
      </c>
      <c r="E287" s="910" t="s">
        <v>1371</v>
      </c>
      <c r="F287" s="143" t="s">
        <v>1454</v>
      </c>
      <c r="G287" s="43">
        <v>113.89</v>
      </c>
      <c r="H287" s="128">
        <v>15</v>
      </c>
      <c r="I287" s="430">
        <v>80</v>
      </c>
      <c r="J287" s="138"/>
      <c r="K287" s="44"/>
      <c r="L287" s="456">
        <f t="shared" si="200"/>
        <v>53.2</v>
      </c>
      <c r="M287" s="457">
        <f t="shared" si="201"/>
        <v>85.12</v>
      </c>
      <c r="N287" s="65">
        <f t="shared" si="202"/>
        <v>747.38783036263055</v>
      </c>
      <c r="O287" s="65"/>
      <c r="P287" s="65">
        <v>2</v>
      </c>
      <c r="Q287" s="65">
        <v>220</v>
      </c>
      <c r="R287" s="65">
        <v>14</v>
      </c>
      <c r="S287" s="65"/>
      <c r="T287" s="449">
        <v>254</v>
      </c>
      <c r="U287" s="65"/>
      <c r="V287" s="65">
        <v>140</v>
      </c>
      <c r="W287" s="65">
        <v>768</v>
      </c>
      <c r="X287" s="115">
        <v>6650</v>
      </c>
      <c r="Y287" s="87"/>
      <c r="Z287" s="141" t="str">
        <f>IF(AND(L287&lt;&gt;"",Y287&lt;&gt;""),1000*L287/Y287,"")</f>
        <v/>
      </c>
      <c r="AA287" s="371">
        <f t="shared" si="203"/>
        <v>386.90909090909093</v>
      </c>
      <c r="AB287" s="54"/>
      <c r="AC287" s="281">
        <f t="shared" si="204"/>
        <v>1.8142857142857143</v>
      </c>
      <c r="AD287" s="191">
        <f t="shared" si="205"/>
        <v>5.1609600000000002</v>
      </c>
      <c r="AE287" s="197">
        <v>32.364511999999998</v>
      </c>
      <c r="AF287" s="1049">
        <f t="shared" si="206"/>
        <v>85.224160401002493</v>
      </c>
      <c r="AG287" s="493" t="s">
        <v>1381</v>
      </c>
    </row>
    <row r="288" spans="1:33" ht="13.5" thickBot="1" x14ac:dyDescent="0.25">
      <c r="A288" s="188" t="s">
        <v>929</v>
      </c>
      <c r="B288" s="17" t="s">
        <v>702</v>
      </c>
      <c r="C288" s="227" t="s">
        <v>697</v>
      </c>
      <c r="D288" s="213" t="s">
        <v>704</v>
      </c>
      <c r="E288" s="910" t="s">
        <v>1372</v>
      </c>
      <c r="F288" s="143" t="s">
        <v>1379</v>
      </c>
      <c r="G288" s="43">
        <v>201.25</v>
      </c>
      <c r="H288" s="128">
        <v>23</v>
      </c>
      <c r="I288" s="430">
        <v>163</v>
      </c>
      <c r="J288" s="138"/>
      <c r="K288" s="44"/>
      <c r="L288" s="456">
        <f t="shared" si="200"/>
        <v>78.599999999999994</v>
      </c>
      <c r="M288" s="457">
        <f t="shared" si="201"/>
        <v>125.76</v>
      </c>
      <c r="N288" s="65">
        <f t="shared" si="202"/>
        <v>624.89440993788821</v>
      </c>
      <c r="O288" s="65"/>
      <c r="P288" s="65">
        <v>2</v>
      </c>
      <c r="Q288" s="65">
        <v>400</v>
      </c>
      <c r="R288" s="65">
        <v>18</v>
      </c>
      <c r="S288" s="65">
        <v>4</v>
      </c>
      <c r="T288" s="449">
        <v>304</v>
      </c>
      <c r="U288" s="469">
        <v>4</v>
      </c>
      <c r="V288" s="65">
        <v>265</v>
      </c>
      <c r="W288" s="65">
        <v>768</v>
      </c>
      <c r="X288" s="115">
        <v>9825</v>
      </c>
      <c r="Y288" s="87"/>
      <c r="Z288" s="141" t="str">
        <f>IF(AND(L288&lt;&gt;"",Y288&lt;&gt;""),1000*L288/Y288,"")</f>
        <v/>
      </c>
      <c r="AA288" s="371">
        <f t="shared" si="203"/>
        <v>314.39999999999998</v>
      </c>
      <c r="AB288" s="54"/>
      <c r="AC288" s="281">
        <f t="shared" si="204"/>
        <v>1.1471698113207547</v>
      </c>
      <c r="AD288" s="191">
        <f t="shared" si="205"/>
        <v>9.7689599999999999</v>
      </c>
      <c r="AE288" s="197">
        <v>47.839328000000002</v>
      </c>
      <c r="AF288" s="1049">
        <f t="shared" si="206"/>
        <v>80.725971162001713</v>
      </c>
      <c r="AG288" s="492" t="s">
        <v>1078</v>
      </c>
    </row>
    <row r="289" spans="1:33" x14ac:dyDescent="0.2">
      <c r="A289" s="182"/>
      <c r="B289" s="48" t="s">
        <v>715</v>
      </c>
      <c r="C289" s="226"/>
      <c r="D289" s="212"/>
      <c r="E289" s="12" t="s">
        <v>1491</v>
      </c>
      <c r="F289" s="466" t="s">
        <v>1437</v>
      </c>
      <c r="G289" s="14" t="s">
        <v>22</v>
      </c>
      <c r="H289" s="497" t="s">
        <v>1509</v>
      </c>
      <c r="I289" s="123"/>
      <c r="J289" s="15"/>
      <c r="K289" s="16" t="s">
        <v>22</v>
      </c>
      <c r="L289" s="248" t="s">
        <v>665</v>
      </c>
      <c r="M289" s="383" t="s">
        <v>1704</v>
      </c>
      <c r="N289" s="380">
        <f>AVERAGE(N291:N291)</f>
        <v>393.32787465698857</v>
      </c>
      <c r="O289" s="382">
        <f>AVERAGE(O291:O326)</f>
        <v>316.60191839605716</v>
      </c>
      <c r="P289" s="60"/>
      <c r="Q289" s="399" t="s">
        <v>1739</v>
      </c>
      <c r="R289" s="61" t="s">
        <v>976</v>
      </c>
      <c r="S289" s="399" t="s">
        <v>1505</v>
      </c>
      <c r="T289" s="61"/>
      <c r="U289" s="61" t="s">
        <v>964</v>
      </c>
      <c r="V289" s="74" t="s">
        <v>433</v>
      </c>
      <c r="W289" s="399" t="s">
        <v>1167</v>
      </c>
      <c r="X289" s="109" t="s">
        <v>207</v>
      </c>
      <c r="Y289" s="80" t="s">
        <v>695</v>
      </c>
      <c r="Z289" s="206"/>
      <c r="AA289" s="370">
        <f>AVERAGE(AA291:AA291)</f>
        <v>261.37794117647059</v>
      </c>
      <c r="AB289" s="92">
        <f>AVERAGE(AB291:AB326)</f>
        <v>529.69156447417322</v>
      </c>
      <c r="AC289" s="1452">
        <f>AVERAGE(AC291:AC291)</f>
        <v>0.96296296296296291</v>
      </c>
      <c r="AD289" s="109" t="s">
        <v>650</v>
      </c>
      <c r="AE289" s="195"/>
      <c r="AF289" s="196" t="e">
        <f>AVERAGE(AF291:AF291)</f>
        <v>#DIV/0!</v>
      </c>
      <c r="AG289" s="493" t="s">
        <v>1504</v>
      </c>
    </row>
    <row r="290" spans="1:33" x14ac:dyDescent="0.2">
      <c r="A290" s="188" t="s">
        <v>929</v>
      </c>
      <c r="B290" s="41" t="s">
        <v>702</v>
      </c>
      <c r="C290" s="227"/>
      <c r="D290" s="229" t="s">
        <v>708</v>
      </c>
      <c r="E290" s="910" t="s">
        <v>1698</v>
      </c>
      <c r="F290" s="143" t="s">
        <v>1657</v>
      </c>
      <c r="G290" s="43">
        <v>944.44449999999995</v>
      </c>
      <c r="H290" s="128">
        <v>27</v>
      </c>
      <c r="I290" s="430">
        <v>312</v>
      </c>
      <c r="J290" s="138"/>
      <c r="K290" s="44"/>
      <c r="L290" s="456">
        <f>8*X290/1000</f>
        <v>145.44</v>
      </c>
      <c r="M290" s="457">
        <f t="shared" ref="M290:M291" si="207">17.5*X290/1000</f>
        <v>318.14999999999998</v>
      </c>
      <c r="N290" s="65">
        <f>IF(AND(G290&lt;&gt;"",M290&lt;&gt;""),1000*M290/G290,"")</f>
        <v>336.86468606678318</v>
      </c>
      <c r="O290" s="65"/>
      <c r="P290" s="65"/>
      <c r="Q290" s="65">
        <v>1152</v>
      </c>
      <c r="R290" s="65">
        <v>8</v>
      </c>
      <c r="S290" s="65">
        <v>12</v>
      </c>
      <c r="T290" s="65">
        <v>312</v>
      </c>
      <c r="U290" s="65">
        <v>1</v>
      </c>
      <c r="V290" s="65">
        <v>344</v>
      </c>
      <c r="W290" s="71">
        <v>1</v>
      </c>
      <c r="X290" s="115">
        <v>18180</v>
      </c>
      <c r="Y290" s="87"/>
      <c r="Z290" s="141"/>
      <c r="AA290" s="371">
        <f>1000*M290/Q290</f>
        <v>276.171875</v>
      </c>
      <c r="AB290" s="54"/>
      <c r="AC290" s="281">
        <f>T290/V290</f>
        <v>0.90697674418604646</v>
      </c>
      <c r="AD290" s="191">
        <f>512*72*V290/1000000</f>
        <v>12.681215999999999</v>
      </c>
      <c r="AE290" s="446">
        <v>128.05526399999999</v>
      </c>
      <c r="AF290" s="198"/>
      <c r="AG290" s="493"/>
    </row>
    <row r="291" spans="1:33" ht="13.5" thickBot="1" x14ac:dyDescent="0.25">
      <c r="A291" s="188" t="s">
        <v>189</v>
      </c>
      <c r="B291" s="41" t="s">
        <v>702</v>
      </c>
      <c r="C291" s="227"/>
      <c r="D291" s="229" t="s">
        <v>708</v>
      </c>
      <c r="E291" s="910" t="s">
        <v>1499</v>
      </c>
      <c r="F291" s="143" t="s">
        <v>1761</v>
      </c>
      <c r="G291" s="43">
        <v>1129.7</v>
      </c>
      <c r="H291" s="128">
        <v>27</v>
      </c>
      <c r="I291" s="430">
        <v>312</v>
      </c>
      <c r="J291" s="138"/>
      <c r="K291" s="44"/>
      <c r="L291" s="456">
        <f t="shared" ref="L291" si="208">8*X291/1000</f>
        <v>203.12799999999999</v>
      </c>
      <c r="M291" s="457">
        <f t="shared" si="207"/>
        <v>444.34249999999997</v>
      </c>
      <c r="N291" s="65">
        <f t="shared" ref="N291" si="209">IF(AND(G291&lt;&gt;"",M291&lt;&gt;""),1000*M291/G291,"")</f>
        <v>393.32787465698857</v>
      </c>
      <c r="O291" s="65"/>
      <c r="P291" s="65"/>
      <c r="Q291" s="65">
        <v>1700</v>
      </c>
      <c r="R291" s="65">
        <v>8</v>
      </c>
      <c r="S291" s="65">
        <v>16</v>
      </c>
      <c r="T291" s="65">
        <v>520</v>
      </c>
      <c r="U291" s="65">
        <v>2</v>
      </c>
      <c r="V291" s="65">
        <v>540</v>
      </c>
      <c r="W291" s="71">
        <v>1</v>
      </c>
      <c r="X291" s="115">
        <v>25391</v>
      </c>
      <c r="Y291" s="87"/>
      <c r="Z291" s="141"/>
      <c r="AA291" s="371">
        <f t="shared" ref="AA291" si="210">1000*M291/Q291</f>
        <v>261.37794117647059</v>
      </c>
      <c r="AB291" s="54"/>
      <c r="AC291" s="281">
        <f t="shared" ref="AC291" si="211">T291/V291</f>
        <v>0.96296296296296291</v>
      </c>
      <c r="AD291" s="191">
        <f t="shared" ref="AD291" si="212">512*72*V291/1000000</f>
        <v>19.906559999999999</v>
      </c>
      <c r="AE291" s="446">
        <v>128.05526399999999</v>
      </c>
      <c r="AF291" s="198"/>
      <c r="AG291" s="493" t="s">
        <v>1168</v>
      </c>
    </row>
    <row r="292" spans="1:33" x14ac:dyDescent="0.2">
      <c r="A292" s="182"/>
      <c r="B292" s="48" t="s">
        <v>715</v>
      </c>
      <c r="C292" s="226"/>
      <c r="D292" s="212"/>
      <c r="E292" s="12" t="s">
        <v>1629</v>
      </c>
      <c r="F292" s="466" t="s">
        <v>1630</v>
      </c>
      <c r="G292" s="14" t="s">
        <v>22</v>
      </c>
      <c r="H292" s="40" t="s">
        <v>1878</v>
      </c>
      <c r="I292" s="132" t="s">
        <v>1879</v>
      </c>
      <c r="J292" s="15"/>
      <c r="K292" s="16" t="s">
        <v>22</v>
      </c>
      <c r="L292" s="248" t="s">
        <v>665</v>
      </c>
      <c r="M292" s="383" t="s">
        <v>1704</v>
      </c>
      <c r="N292" s="380">
        <f>AVERAGE(N294:N298)</f>
        <v>343.6160857495405</v>
      </c>
      <c r="O292" s="382">
        <f>AVERAGE(O296:O339)</f>
        <v>303.38039388680778</v>
      </c>
      <c r="P292" s="489" t="s">
        <v>1631</v>
      </c>
      <c r="Q292" s="399" t="s">
        <v>2323</v>
      </c>
      <c r="R292" s="399" t="s">
        <v>1341</v>
      </c>
      <c r="S292" s="61"/>
      <c r="T292" s="61"/>
      <c r="U292" s="399" t="s">
        <v>1637</v>
      </c>
      <c r="V292" s="490" t="s">
        <v>433</v>
      </c>
      <c r="W292" s="491" t="s">
        <v>1638</v>
      </c>
      <c r="X292" s="109" t="s">
        <v>207</v>
      </c>
      <c r="Y292" s="80" t="s">
        <v>695</v>
      </c>
      <c r="Z292" s="206"/>
      <c r="AA292" s="370">
        <f>AVERAGE(AA294:AA298)</f>
        <v>324.02948717948715</v>
      </c>
      <c r="AB292" s="92">
        <f>AVERAGE(AB296:AB339)</f>
        <v>536.60200668896323</v>
      </c>
      <c r="AC292" s="1452">
        <f>AVERAGE(AC294:AC298)</f>
        <v>2.8393707264957269</v>
      </c>
      <c r="AD292" s="109" t="s">
        <v>650</v>
      </c>
      <c r="AE292" s="195"/>
      <c r="AF292" s="196">
        <f>AVERAGE(AF294:AF298)</f>
        <v>89.829800939349624</v>
      </c>
      <c r="AG292" s="492" t="s">
        <v>1756</v>
      </c>
    </row>
    <row r="293" spans="1:33" x14ac:dyDescent="0.2">
      <c r="A293" s="188" t="s">
        <v>189</v>
      </c>
      <c r="B293" s="41" t="s">
        <v>702</v>
      </c>
      <c r="C293" s="227"/>
      <c r="D293" s="229" t="s">
        <v>708</v>
      </c>
      <c r="E293" s="910" t="s">
        <v>2342</v>
      </c>
      <c r="F293" s="143" t="s">
        <v>1832</v>
      </c>
      <c r="G293" s="43">
        <v>226.32</v>
      </c>
      <c r="H293" s="128">
        <v>12</v>
      </c>
      <c r="I293" s="430">
        <v>245</v>
      </c>
      <c r="J293" s="138"/>
      <c r="K293" s="44"/>
      <c r="L293" s="456">
        <f>M293*8/17.5</f>
        <v>37.028571428571432</v>
      </c>
      <c r="M293" s="457">
        <v>81</v>
      </c>
      <c r="N293" s="65">
        <f>IF(AND(G293&lt;&gt;"",M293&lt;&gt;""),1000*M293/G293,"")</f>
        <v>357.90031813361611</v>
      </c>
      <c r="O293" s="65"/>
      <c r="P293" s="65">
        <v>4</v>
      </c>
      <c r="Q293" s="65">
        <v>216</v>
      </c>
      <c r="R293" s="65">
        <v>3</v>
      </c>
      <c r="S293" s="65">
        <v>0</v>
      </c>
      <c r="T293" s="449">
        <v>394</v>
      </c>
      <c r="U293" s="65"/>
      <c r="V293" s="65">
        <v>106</v>
      </c>
      <c r="W293" s="65"/>
      <c r="X293" s="1044">
        <f>1000*L293/8</f>
        <v>4628.5714285714294</v>
      </c>
      <c r="Y293" s="87"/>
      <c r="Z293" s="390" t="str">
        <f>IF(AND(L293&lt;&gt;"",Y293&lt;&gt;""),1000*L293/Y293,"")</f>
        <v/>
      </c>
      <c r="AA293" s="378">
        <f>1000*M293/Q293</f>
        <v>375</v>
      </c>
      <c r="AB293" s="54"/>
      <c r="AC293" s="281">
        <f>T293/V293</f>
        <v>3.7169811320754715</v>
      </c>
      <c r="AD293" s="191">
        <f>(512*72*V293+4096*72*W293)/1000000</f>
        <v>3.9075839999999999</v>
      </c>
      <c r="AE293" s="197"/>
      <c r="AF293" s="1049"/>
      <c r="AG293" s="492"/>
    </row>
    <row r="294" spans="1:33" x14ac:dyDescent="0.2">
      <c r="A294" s="188" t="s">
        <v>189</v>
      </c>
      <c r="B294" s="41" t="s">
        <v>702</v>
      </c>
      <c r="C294" s="227"/>
      <c r="D294" s="229" t="s">
        <v>708</v>
      </c>
      <c r="E294" s="910" t="s">
        <v>1821</v>
      </c>
      <c r="F294" s="143" t="s">
        <v>1832</v>
      </c>
      <c r="G294" s="43">
        <v>189.13040000000001</v>
      </c>
      <c r="H294" s="128">
        <v>19</v>
      </c>
      <c r="I294" s="430">
        <v>245</v>
      </c>
      <c r="J294" s="138"/>
      <c r="K294" s="44"/>
      <c r="L294" s="456">
        <f t="shared" ref="L294:L297" si="213">8*X294/1000</f>
        <v>47.231999999999999</v>
      </c>
      <c r="M294" s="457">
        <f t="shared" ref="M294:M298" si="214">17.5*X294/1000</f>
        <v>103.32</v>
      </c>
      <c r="N294" s="65">
        <f t="shared" ref="N294:N298" si="215">IF(AND(G294&lt;&gt;"",M294&lt;&gt;""),1000*M294/G294,"")</f>
        <v>546.2897556394953</v>
      </c>
      <c r="O294" s="65"/>
      <c r="P294" s="65">
        <v>6</v>
      </c>
      <c r="Q294" s="65">
        <v>240</v>
      </c>
      <c r="R294" s="65">
        <v>3</v>
      </c>
      <c r="S294" s="65">
        <v>0</v>
      </c>
      <c r="T294" s="449">
        <v>462</v>
      </c>
      <c r="U294" s="65"/>
      <c r="V294" s="65">
        <v>150</v>
      </c>
      <c r="W294" s="65"/>
      <c r="X294" s="115">
        <v>5904</v>
      </c>
      <c r="Y294" s="87"/>
      <c r="Z294" s="390" t="str">
        <f>IF(AND(L294&lt;&gt;"",Y294&lt;&gt;""),1000*L294/Y294,"")</f>
        <v/>
      </c>
      <c r="AA294" s="378">
        <f t="shared" ref="AA294:AA297" si="216">1000*M294/Q294</f>
        <v>430.5</v>
      </c>
      <c r="AB294" s="54"/>
      <c r="AC294" s="281">
        <f t="shared" ref="AC294:AC297" si="217">T294/V294</f>
        <v>3.08</v>
      </c>
      <c r="AD294" s="191">
        <f>(512*72*V294+4096*72*W294)/1000000</f>
        <v>5.5296000000000003</v>
      </c>
      <c r="AE294" s="197">
        <v>44.549343999999998</v>
      </c>
      <c r="AF294" s="1049"/>
      <c r="AG294" s="492" t="s">
        <v>1757</v>
      </c>
    </row>
    <row r="295" spans="1:33" x14ac:dyDescent="0.2">
      <c r="A295" s="188" t="s">
        <v>189</v>
      </c>
      <c r="B295" s="41" t="s">
        <v>702</v>
      </c>
      <c r="C295" s="227"/>
      <c r="D295" s="229" t="s">
        <v>704</v>
      </c>
      <c r="E295" s="910" t="s">
        <v>1822</v>
      </c>
      <c r="F295" s="143" t="s">
        <v>1832</v>
      </c>
      <c r="G295" s="43">
        <v>334.16500000000002</v>
      </c>
      <c r="H295" s="128">
        <v>19</v>
      </c>
      <c r="I295" s="430">
        <v>245</v>
      </c>
      <c r="J295" s="138"/>
      <c r="K295" s="44"/>
      <c r="L295" s="456">
        <f t="shared" si="213"/>
        <v>70.56</v>
      </c>
      <c r="M295" s="457">
        <f t="shared" si="214"/>
        <v>154.35</v>
      </c>
      <c r="N295" s="65">
        <f t="shared" si="215"/>
        <v>461.89756557389313</v>
      </c>
      <c r="O295" s="65"/>
      <c r="P295" s="65">
        <v>6</v>
      </c>
      <c r="Q295" s="65">
        <v>360</v>
      </c>
      <c r="R295" s="65">
        <v>3</v>
      </c>
      <c r="S295" s="65">
        <v>0</v>
      </c>
      <c r="T295" s="449">
        <v>462</v>
      </c>
      <c r="U295" s="65"/>
      <c r="V295" s="65">
        <v>216</v>
      </c>
      <c r="W295" s="65"/>
      <c r="X295" s="115">
        <v>8820</v>
      </c>
      <c r="Y295" s="87"/>
      <c r="Z295" s="390"/>
      <c r="AA295" s="378">
        <f t="shared" si="216"/>
        <v>428.75</v>
      </c>
      <c r="AB295" s="54"/>
      <c r="AC295" s="281">
        <f t="shared" si="217"/>
        <v>2.1388888888888888</v>
      </c>
      <c r="AD295" s="191">
        <f t="shared" ref="AD295:AD298" si="218">(512*72*V295+4096*72*W295)/1000000</f>
        <v>7.9626239999999999</v>
      </c>
      <c r="AE295" s="197">
        <v>44.549343999999998</v>
      </c>
      <c r="AF295" s="1049">
        <f t="shared" ref="AF295:AF301" si="219">(AE295*1000000-V295*36*1024)/(6000*L295)</f>
        <v>86.4198790627362</v>
      </c>
      <c r="AG295" s="6" t="s">
        <v>2325</v>
      </c>
    </row>
    <row r="296" spans="1:33" x14ac:dyDescent="0.2">
      <c r="A296" s="188" t="s">
        <v>189</v>
      </c>
      <c r="B296" s="41" t="s">
        <v>702</v>
      </c>
      <c r="C296" s="227"/>
      <c r="D296" s="229" t="s">
        <v>708</v>
      </c>
      <c r="E296" s="910" t="s">
        <v>1823</v>
      </c>
      <c r="F296" s="143" t="s">
        <v>1882</v>
      </c>
      <c r="G296" s="43">
        <v>780</v>
      </c>
      <c r="H296" s="128">
        <v>23</v>
      </c>
      <c r="I296" s="430">
        <v>414</v>
      </c>
      <c r="J296" s="138"/>
      <c r="K296" s="44"/>
      <c r="L296" s="456">
        <f t="shared" si="213"/>
        <v>87.84</v>
      </c>
      <c r="M296" s="457">
        <f t="shared" si="214"/>
        <v>192.15</v>
      </c>
      <c r="N296" s="65">
        <f t="shared" si="215"/>
        <v>246.34615384615384</v>
      </c>
      <c r="O296" s="65"/>
      <c r="P296" s="65">
        <v>6</v>
      </c>
      <c r="Q296" s="65">
        <v>728</v>
      </c>
      <c r="R296" s="65">
        <v>4</v>
      </c>
      <c r="S296" s="65">
        <v>16</v>
      </c>
      <c r="T296" s="449">
        <v>462</v>
      </c>
      <c r="U296" s="65">
        <v>2</v>
      </c>
      <c r="V296" s="65">
        <v>128</v>
      </c>
      <c r="W296" s="65">
        <v>48</v>
      </c>
      <c r="X296" s="115">
        <v>10980</v>
      </c>
      <c r="Y296" s="87"/>
      <c r="Z296" s="390" t="str">
        <f>IF(AND(L296&lt;&gt;"",Y296&lt;&gt;""),1000*L296/Y296,"")</f>
        <v/>
      </c>
      <c r="AA296" s="378">
        <f t="shared" si="216"/>
        <v>263.94230769230768</v>
      </c>
      <c r="AB296" s="54"/>
      <c r="AC296" s="281">
        <f t="shared" si="217"/>
        <v>3.609375</v>
      </c>
      <c r="AD296" s="191">
        <f t="shared" si="218"/>
        <v>18.874368</v>
      </c>
      <c r="AE296" s="197">
        <v>61.269888000000002</v>
      </c>
      <c r="AF296" s="1049"/>
      <c r="AG296" s="493" t="s">
        <v>1634</v>
      </c>
    </row>
    <row r="297" spans="1:33" x14ac:dyDescent="0.2">
      <c r="A297" s="188" t="s">
        <v>189</v>
      </c>
      <c r="B297" s="41" t="s">
        <v>702</v>
      </c>
      <c r="C297" s="227"/>
      <c r="D297" s="229" t="s">
        <v>704</v>
      </c>
      <c r="E297" s="910" t="s">
        <v>1824</v>
      </c>
      <c r="F297" s="143" t="s">
        <v>1882</v>
      </c>
      <c r="G297" s="43">
        <v>1235</v>
      </c>
      <c r="H297" s="128">
        <v>23</v>
      </c>
      <c r="I297" s="430">
        <v>414</v>
      </c>
      <c r="J297" s="138"/>
      <c r="K297" s="44"/>
      <c r="L297" s="456">
        <f t="shared" si="213"/>
        <v>117.12</v>
      </c>
      <c r="M297" s="457">
        <f t="shared" si="214"/>
        <v>256.2</v>
      </c>
      <c r="N297" s="65">
        <f t="shared" si="215"/>
        <v>207.4493927125506</v>
      </c>
      <c r="O297" s="65"/>
      <c r="P297" s="65">
        <v>6</v>
      </c>
      <c r="Q297" s="65">
        <v>1248</v>
      </c>
      <c r="R297" s="65">
        <v>4</v>
      </c>
      <c r="S297" s="65">
        <v>16</v>
      </c>
      <c r="T297" s="449">
        <v>462</v>
      </c>
      <c r="U297" s="469">
        <v>2</v>
      </c>
      <c r="V297" s="65">
        <v>144</v>
      </c>
      <c r="W297" s="65">
        <v>64</v>
      </c>
      <c r="X297" s="115">
        <v>14640</v>
      </c>
      <c r="Y297" s="87"/>
      <c r="Z297" s="390" t="str">
        <f>IF(AND(L297&lt;&gt;"",Y297&lt;&gt;""),1000*L297/Y297,"")</f>
        <v/>
      </c>
      <c r="AA297" s="378">
        <f t="shared" si="216"/>
        <v>205.28846153846155</v>
      </c>
      <c r="AB297" s="54"/>
      <c r="AC297" s="281">
        <f t="shared" si="217"/>
        <v>3.2083333333333335</v>
      </c>
      <c r="AD297" s="191">
        <f t="shared" si="218"/>
        <v>24.182784000000002</v>
      </c>
      <c r="AE297" s="197">
        <v>61.269888000000002</v>
      </c>
      <c r="AF297" s="1049">
        <f t="shared" si="219"/>
        <v>79.635519125683061</v>
      </c>
      <c r="AG297" s="492" t="s">
        <v>1635</v>
      </c>
    </row>
    <row r="298" spans="1:33" ht="13.5" thickBot="1" x14ac:dyDescent="0.25">
      <c r="A298" s="188" t="s">
        <v>189</v>
      </c>
      <c r="B298" s="41" t="s">
        <v>702</v>
      </c>
      <c r="C298" s="227"/>
      <c r="D298" s="229" t="s">
        <v>704</v>
      </c>
      <c r="E298" s="910" t="s">
        <v>1826</v>
      </c>
      <c r="F298" s="143" t="s">
        <v>1930</v>
      </c>
      <c r="G298" s="43">
        <v>1968</v>
      </c>
      <c r="H298" s="128">
        <v>31</v>
      </c>
      <c r="I298" s="430">
        <v>414</v>
      </c>
      <c r="J298" s="138"/>
      <c r="K298" s="44"/>
      <c r="L298" s="456">
        <f>8*X298/1000</f>
        <v>230.4</v>
      </c>
      <c r="M298" s="457">
        <f t="shared" si="214"/>
        <v>504</v>
      </c>
      <c r="N298" s="65">
        <f t="shared" si="215"/>
        <v>256.09756097560978</v>
      </c>
      <c r="O298" s="65"/>
      <c r="P298" s="65">
        <v>6</v>
      </c>
      <c r="Q298" s="65">
        <v>1728</v>
      </c>
      <c r="R298" s="65">
        <v>8</v>
      </c>
      <c r="S298" s="65">
        <v>24</v>
      </c>
      <c r="T298" s="449">
        <v>674</v>
      </c>
      <c r="U298" s="65">
        <v>2</v>
      </c>
      <c r="V298" s="65">
        <v>312</v>
      </c>
      <c r="W298" s="65">
        <v>96</v>
      </c>
      <c r="X298" s="115">
        <v>28800</v>
      </c>
      <c r="Y298" s="87"/>
      <c r="Z298" s="390" t="str">
        <f>IF(AND(L298&lt;&gt;"",Y298&lt;&gt;""),1000*L298/Y298,"")</f>
        <v/>
      </c>
      <c r="AA298" s="378">
        <f>1000*M298/Q298</f>
        <v>291.66666666666669</v>
      </c>
      <c r="AB298" s="54"/>
      <c r="AC298" s="281">
        <f>T298/V298</f>
        <v>2.1602564102564101</v>
      </c>
      <c r="AD298" s="191">
        <f t="shared" si="218"/>
        <v>39.813119999999998</v>
      </c>
      <c r="AE298" s="197">
        <v>154.48873599999999</v>
      </c>
      <c r="AF298" s="1049">
        <f t="shared" si="219"/>
        <v>103.43400462962963</v>
      </c>
      <c r="AG298" s="493" t="s">
        <v>1636</v>
      </c>
    </row>
    <row r="299" spans="1:33" x14ac:dyDescent="0.2">
      <c r="A299" s="182"/>
      <c r="B299" s="48" t="s">
        <v>715</v>
      </c>
      <c r="C299" s="226"/>
      <c r="D299" s="212"/>
      <c r="E299" s="12" t="s">
        <v>1632</v>
      </c>
      <c r="F299" s="466" t="s">
        <v>1630</v>
      </c>
      <c r="G299" s="14" t="s">
        <v>22</v>
      </c>
      <c r="H299" s="497" t="s">
        <v>1759</v>
      </c>
      <c r="I299" s="123"/>
      <c r="J299" s="15"/>
      <c r="K299" s="16" t="s">
        <v>22</v>
      </c>
      <c r="L299" s="248" t="s">
        <v>665</v>
      </c>
      <c r="M299" s="383" t="s">
        <v>1704</v>
      </c>
      <c r="N299" s="380">
        <f>AVERAGE(N300:N301)</f>
        <v>303.07877664504167</v>
      </c>
      <c r="O299" s="382">
        <f>AVERAGE(O300:O346)</f>
        <v>282.9393189276534</v>
      </c>
      <c r="P299" s="60"/>
      <c r="Q299" s="399" t="s">
        <v>2323</v>
      </c>
      <c r="R299" s="61" t="s">
        <v>976</v>
      </c>
      <c r="S299" s="399"/>
      <c r="T299" s="61"/>
      <c r="U299" s="61" t="s">
        <v>1637</v>
      </c>
      <c r="V299" s="74" t="s">
        <v>433</v>
      </c>
      <c r="W299" s="491" t="s">
        <v>1638</v>
      </c>
      <c r="X299" s="109" t="s">
        <v>207</v>
      </c>
      <c r="Y299" s="80" t="s">
        <v>695</v>
      </c>
      <c r="Z299" s="206"/>
      <c r="AA299" s="370">
        <f>AVERAGE(AA300:AA301)</f>
        <v>260.19736842105266</v>
      </c>
      <c r="AB299" s="92">
        <f>AVERAGE(AB300:AB346)</f>
        <v>551.62393162393164</v>
      </c>
      <c r="AC299" s="1452">
        <f>AVERAGE(AC300:AC301)</f>
        <v>0.50555555555555554</v>
      </c>
      <c r="AD299" s="109" t="s">
        <v>650</v>
      </c>
      <c r="AE299" s="195"/>
      <c r="AF299" s="196">
        <f>AVERAGE(AF300:AF301)</f>
        <v>81.239503441494591</v>
      </c>
      <c r="AG299" s="493" t="s">
        <v>1640</v>
      </c>
    </row>
    <row r="300" spans="1:33" x14ac:dyDescent="0.2">
      <c r="A300" s="188" t="s">
        <v>929</v>
      </c>
      <c r="B300" s="41" t="s">
        <v>702</v>
      </c>
      <c r="C300" s="227"/>
      <c r="D300" s="229" t="s">
        <v>708</v>
      </c>
      <c r="E300" s="910" t="s">
        <v>1900</v>
      </c>
      <c r="F300" s="143" t="s">
        <v>1898</v>
      </c>
      <c r="G300" s="43">
        <v>1137.5</v>
      </c>
      <c r="H300" s="128">
        <v>23</v>
      </c>
      <c r="I300" s="430">
        <v>208</v>
      </c>
      <c r="J300" s="138"/>
      <c r="K300" s="44"/>
      <c r="L300" s="456">
        <f t="shared" ref="L300" si="220">8*X300/1000</f>
        <v>162.72</v>
      </c>
      <c r="M300" s="457">
        <f>17.5*X300/1000</f>
        <v>355.95</v>
      </c>
      <c r="N300" s="65">
        <f t="shared" ref="N300" si="221">IF(AND(G300&lt;&gt;"",M300&lt;&gt;""),1000*M300/G300,"")</f>
        <v>312.92307692307691</v>
      </c>
      <c r="O300" s="65"/>
      <c r="P300" s="65"/>
      <c r="Q300" s="65">
        <v>1368</v>
      </c>
      <c r="R300" s="65"/>
      <c r="S300" s="65">
        <v>16</v>
      </c>
      <c r="T300" s="65">
        <v>208</v>
      </c>
      <c r="U300" s="65">
        <v>1</v>
      </c>
      <c r="V300" s="65">
        <v>360</v>
      </c>
      <c r="W300" s="65">
        <v>48</v>
      </c>
      <c r="X300" s="115">
        <v>20340</v>
      </c>
      <c r="Y300" s="87"/>
      <c r="Z300" s="390"/>
      <c r="AA300" s="378">
        <f t="shared" ref="AA300" si="222">1000*M300/Q300</f>
        <v>260.19736842105266</v>
      </c>
      <c r="AB300" s="54"/>
      <c r="AC300" s="281">
        <f t="shared" ref="AC300" si="223">T300/V300</f>
        <v>0.57777777777777772</v>
      </c>
      <c r="AD300" s="191">
        <f t="shared" ref="AD300" si="224">(512*72*V300+4096*72*W300)/1000000</f>
        <v>27.426815999999999</v>
      </c>
      <c r="AE300" s="446">
        <v>123.449056</v>
      </c>
      <c r="AF300" s="1049"/>
      <c r="AG300" s="6" t="s">
        <v>2325</v>
      </c>
    </row>
    <row r="301" spans="1:33" ht="13.5" thickBot="1" x14ac:dyDescent="0.25">
      <c r="A301" s="188" t="s">
        <v>929</v>
      </c>
      <c r="B301" s="41" t="s">
        <v>702</v>
      </c>
      <c r="C301" s="227"/>
      <c r="D301" s="532" t="s">
        <v>704</v>
      </c>
      <c r="E301" s="910" t="s">
        <v>1901</v>
      </c>
      <c r="F301" s="143" t="s">
        <v>1869</v>
      </c>
      <c r="G301" s="43">
        <v>1618.5</v>
      </c>
      <c r="H301" s="128">
        <v>27</v>
      </c>
      <c r="I301" s="430">
        <v>208</v>
      </c>
      <c r="J301" s="138"/>
      <c r="K301" s="44"/>
      <c r="L301" s="456">
        <f>8*X301/1000</f>
        <v>216.96</v>
      </c>
      <c r="M301" s="457">
        <f>17.5*X301/1000</f>
        <v>474.6</v>
      </c>
      <c r="N301" s="65">
        <f>IF(AND(G301&lt;&gt;"",M301&lt;&gt;""),1000*M301/G301,"")</f>
        <v>293.23447636700649</v>
      </c>
      <c r="O301" s="65"/>
      <c r="P301" s="65"/>
      <c r="Q301" s="65">
        <v>1824</v>
      </c>
      <c r="R301" s="65"/>
      <c r="S301" s="65">
        <v>16</v>
      </c>
      <c r="T301" s="65">
        <v>208</v>
      </c>
      <c r="U301" s="65">
        <v>1</v>
      </c>
      <c r="V301" s="65">
        <v>480</v>
      </c>
      <c r="W301" s="65">
        <v>64</v>
      </c>
      <c r="X301" s="115">
        <v>27120</v>
      </c>
      <c r="Y301" s="87"/>
      <c r="Z301" s="390"/>
      <c r="AA301" s="378">
        <f>1000*M301/Q301</f>
        <v>260.19736842105266</v>
      </c>
      <c r="AB301" s="54"/>
      <c r="AC301" s="281">
        <f>T301/V301</f>
        <v>0.43333333333333335</v>
      </c>
      <c r="AD301" s="191">
        <f>(512*72*V301+4096*72*W301)/1000000</f>
        <v>36.569088000000001</v>
      </c>
      <c r="AE301" s="446">
        <v>123.449056</v>
      </c>
      <c r="AF301" s="1049">
        <f t="shared" si="219"/>
        <v>81.239503441494591</v>
      </c>
      <c r="AG301" s="492" t="s">
        <v>1647</v>
      </c>
    </row>
    <row r="302" spans="1:33" ht="13.5" customHeight="1" x14ac:dyDescent="0.2">
      <c r="A302" s="188"/>
      <c r="B302" s="48" t="s">
        <v>362</v>
      </c>
      <c r="C302" s="226"/>
      <c r="D302" s="212"/>
      <c r="E302" s="48" t="s">
        <v>455</v>
      </c>
      <c r="F302" s="15"/>
      <c r="G302" s="49" t="s">
        <v>456</v>
      </c>
      <c r="H302" s="131" t="s">
        <v>533</v>
      </c>
      <c r="I302" s="165"/>
      <c r="J302" s="136"/>
      <c r="K302" s="50"/>
      <c r="L302" s="244" t="s">
        <v>365</v>
      </c>
      <c r="M302" s="61"/>
      <c r="N302" s="61"/>
      <c r="O302" s="61"/>
      <c r="P302" s="61"/>
      <c r="Q302" s="61"/>
      <c r="R302" s="61"/>
      <c r="S302" s="61"/>
      <c r="T302" s="61"/>
      <c r="U302" s="61"/>
      <c r="V302" s="61" t="s">
        <v>306</v>
      </c>
      <c r="W302" s="61"/>
      <c r="X302" s="113"/>
      <c r="Y302" s="171"/>
      <c r="Z302" s="164"/>
      <c r="AA302" s="373"/>
      <c r="AB302" s="53"/>
      <c r="AC302" s="105"/>
      <c r="AD302" s="113"/>
      <c r="AG302" s="236"/>
    </row>
    <row r="303" spans="1:33" x14ac:dyDescent="0.2">
      <c r="A303" s="182" t="s">
        <v>189</v>
      </c>
      <c r="B303" s="17"/>
      <c r="C303" s="227"/>
      <c r="D303" s="213"/>
      <c r="E303" s="118" t="s">
        <v>307</v>
      </c>
      <c r="F303" s="18" t="s">
        <v>572</v>
      </c>
      <c r="G303" s="19">
        <v>20.305</v>
      </c>
      <c r="H303" s="124">
        <v>7</v>
      </c>
      <c r="I303" s="162">
        <v>24</v>
      </c>
      <c r="J303" s="138" t="s">
        <v>458</v>
      </c>
      <c r="K303" s="20">
        <v>62.04</v>
      </c>
      <c r="L303" s="245">
        <v>3072</v>
      </c>
      <c r="M303" s="64">
        <f t="shared" ref="M303:M305" si="225">0.4*L303</f>
        <v>1228.8000000000002</v>
      </c>
      <c r="N303" s="65">
        <f t="shared" ref="N303:N305" si="226">IF(AND(G303&lt;&gt;"",M303&lt;&gt;""),M303/G303,"")</f>
        <v>60.517114011327266</v>
      </c>
      <c r="O303" s="65">
        <f t="shared" ref="O303:O305" si="227">IF(AND(G303&lt;&gt;"",L303&lt;&gt;""),L303/G303,"")</f>
        <v>151.29278502831815</v>
      </c>
      <c r="P303" s="65"/>
      <c r="Q303" s="65"/>
      <c r="R303" s="65">
        <v>2</v>
      </c>
      <c r="S303" s="65"/>
      <c r="T303" s="65">
        <v>158</v>
      </c>
      <c r="U303" s="65"/>
      <c r="V303" s="65">
        <v>12</v>
      </c>
      <c r="W303" s="65"/>
      <c r="X303" s="110"/>
      <c r="Y303" s="81"/>
      <c r="Z303" s="141"/>
      <c r="AA303" s="371"/>
      <c r="AB303" s="54">
        <f t="shared" ref="AB303:AB305" si="228">L303/V303</f>
        <v>256</v>
      </c>
      <c r="AC303" s="99">
        <f t="shared" ref="AC303:AC305" si="229">T303/V303</f>
        <v>13.166666666666666</v>
      </c>
      <c r="AD303" s="110">
        <f t="shared" ref="AD303:AD305" si="230">9*256*V303</f>
        <v>27648</v>
      </c>
      <c r="AG303" s="236"/>
    </row>
    <row r="304" spans="1:33" x14ac:dyDescent="0.2">
      <c r="A304" s="182" t="s">
        <v>189</v>
      </c>
      <c r="B304" s="17"/>
      <c r="C304" s="227"/>
      <c r="D304" s="213"/>
      <c r="E304" s="118" t="s">
        <v>308</v>
      </c>
      <c r="F304" s="18" t="s">
        <v>568</v>
      </c>
      <c r="G304" s="19">
        <v>34.875</v>
      </c>
      <c r="H304" s="124">
        <v>13</v>
      </c>
      <c r="I304" s="162">
        <v>100</v>
      </c>
      <c r="J304" s="138" t="s">
        <v>457</v>
      </c>
      <c r="K304" s="20">
        <v>92.73</v>
      </c>
      <c r="L304" s="245">
        <v>6144</v>
      </c>
      <c r="M304" s="64">
        <f t="shared" si="225"/>
        <v>2457.6000000000004</v>
      </c>
      <c r="N304" s="65">
        <f t="shared" si="226"/>
        <v>70.468817204301089</v>
      </c>
      <c r="O304" s="65">
        <f t="shared" si="227"/>
        <v>176.1720430107527</v>
      </c>
      <c r="P304" s="65"/>
      <c r="Q304" s="65"/>
      <c r="R304" s="65">
        <v>2</v>
      </c>
      <c r="S304" s="65"/>
      <c r="T304" s="65">
        <v>242</v>
      </c>
      <c r="U304" s="65"/>
      <c r="V304" s="65">
        <v>16</v>
      </c>
      <c r="W304" s="65"/>
      <c r="X304" s="110"/>
      <c r="Y304" s="81"/>
      <c r="Z304" s="141"/>
      <c r="AA304" s="371"/>
      <c r="AB304" s="54">
        <f t="shared" si="228"/>
        <v>384</v>
      </c>
      <c r="AC304" s="99">
        <f t="shared" si="229"/>
        <v>15.125</v>
      </c>
      <c r="AD304" s="110">
        <f t="shared" si="230"/>
        <v>36864</v>
      </c>
      <c r="AG304" s="236"/>
    </row>
    <row r="305" spans="1:33" ht="13.5" thickBot="1" x14ac:dyDescent="0.25">
      <c r="A305" s="182" t="s">
        <v>189</v>
      </c>
      <c r="B305" s="21"/>
      <c r="C305" s="228"/>
      <c r="D305" s="214" t="s">
        <v>704</v>
      </c>
      <c r="E305" s="146" t="s">
        <v>774</v>
      </c>
      <c r="F305" s="22" t="s">
        <v>573</v>
      </c>
      <c r="G305" s="23">
        <v>62</v>
      </c>
      <c r="H305" s="125">
        <v>13</v>
      </c>
      <c r="I305" s="163">
        <v>100</v>
      </c>
      <c r="J305" s="150" t="s">
        <v>457</v>
      </c>
      <c r="K305" s="24">
        <v>128.69999999999999</v>
      </c>
      <c r="L305" s="246">
        <v>8192</v>
      </c>
      <c r="M305" s="67">
        <f t="shared" si="225"/>
        <v>3276.8</v>
      </c>
      <c r="N305" s="68">
        <f t="shared" si="226"/>
        <v>52.851612903225806</v>
      </c>
      <c r="O305" s="68">
        <f t="shared" si="227"/>
        <v>132.12903225806451</v>
      </c>
      <c r="P305" s="68"/>
      <c r="Q305" s="68"/>
      <c r="R305" s="68">
        <v>2</v>
      </c>
      <c r="S305" s="68"/>
      <c r="T305" s="68">
        <v>290</v>
      </c>
      <c r="U305" s="68"/>
      <c r="V305" s="68">
        <v>32</v>
      </c>
      <c r="W305" s="68"/>
      <c r="X305" s="111"/>
      <c r="Y305" s="82"/>
      <c r="Z305" s="142"/>
      <c r="AA305" s="374"/>
      <c r="AB305" s="55">
        <f t="shared" si="228"/>
        <v>256</v>
      </c>
      <c r="AC305" s="100">
        <f t="shared" si="229"/>
        <v>9.0625</v>
      </c>
      <c r="AD305" s="111">
        <f t="shared" si="230"/>
        <v>73728</v>
      </c>
      <c r="AG305" s="236"/>
    </row>
    <row r="306" spans="1:33" x14ac:dyDescent="0.2">
      <c r="A306" s="182"/>
      <c r="B306" s="432" t="s">
        <v>362</v>
      </c>
      <c r="C306" s="296"/>
      <c r="D306" s="300"/>
      <c r="E306" s="482" t="s">
        <v>311</v>
      </c>
      <c r="F306" s="1860"/>
      <c r="G306" s="38" t="s">
        <v>798</v>
      </c>
      <c r="H306" s="433" t="s">
        <v>532</v>
      </c>
      <c r="I306" s="170"/>
      <c r="J306" s="137"/>
      <c r="K306" s="39"/>
      <c r="L306" s="247" t="s">
        <v>365</v>
      </c>
      <c r="M306" s="70"/>
      <c r="N306" s="305">
        <f>AVERAGE(N307:N318)</f>
        <v>134.26353357223269</v>
      </c>
      <c r="O306" s="71"/>
      <c r="P306" s="71" t="s">
        <v>502</v>
      </c>
      <c r="Q306" s="71"/>
      <c r="R306" s="71"/>
      <c r="S306" s="71"/>
      <c r="T306" s="71"/>
      <c r="U306" s="71"/>
      <c r="V306" s="77" t="s">
        <v>182</v>
      </c>
      <c r="W306" s="71" t="s">
        <v>797</v>
      </c>
      <c r="X306" s="117"/>
      <c r="Y306" s="89"/>
      <c r="Z306" s="172"/>
      <c r="AA306" s="375"/>
      <c r="AB306" s="95">
        <f>AVERAGE(AB310:AB318)</f>
        <v>608</v>
      </c>
      <c r="AC306" s="107">
        <f>AVERAGE(AC310:AC318)</f>
        <v>14.180208333333333</v>
      </c>
      <c r="AD306" s="117" t="s">
        <v>650</v>
      </c>
      <c r="AG306" s="236"/>
    </row>
    <row r="307" spans="1:33" x14ac:dyDescent="0.2">
      <c r="A307" s="182" t="s">
        <v>189</v>
      </c>
      <c r="B307" s="41" t="s">
        <v>701</v>
      </c>
      <c r="C307" s="227"/>
      <c r="D307" s="213"/>
      <c r="E307" s="118" t="s">
        <v>661</v>
      </c>
      <c r="F307" s="18" t="s">
        <v>657</v>
      </c>
      <c r="G307" s="19"/>
      <c r="H307" s="124">
        <v>6</v>
      </c>
      <c r="I307" s="162">
        <v>34</v>
      </c>
      <c r="J307" s="138"/>
      <c r="K307" s="20"/>
      <c r="L307" s="245">
        <v>260</v>
      </c>
      <c r="M307" s="64">
        <f>0.4*L307</f>
        <v>104</v>
      </c>
      <c r="N307" s="65" t="str">
        <f t="shared" ref="N307:N318" si="231">IF(AND(G307&lt;&gt;"",M307&lt;&gt;""),M307/G307,"")</f>
        <v/>
      </c>
      <c r="O307" s="65" t="str">
        <f>IF(AND(G307&lt;&gt;"",L307&lt;&gt;""),L307/G307,"")</f>
        <v/>
      </c>
      <c r="P307" s="65"/>
      <c r="Q307" s="65"/>
      <c r="R307" s="65"/>
      <c r="S307" s="65"/>
      <c r="T307" s="65">
        <v>49</v>
      </c>
      <c r="U307" s="65"/>
      <c r="V307" s="65">
        <v>0</v>
      </c>
      <c r="W307" s="65">
        <v>1</v>
      </c>
      <c r="X307" s="110"/>
      <c r="Y307" s="81"/>
      <c r="Z307" s="141" t="str">
        <f>IF(AND(L307&lt;&gt;"",Y307&lt;&gt;""),L307/Y307,"")</f>
        <v/>
      </c>
      <c r="AA307" s="371"/>
      <c r="AB307" s="54"/>
      <c r="AC307" s="99"/>
      <c r="AD307" s="191">
        <f>256*18*V307/1000000</f>
        <v>0</v>
      </c>
      <c r="AG307" s="236"/>
    </row>
    <row r="308" spans="1:33" x14ac:dyDescent="0.2">
      <c r="A308" s="182" t="s">
        <v>189</v>
      </c>
      <c r="B308" s="41" t="s">
        <v>701</v>
      </c>
      <c r="C308" s="227"/>
      <c r="D308" s="213"/>
      <c r="E308" s="118" t="s">
        <v>660</v>
      </c>
      <c r="F308" s="18" t="s">
        <v>658</v>
      </c>
      <c r="G308" s="19">
        <v>3.71</v>
      </c>
      <c r="H308" s="124">
        <v>8</v>
      </c>
      <c r="I308" s="162">
        <v>49</v>
      </c>
      <c r="J308" s="138"/>
      <c r="K308" s="20"/>
      <c r="L308" s="245">
        <v>384</v>
      </c>
      <c r="M308" s="64">
        <f t="shared" ref="M308:M318" si="232">0.4*L308</f>
        <v>153.60000000000002</v>
      </c>
      <c r="N308" s="65">
        <f t="shared" si="231"/>
        <v>41.401617250673858</v>
      </c>
      <c r="O308" s="65">
        <f>IF(AND(G308&lt;&gt;"",L308&lt;&gt;""),L308/G308,"")</f>
        <v>103.50404312668464</v>
      </c>
      <c r="P308" s="65"/>
      <c r="Q308" s="65"/>
      <c r="R308" s="65"/>
      <c r="S308" s="65"/>
      <c r="T308" s="65">
        <v>49</v>
      </c>
      <c r="U308" s="65"/>
      <c r="V308" s="65">
        <v>0</v>
      </c>
      <c r="W308" s="65">
        <v>1</v>
      </c>
      <c r="X308" s="110"/>
      <c r="Y308" s="81"/>
      <c r="Z308" s="141" t="str">
        <f>IF(AND(L308&lt;&gt;"",Y308&lt;&gt;""),L308/Y308,"")</f>
        <v/>
      </c>
      <c r="AA308" s="371"/>
      <c r="AB308" s="54"/>
      <c r="AC308" s="99"/>
      <c r="AD308" s="191">
        <f>256*18*V308/1000000</f>
        <v>0</v>
      </c>
      <c r="AG308" s="236"/>
    </row>
    <row r="309" spans="1:33" x14ac:dyDescent="0.2">
      <c r="A309" s="182" t="s">
        <v>189</v>
      </c>
      <c r="B309" s="41" t="s">
        <v>701</v>
      </c>
      <c r="C309" s="227"/>
      <c r="D309" s="213"/>
      <c r="E309" s="118" t="s">
        <v>662</v>
      </c>
      <c r="F309" s="18" t="s">
        <v>658</v>
      </c>
      <c r="G309" s="19"/>
      <c r="H309" s="124">
        <v>8</v>
      </c>
      <c r="I309" s="162">
        <v>49</v>
      </c>
      <c r="J309" s="138"/>
      <c r="K309" s="20"/>
      <c r="L309" s="245">
        <v>520</v>
      </c>
      <c r="M309" s="64">
        <f t="shared" si="232"/>
        <v>208</v>
      </c>
      <c r="N309" s="65" t="str">
        <f t="shared" si="231"/>
        <v/>
      </c>
      <c r="O309" s="65" t="str">
        <f>IF(AND(G309&lt;&gt;"",L309&lt;&gt;""),L309/G309,"")</f>
        <v/>
      </c>
      <c r="P309" s="65"/>
      <c r="Q309" s="65"/>
      <c r="R309" s="65"/>
      <c r="S309" s="65"/>
      <c r="T309" s="65">
        <v>49</v>
      </c>
      <c r="U309" s="65"/>
      <c r="V309" s="65">
        <v>0</v>
      </c>
      <c r="W309" s="65">
        <v>1</v>
      </c>
      <c r="X309" s="110"/>
      <c r="Y309" s="81"/>
      <c r="Z309" s="141" t="str">
        <f>IF(AND(L309&lt;&gt;"",Y309&lt;&gt;""),L309/Y309,"")</f>
        <v/>
      </c>
      <c r="AA309" s="371"/>
      <c r="AB309" s="54"/>
      <c r="AC309" s="99"/>
      <c r="AD309" s="191">
        <f>256*18*V309/1000000</f>
        <v>0</v>
      </c>
      <c r="AG309" s="236"/>
    </row>
    <row r="310" spans="1:33" x14ac:dyDescent="0.2">
      <c r="A310" s="182" t="s">
        <v>189</v>
      </c>
      <c r="B310" s="41" t="s">
        <v>701</v>
      </c>
      <c r="C310" s="227"/>
      <c r="D310" s="213"/>
      <c r="E310" s="118" t="s">
        <v>800</v>
      </c>
      <c r="F310" s="18" t="s">
        <v>564</v>
      </c>
      <c r="G310" s="19">
        <v>3.29</v>
      </c>
      <c r="H310" s="124">
        <v>6</v>
      </c>
      <c r="I310" s="162">
        <v>71</v>
      </c>
      <c r="J310" s="138"/>
      <c r="K310" s="20"/>
      <c r="L310" s="245">
        <v>768</v>
      </c>
      <c r="M310" s="64">
        <f t="shared" si="232"/>
        <v>307.20000000000005</v>
      </c>
      <c r="N310" s="65">
        <f t="shared" si="231"/>
        <v>93.373860182370834</v>
      </c>
      <c r="O310" s="65">
        <f t="shared" ref="O310:O318" si="233">IF(AND(G310&lt;&gt;"",L310&lt;&gt;""),L310/G310,"")</f>
        <v>233.43465045592706</v>
      </c>
      <c r="P310" s="65"/>
      <c r="Q310" s="65"/>
      <c r="R310" s="65"/>
      <c r="S310" s="65"/>
      <c r="T310" s="65">
        <v>81</v>
      </c>
      <c r="U310" s="65"/>
      <c r="V310" s="65">
        <v>0</v>
      </c>
      <c r="W310" s="65">
        <v>1</v>
      </c>
      <c r="X310" s="110"/>
      <c r="Y310" s="81">
        <v>1.5</v>
      </c>
      <c r="Z310" s="141">
        <f>IF(AND(L310&lt;&gt;"",Y310&lt;&gt;""),L310/Y310,"")</f>
        <v>512</v>
      </c>
      <c r="AA310" s="371"/>
      <c r="AB310" s="54"/>
      <c r="AC310" s="99"/>
      <c r="AD310" s="191">
        <f>256*18*V310/1000000</f>
        <v>0</v>
      </c>
      <c r="AG310" s="236"/>
    </row>
    <row r="311" spans="1:33" x14ac:dyDescent="0.2">
      <c r="A311" s="182" t="s">
        <v>189</v>
      </c>
      <c r="B311" s="17" t="s">
        <v>711</v>
      </c>
      <c r="C311" s="227"/>
      <c r="D311" s="213"/>
      <c r="E311" s="118" t="s">
        <v>801</v>
      </c>
      <c r="F311" s="18" t="s">
        <v>564</v>
      </c>
      <c r="G311" s="19">
        <v>5.72</v>
      </c>
      <c r="H311" s="124">
        <v>8</v>
      </c>
      <c r="I311" s="162">
        <v>71</v>
      </c>
      <c r="J311" s="138" t="s">
        <v>463</v>
      </c>
      <c r="K311" s="20">
        <v>29.54</v>
      </c>
      <c r="L311" s="245">
        <v>1536</v>
      </c>
      <c r="M311" s="64">
        <f t="shared" si="232"/>
        <v>614.40000000000009</v>
      </c>
      <c r="N311" s="65">
        <f t="shared" si="231"/>
        <v>107.41258741258743</v>
      </c>
      <c r="O311" s="65">
        <f t="shared" si="233"/>
        <v>268.53146853146853</v>
      </c>
      <c r="P311" s="65"/>
      <c r="Q311" s="65"/>
      <c r="R311" s="65">
        <v>1</v>
      </c>
      <c r="S311" s="65"/>
      <c r="T311" s="65">
        <v>96</v>
      </c>
      <c r="U311" s="65"/>
      <c r="V311" s="65">
        <v>4</v>
      </c>
      <c r="W311" s="65">
        <v>1</v>
      </c>
      <c r="X311" s="110"/>
      <c r="Y311" s="81"/>
      <c r="Z311" s="141"/>
      <c r="AA311" s="371"/>
      <c r="AB311" s="54">
        <f t="shared" ref="AB311:AB318" si="234">L311/V311</f>
        <v>384</v>
      </c>
      <c r="AC311" s="99">
        <f t="shared" ref="AC311:AC318" si="235">T311/V311</f>
        <v>24</v>
      </c>
      <c r="AD311" s="191">
        <f t="shared" ref="AD311:AD318" si="236">256*18*V311/1000000</f>
        <v>1.8432E-2</v>
      </c>
      <c r="AG311" s="236"/>
    </row>
    <row r="312" spans="1:33" x14ac:dyDescent="0.2">
      <c r="A312" s="182" t="s">
        <v>189</v>
      </c>
      <c r="B312" s="17" t="s">
        <v>711</v>
      </c>
      <c r="C312" s="227"/>
      <c r="D312" s="213"/>
      <c r="E312" s="118" t="s">
        <v>802</v>
      </c>
      <c r="F312" s="18" t="s">
        <v>799</v>
      </c>
      <c r="G312" s="19">
        <v>7.87</v>
      </c>
      <c r="H312" s="124">
        <v>8</v>
      </c>
      <c r="I312" s="162">
        <v>68</v>
      </c>
      <c r="J312" s="138" t="s">
        <v>465</v>
      </c>
      <c r="K312" s="20">
        <v>53.63</v>
      </c>
      <c r="L312" s="245">
        <v>3072</v>
      </c>
      <c r="M312" s="64">
        <f t="shared" si="232"/>
        <v>1228.8000000000002</v>
      </c>
      <c r="N312" s="65">
        <f t="shared" si="231"/>
        <v>156.13722998729355</v>
      </c>
      <c r="O312" s="65">
        <f t="shared" si="233"/>
        <v>390.34307496823379</v>
      </c>
      <c r="P312" s="65"/>
      <c r="Q312" s="65"/>
      <c r="R312" s="65">
        <v>1</v>
      </c>
      <c r="S312" s="65"/>
      <c r="T312" s="65">
        <v>133</v>
      </c>
      <c r="U312" s="65"/>
      <c r="V312" s="65">
        <v>8</v>
      </c>
      <c r="W312" s="65">
        <v>1</v>
      </c>
      <c r="X312" s="110"/>
      <c r="Y312" s="81"/>
      <c r="Z312" s="141"/>
      <c r="AA312" s="371"/>
      <c r="AB312" s="54">
        <f t="shared" si="234"/>
        <v>384</v>
      </c>
      <c r="AC312" s="99">
        <f t="shared" si="235"/>
        <v>16.625</v>
      </c>
      <c r="AD312" s="191">
        <f t="shared" si="236"/>
        <v>3.6864000000000001E-2</v>
      </c>
      <c r="AG312" s="236"/>
    </row>
    <row r="313" spans="1:33" x14ac:dyDescent="0.2">
      <c r="A313" s="182" t="s">
        <v>189</v>
      </c>
      <c r="B313" s="17" t="s">
        <v>711</v>
      </c>
      <c r="C313" s="227"/>
      <c r="D313" s="213"/>
      <c r="E313" s="118" t="s">
        <v>803</v>
      </c>
      <c r="F313" s="18" t="s">
        <v>565</v>
      </c>
      <c r="G313" s="19">
        <v>9.7200000000000006</v>
      </c>
      <c r="H313" s="124">
        <v>8</v>
      </c>
      <c r="I313" s="162">
        <v>97</v>
      </c>
      <c r="J313" s="138" t="s">
        <v>466</v>
      </c>
      <c r="K313" s="20">
        <v>73.430000000000007</v>
      </c>
      <c r="L313" s="245">
        <v>6144</v>
      </c>
      <c r="M313" s="64">
        <f t="shared" si="232"/>
        <v>2457.6000000000004</v>
      </c>
      <c r="N313" s="65">
        <f t="shared" si="231"/>
        <v>252.83950617283952</v>
      </c>
      <c r="O313" s="65">
        <f t="shared" si="233"/>
        <v>632.09876543209873</v>
      </c>
      <c r="P313" s="65">
        <v>1</v>
      </c>
      <c r="Q313" s="65"/>
      <c r="R313" s="65">
        <v>1</v>
      </c>
      <c r="S313" s="65"/>
      <c r="T313" s="65">
        <v>157</v>
      </c>
      <c r="U313" s="65"/>
      <c r="V313" s="65">
        <v>8</v>
      </c>
      <c r="W313" s="65">
        <v>1</v>
      </c>
      <c r="X313" s="110"/>
      <c r="Y313" s="81">
        <v>3.95</v>
      </c>
      <c r="Z313" s="141">
        <f>IF(AND(L313&lt;&gt;"",Y313&lt;&gt;""),L313/Y313,"")</f>
        <v>1555.4430379746834</v>
      </c>
      <c r="AA313" s="371"/>
      <c r="AB313" s="54">
        <f t="shared" si="234"/>
        <v>768</v>
      </c>
      <c r="AC313" s="99">
        <f t="shared" si="235"/>
        <v>19.625</v>
      </c>
      <c r="AD313" s="191">
        <f t="shared" si="236"/>
        <v>3.6864000000000001E-2</v>
      </c>
      <c r="AE313" t="s">
        <v>1007</v>
      </c>
      <c r="AG313" s="236"/>
    </row>
    <row r="314" spans="1:33" x14ac:dyDescent="0.2">
      <c r="A314" s="182" t="s">
        <v>189</v>
      </c>
      <c r="B314" s="17" t="s">
        <v>711</v>
      </c>
      <c r="C314" s="227"/>
      <c r="D314" s="213"/>
      <c r="E314" s="118" t="s">
        <v>312</v>
      </c>
      <c r="F314" s="18" t="s">
        <v>566</v>
      </c>
      <c r="G314" s="19">
        <v>27</v>
      </c>
      <c r="H314" s="124">
        <v>13</v>
      </c>
      <c r="I314" s="162">
        <v>97</v>
      </c>
      <c r="J314" s="138" t="s">
        <v>464</v>
      </c>
      <c r="K314" s="20">
        <v>103.46</v>
      </c>
      <c r="L314" s="245">
        <v>9216</v>
      </c>
      <c r="M314" s="64">
        <f t="shared" si="232"/>
        <v>3686.4</v>
      </c>
      <c r="N314" s="65">
        <f t="shared" si="231"/>
        <v>136.53333333333333</v>
      </c>
      <c r="O314" s="65">
        <f t="shared" si="233"/>
        <v>341.33333333333331</v>
      </c>
      <c r="P314" s="65">
        <v>1</v>
      </c>
      <c r="Q314" s="65"/>
      <c r="R314" s="65">
        <v>1</v>
      </c>
      <c r="S314" s="65"/>
      <c r="T314" s="65">
        <v>194</v>
      </c>
      <c r="U314" s="65"/>
      <c r="V314" s="65">
        <v>12</v>
      </c>
      <c r="W314" s="65">
        <v>1</v>
      </c>
      <c r="X314" s="110"/>
      <c r="Y314" s="81"/>
      <c r="Z314" s="141"/>
      <c r="AA314" s="371"/>
      <c r="AB314" s="54">
        <f t="shared" si="234"/>
        <v>768</v>
      </c>
      <c r="AC314" s="99">
        <f t="shared" si="235"/>
        <v>16.166666666666668</v>
      </c>
      <c r="AD314" s="191">
        <f t="shared" si="236"/>
        <v>5.5295999999999998E-2</v>
      </c>
      <c r="AG314" s="236"/>
    </row>
    <row r="315" spans="1:33" x14ac:dyDescent="0.2">
      <c r="A315" s="182" t="s">
        <v>189</v>
      </c>
      <c r="B315" s="17" t="s">
        <v>711</v>
      </c>
      <c r="C315" s="227"/>
      <c r="D315" s="229" t="s">
        <v>703</v>
      </c>
      <c r="E315" s="118" t="s">
        <v>777</v>
      </c>
      <c r="F315" s="18" t="s">
        <v>567</v>
      </c>
      <c r="G315" s="19">
        <v>35.43</v>
      </c>
      <c r="H315" s="124">
        <v>13</v>
      </c>
      <c r="I315" s="162">
        <v>97</v>
      </c>
      <c r="J315" s="138"/>
      <c r="K315" s="20"/>
      <c r="L315" s="245">
        <v>13824</v>
      </c>
      <c r="M315" s="64">
        <f t="shared" si="232"/>
        <v>5529.6</v>
      </c>
      <c r="N315" s="65">
        <f t="shared" si="231"/>
        <v>156.07112616426758</v>
      </c>
      <c r="O315" s="65">
        <f t="shared" si="233"/>
        <v>390.17781541066893</v>
      </c>
      <c r="P315" s="65" t="s">
        <v>363</v>
      </c>
      <c r="Q315" s="65"/>
      <c r="R315" s="65">
        <v>1</v>
      </c>
      <c r="S315" s="65"/>
      <c r="T315" s="65">
        <v>227</v>
      </c>
      <c r="U315" s="65"/>
      <c r="V315" s="65">
        <v>24</v>
      </c>
      <c r="W315" s="65">
        <v>1</v>
      </c>
      <c r="X315" s="110"/>
      <c r="Y315" s="81"/>
      <c r="Z315" s="141"/>
      <c r="AA315" s="371"/>
      <c r="AB315" s="54">
        <f t="shared" si="234"/>
        <v>576</v>
      </c>
      <c r="AC315" s="99">
        <f t="shared" si="235"/>
        <v>9.4583333333333339</v>
      </c>
      <c r="AD315" s="191">
        <f t="shared" si="236"/>
        <v>0.110592</v>
      </c>
      <c r="AG315" s="236"/>
    </row>
    <row r="316" spans="1:33" x14ac:dyDescent="0.2">
      <c r="A316" s="182" t="s">
        <v>189</v>
      </c>
      <c r="B316" s="17" t="s">
        <v>711</v>
      </c>
      <c r="C316" s="227"/>
      <c r="D316" s="213"/>
      <c r="E316" s="118" t="s">
        <v>313</v>
      </c>
      <c r="F316" s="18" t="s">
        <v>568</v>
      </c>
      <c r="G316" s="19">
        <v>51.77</v>
      </c>
      <c r="H316" s="124">
        <v>17</v>
      </c>
      <c r="I316" s="162">
        <v>165</v>
      </c>
      <c r="J316" s="138" t="s">
        <v>464</v>
      </c>
      <c r="K316" s="20">
        <v>177.05</v>
      </c>
      <c r="L316" s="245">
        <v>13824</v>
      </c>
      <c r="M316" s="64">
        <f t="shared" si="232"/>
        <v>5529.6</v>
      </c>
      <c r="N316" s="65">
        <f t="shared" si="231"/>
        <v>106.81089434035155</v>
      </c>
      <c r="O316" s="65">
        <f t="shared" si="233"/>
        <v>267.02723585087887</v>
      </c>
      <c r="P316" s="65" t="s">
        <v>363</v>
      </c>
      <c r="Q316" s="65"/>
      <c r="R316" s="65">
        <v>6</v>
      </c>
      <c r="S316" s="65"/>
      <c r="T316" s="65">
        <v>270</v>
      </c>
      <c r="U316" s="65"/>
      <c r="V316" s="65">
        <v>24</v>
      </c>
      <c r="W316" s="65">
        <v>1</v>
      </c>
      <c r="X316" s="110"/>
      <c r="Y316" s="81">
        <v>10</v>
      </c>
      <c r="Z316" s="141">
        <f>IF(AND(L316&lt;&gt;"",Y316&lt;&gt;""),L316/Y316,"")</f>
        <v>1382.4</v>
      </c>
      <c r="AA316" s="371"/>
      <c r="AB316" s="54">
        <f t="shared" si="234"/>
        <v>576</v>
      </c>
      <c r="AC316" s="99">
        <f t="shared" si="235"/>
        <v>11.25</v>
      </c>
      <c r="AD316" s="191">
        <f t="shared" si="236"/>
        <v>0.110592</v>
      </c>
      <c r="AG316" s="236"/>
    </row>
    <row r="317" spans="1:33" x14ac:dyDescent="0.2">
      <c r="A317" s="182" t="s">
        <v>189</v>
      </c>
      <c r="B317" s="17" t="s">
        <v>711</v>
      </c>
      <c r="C317" s="227"/>
      <c r="D317" s="229" t="s">
        <v>704</v>
      </c>
      <c r="E317" s="118" t="s">
        <v>778</v>
      </c>
      <c r="F317" s="18" t="s">
        <v>569</v>
      </c>
      <c r="G317" s="19">
        <v>54.44</v>
      </c>
      <c r="H317" s="124">
        <v>13</v>
      </c>
      <c r="I317" s="162">
        <v>97</v>
      </c>
      <c r="J317" s="1860" t="s">
        <v>464</v>
      </c>
      <c r="K317" s="1861">
        <v>226.55</v>
      </c>
      <c r="L317" s="245">
        <v>24576</v>
      </c>
      <c r="M317" s="64">
        <f t="shared" si="232"/>
        <v>9830.4000000000015</v>
      </c>
      <c r="N317" s="65">
        <f t="shared" si="231"/>
        <v>180.57310800881709</v>
      </c>
      <c r="O317" s="65">
        <f t="shared" si="233"/>
        <v>451.43277002204263</v>
      </c>
      <c r="P317" s="135" t="s">
        <v>363</v>
      </c>
      <c r="Q317" s="65"/>
      <c r="R317" s="65">
        <v>1</v>
      </c>
      <c r="S317" s="65"/>
      <c r="T317" s="65">
        <v>288</v>
      </c>
      <c r="U317" s="65"/>
      <c r="V317" s="65">
        <v>32</v>
      </c>
      <c r="W317" s="65">
        <v>1</v>
      </c>
      <c r="X317" s="110"/>
      <c r="Y317" s="81"/>
      <c r="Z317" s="141"/>
      <c r="AA317" s="371"/>
      <c r="AB317" s="54">
        <f t="shared" si="234"/>
        <v>768</v>
      </c>
      <c r="AC317" s="99">
        <f t="shared" si="235"/>
        <v>9</v>
      </c>
      <c r="AD317" s="191">
        <f t="shared" si="236"/>
        <v>0.147456</v>
      </c>
      <c r="AG317" s="236"/>
    </row>
    <row r="318" spans="1:33" ht="13.5" thickBot="1" x14ac:dyDescent="0.25">
      <c r="A318" s="182" t="s">
        <v>189</v>
      </c>
      <c r="B318" s="17" t="s">
        <v>711</v>
      </c>
      <c r="C318" s="227"/>
      <c r="D318" s="213"/>
      <c r="E318" s="118" t="s">
        <v>314</v>
      </c>
      <c r="F318" s="18" t="s">
        <v>570</v>
      </c>
      <c r="G318" s="19">
        <v>137.78</v>
      </c>
      <c r="H318" s="124">
        <v>27</v>
      </c>
      <c r="I318" s="162">
        <v>280</v>
      </c>
      <c r="J318" s="138"/>
      <c r="K318" s="20"/>
      <c r="L318" s="245">
        <v>38400</v>
      </c>
      <c r="M318" s="64">
        <f t="shared" si="232"/>
        <v>15360</v>
      </c>
      <c r="N318" s="65">
        <f t="shared" si="231"/>
        <v>111.48207286979242</v>
      </c>
      <c r="O318" s="65">
        <f t="shared" si="233"/>
        <v>278.70518217448108</v>
      </c>
      <c r="P318" s="65" t="s">
        <v>363</v>
      </c>
      <c r="Q318" s="65"/>
      <c r="R318" s="65">
        <v>6</v>
      </c>
      <c r="S318" s="65"/>
      <c r="T318" s="65">
        <v>439</v>
      </c>
      <c r="U318" s="65"/>
      <c r="V318" s="65">
        <v>60</v>
      </c>
      <c r="W318" s="65">
        <v>1</v>
      </c>
      <c r="X318" s="110"/>
      <c r="Y318" s="81"/>
      <c r="Z318" s="141"/>
      <c r="AA318" s="371"/>
      <c r="AB318" s="54">
        <f t="shared" si="234"/>
        <v>640</v>
      </c>
      <c r="AC318" s="99">
        <f t="shared" si="235"/>
        <v>7.3166666666666664</v>
      </c>
      <c r="AD318" s="191">
        <f t="shared" si="236"/>
        <v>0.27648</v>
      </c>
      <c r="AG318" s="236"/>
    </row>
    <row r="319" spans="1:33" x14ac:dyDescent="0.2">
      <c r="A319" s="182"/>
      <c r="B319" s="241" t="s">
        <v>362</v>
      </c>
      <c r="C319" s="226"/>
      <c r="D319" s="212"/>
      <c r="E319" s="12" t="s">
        <v>539</v>
      </c>
      <c r="F319" s="15"/>
      <c r="G319" s="14" t="s">
        <v>798</v>
      </c>
      <c r="H319" s="40" t="s">
        <v>530</v>
      </c>
      <c r="I319" s="161"/>
      <c r="J319" s="136"/>
      <c r="K319" s="16"/>
      <c r="L319" s="244" t="s">
        <v>365</v>
      </c>
      <c r="M319" s="60"/>
      <c r="N319" s="380">
        <f>AVERAGE(N320:N329)</f>
        <v>142.76840839880938</v>
      </c>
      <c r="O319" s="61"/>
      <c r="P319" s="61" t="s">
        <v>502</v>
      </c>
      <c r="Q319" s="61"/>
      <c r="R319" s="61"/>
      <c r="S319" s="61"/>
      <c r="T319" s="61"/>
      <c r="U319" s="61"/>
      <c r="V319" s="62" t="s">
        <v>182</v>
      </c>
      <c r="W319" s="61" t="s">
        <v>797</v>
      </c>
      <c r="X319" s="109"/>
      <c r="Y319" s="80" t="s">
        <v>2509</v>
      </c>
      <c r="Z319" s="164"/>
      <c r="AA319" s="373"/>
      <c r="AB319" s="92">
        <f>AVERAGE(AB323:AB338)</f>
        <v>542.22222222222217</v>
      </c>
      <c r="AC319" s="98">
        <f>AVERAGE(AC323:AC338)</f>
        <v>12.455374333058765</v>
      </c>
      <c r="AD319" s="109" t="s">
        <v>650</v>
      </c>
      <c r="AE319" s="193"/>
      <c r="AF319" s="212"/>
      <c r="AG319"/>
    </row>
    <row r="320" spans="1:33" x14ac:dyDescent="0.2">
      <c r="A320" s="188"/>
      <c r="B320" s="17" t="s">
        <v>701</v>
      </c>
      <c r="C320" s="227"/>
      <c r="D320" s="213"/>
      <c r="E320" s="134" t="s">
        <v>654</v>
      </c>
      <c r="F320" s="45" t="s">
        <v>656</v>
      </c>
      <c r="G320" s="38"/>
      <c r="H320" s="30">
        <v>3</v>
      </c>
      <c r="I320" s="170">
        <v>34</v>
      </c>
      <c r="J320" s="137"/>
      <c r="K320" s="39"/>
      <c r="L320" s="247">
        <v>260</v>
      </c>
      <c r="M320" s="64">
        <f t="shared" ref="M320:M343" si="237">0.4*L320</f>
        <v>104</v>
      </c>
      <c r="N320" s="65" t="str">
        <f t="shared" ref="N320:N343" si="238">IF(AND(G320&lt;&gt;"",M320&lt;&gt;""),M320/G320,"")</f>
        <v/>
      </c>
      <c r="O320" s="71"/>
      <c r="P320" s="71"/>
      <c r="Q320" s="71"/>
      <c r="R320" s="71"/>
      <c r="S320" s="71"/>
      <c r="T320" s="71">
        <v>34</v>
      </c>
      <c r="U320" s="71"/>
      <c r="V320" s="77">
        <v>0</v>
      </c>
      <c r="W320" s="65">
        <v>1</v>
      </c>
      <c r="X320" s="117"/>
      <c r="Y320" s="86">
        <v>0.69</v>
      </c>
      <c r="Z320" s="141">
        <f>IF(AND(L320&lt;&gt;"",Y320&lt;&gt;""),L320/Y320,"")</f>
        <v>376.81159420289856</v>
      </c>
      <c r="AA320" s="375"/>
      <c r="AB320" s="95"/>
      <c r="AC320" s="107"/>
      <c r="AD320" s="117"/>
      <c r="AE320" s="17"/>
      <c r="AF320" s="213"/>
      <c r="AG320"/>
    </row>
    <row r="321" spans="1:33" x14ac:dyDescent="0.2">
      <c r="A321" s="182" t="s">
        <v>740</v>
      </c>
      <c r="B321" s="17" t="s">
        <v>701</v>
      </c>
      <c r="C321" s="227"/>
      <c r="D321" s="213"/>
      <c r="E321" s="134" t="s">
        <v>547</v>
      </c>
      <c r="F321" s="45" t="s">
        <v>783</v>
      </c>
      <c r="G321" s="43"/>
      <c r="H321" s="18">
        <v>8</v>
      </c>
      <c r="I321" s="167">
        <v>49</v>
      </c>
      <c r="J321" s="137"/>
      <c r="K321" s="39"/>
      <c r="L321" s="247">
        <v>384</v>
      </c>
      <c r="M321" s="64">
        <f t="shared" si="237"/>
        <v>153.60000000000002</v>
      </c>
      <c r="N321" s="65" t="str">
        <f t="shared" si="238"/>
        <v/>
      </c>
      <c r="O321" s="65" t="str">
        <f t="shared" ref="O321:O329" si="239">IF(AND(G321&lt;&gt;"",L321&lt;&gt;""),L321/G321,"")</f>
        <v/>
      </c>
      <c r="P321" s="71"/>
      <c r="Q321" s="71"/>
      <c r="R321" s="71"/>
      <c r="S321" s="71"/>
      <c r="T321" s="71">
        <v>49</v>
      </c>
      <c r="U321" s="71"/>
      <c r="V321" s="77">
        <v>0</v>
      </c>
      <c r="W321" s="65">
        <v>1</v>
      </c>
      <c r="X321" s="117"/>
      <c r="Y321" s="86">
        <v>0.99</v>
      </c>
      <c r="Z321" s="141">
        <f>IF(AND(L321&lt;&gt;"",Y321&lt;&gt;""),L321/Y321,"")</f>
        <v>387.87878787878788</v>
      </c>
      <c r="AA321" s="375"/>
      <c r="AB321" s="95"/>
      <c r="AC321" s="107"/>
      <c r="AD321" s="191">
        <f t="shared" ref="AD321:AD329" si="240">256*18*V321/1000000</f>
        <v>0</v>
      </c>
      <c r="AE321" s="17"/>
      <c r="AF321" s="213"/>
      <c r="AG321"/>
    </row>
    <row r="322" spans="1:33" x14ac:dyDescent="0.2">
      <c r="A322" s="188"/>
      <c r="B322" s="17" t="s">
        <v>701</v>
      </c>
      <c r="C322" s="227"/>
      <c r="D322" s="213"/>
      <c r="E322" s="134" t="s">
        <v>655</v>
      </c>
      <c r="F322" s="45" t="s">
        <v>659</v>
      </c>
      <c r="G322" s="43"/>
      <c r="H322" s="18">
        <v>4</v>
      </c>
      <c r="I322" s="167">
        <v>52</v>
      </c>
      <c r="J322" s="138"/>
      <c r="K322" s="44"/>
      <c r="L322" s="245">
        <v>520</v>
      </c>
      <c r="M322" s="64">
        <f t="shared" si="237"/>
        <v>208</v>
      </c>
      <c r="N322" s="65" t="str">
        <f t="shared" si="238"/>
        <v/>
      </c>
      <c r="O322" s="65"/>
      <c r="P322" s="65"/>
      <c r="Q322" s="65"/>
      <c r="R322" s="65"/>
      <c r="S322" s="65"/>
      <c r="T322" s="65">
        <v>52</v>
      </c>
      <c r="U322" s="65"/>
      <c r="V322" s="75">
        <v>0</v>
      </c>
      <c r="W322" s="65">
        <v>1</v>
      </c>
      <c r="X322" s="115"/>
      <c r="Y322" s="87"/>
      <c r="Z322" s="141"/>
      <c r="AA322" s="371"/>
      <c r="AB322" s="270"/>
      <c r="AC322" s="271"/>
      <c r="AD322" s="191"/>
      <c r="AE322" s="17"/>
      <c r="AF322" s="213"/>
      <c r="AG322"/>
    </row>
    <row r="323" spans="1:33" x14ac:dyDescent="0.2">
      <c r="A323" s="182" t="s">
        <v>740</v>
      </c>
      <c r="B323" s="17" t="s">
        <v>701</v>
      </c>
      <c r="C323" s="227"/>
      <c r="D323" s="213"/>
      <c r="E323" s="134" t="s">
        <v>516</v>
      </c>
      <c r="F323" s="18" t="s">
        <v>782</v>
      </c>
      <c r="G323" s="1518">
        <v>1.46</v>
      </c>
      <c r="H323" s="124">
        <v>5</v>
      </c>
      <c r="I323" s="162">
        <v>66</v>
      </c>
      <c r="J323" s="138"/>
      <c r="K323" s="20"/>
      <c r="L323" s="245">
        <v>768</v>
      </c>
      <c r="M323" s="64">
        <f t="shared" si="237"/>
        <v>307.20000000000005</v>
      </c>
      <c r="N323" s="65">
        <f t="shared" si="238"/>
        <v>210.41095890410963</v>
      </c>
      <c r="O323" s="65">
        <f t="shared" si="239"/>
        <v>526.02739726027403</v>
      </c>
      <c r="P323" s="65"/>
      <c r="Q323" s="65"/>
      <c r="R323" s="65"/>
      <c r="S323" s="65"/>
      <c r="T323" s="65">
        <v>81</v>
      </c>
      <c r="U323" s="65"/>
      <c r="V323" s="65">
        <v>0</v>
      </c>
      <c r="W323" s="65">
        <v>1</v>
      </c>
      <c r="X323" s="110"/>
      <c r="Y323" s="81">
        <v>1.07</v>
      </c>
      <c r="Z323" s="141">
        <f>IF(AND(L323&lt;&gt;"",Y323&lt;&gt;""),L323/Y323,"")</f>
        <v>717.75700934579436</v>
      </c>
      <c r="AA323" s="371"/>
      <c r="AB323" s="54"/>
      <c r="AC323" s="99"/>
      <c r="AD323" s="191">
        <f t="shared" si="240"/>
        <v>0</v>
      </c>
      <c r="AE323" s="17"/>
      <c r="AF323" s="213"/>
      <c r="AG323"/>
    </row>
    <row r="324" spans="1:33" x14ac:dyDescent="0.2">
      <c r="A324" s="182" t="s">
        <v>740</v>
      </c>
      <c r="B324" s="17" t="s">
        <v>711</v>
      </c>
      <c r="C324" s="227"/>
      <c r="D324" s="213"/>
      <c r="E324" s="118" t="s">
        <v>517</v>
      </c>
      <c r="F324" s="18" t="s">
        <v>564</v>
      </c>
      <c r="G324" s="1518">
        <v>4.66</v>
      </c>
      <c r="H324" s="124">
        <v>5</v>
      </c>
      <c r="I324" s="162">
        <v>66</v>
      </c>
      <c r="J324" s="138"/>
      <c r="K324" s="20"/>
      <c r="L324" s="245">
        <v>1536</v>
      </c>
      <c r="M324" s="64">
        <f t="shared" si="237"/>
        <v>614.40000000000009</v>
      </c>
      <c r="N324" s="65">
        <f t="shared" si="238"/>
        <v>131.84549356223178</v>
      </c>
      <c r="O324" s="65">
        <f t="shared" si="239"/>
        <v>329.61373390557941</v>
      </c>
      <c r="P324" s="65"/>
      <c r="Q324" s="65"/>
      <c r="R324" s="65">
        <v>1</v>
      </c>
      <c r="S324" s="65"/>
      <c r="T324" s="65">
        <v>96</v>
      </c>
      <c r="U324" s="65"/>
      <c r="V324" s="65">
        <v>4</v>
      </c>
      <c r="W324" s="65">
        <v>1</v>
      </c>
      <c r="X324" s="110"/>
      <c r="Y324" s="81"/>
      <c r="Z324" s="141" t="str">
        <f>IF(AND(L324&lt;&gt;"",Y324&lt;&gt;""),L324/Y324,"")</f>
        <v/>
      </c>
      <c r="AA324" s="371"/>
      <c r="AB324" s="54">
        <f t="shared" ref="AB324:AB329" si="241">L324/V324</f>
        <v>384</v>
      </c>
      <c r="AC324" s="99">
        <f t="shared" ref="AC324:AC329" si="242">T324/V324</f>
        <v>24</v>
      </c>
      <c r="AD324" s="191">
        <f t="shared" si="240"/>
        <v>1.8432E-2</v>
      </c>
      <c r="AE324" s="17"/>
      <c r="AF324" s="213"/>
      <c r="AG324"/>
    </row>
    <row r="325" spans="1:33" x14ac:dyDescent="0.2">
      <c r="A325" s="182" t="s">
        <v>740</v>
      </c>
      <c r="B325" s="17" t="s">
        <v>711</v>
      </c>
      <c r="C325" s="227"/>
      <c r="D325" s="213"/>
      <c r="E325" s="118" t="s">
        <v>518</v>
      </c>
      <c r="F325" s="18" t="s">
        <v>784</v>
      </c>
      <c r="G325" s="1518">
        <v>8.5239999999999991</v>
      </c>
      <c r="H325" s="124">
        <v>5</v>
      </c>
      <c r="I325" s="162">
        <v>66</v>
      </c>
      <c r="J325" s="138"/>
      <c r="K325" s="20"/>
      <c r="L325" s="245">
        <v>3072</v>
      </c>
      <c r="M325" s="64">
        <f t="shared" si="237"/>
        <v>1228.8000000000002</v>
      </c>
      <c r="N325" s="65">
        <f t="shared" si="238"/>
        <v>144.15767245424686</v>
      </c>
      <c r="O325" s="65">
        <f t="shared" si="239"/>
        <v>360.39418113561715</v>
      </c>
      <c r="P325" s="65"/>
      <c r="Q325" s="65"/>
      <c r="R325" s="65">
        <v>1</v>
      </c>
      <c r="S325" s="65"/>
      <c r="T325" s="65">
        <v>133</v>
      </c>
      <c r="U325" s="65"/>
      <c r="V325" s="65">
        <v>8</v>
      </c>
      <c r="W325" s="65">
        <v>1</v>
      </c>
      <c r="X325" s="110"/>
      <c r="Y325" s="81"/>
      <c r="Z325" s="141"/>
      <c r="AA325" s="371"/>
      <c r="AB325" s="54">
        <f t="shared" si="241"/>
        <v>384</v>
      </c>
      <c r="AC325" s="99">
        <f t="shared" si="242"/>
        <v>16.625</v>
      </c>
      <c r="AD325" s="191">
        <f t="shared" si="240"/>
        <v>3.6864000000000001E-2</v>
      </c>
      <c r="AE325" s="17"/>
      <c r="AF325" s="213"/>
      <c r="AG325"/>
    </row>
    <row r="326" spans="1:33" x14ac:dyDescent="0.2">
      <c r="A326" s="182" t="s">
        <v>740</v>
      </c>
      <c r="B326" s="17" t="s">
        <v>711</v>
      </c>
      <c r="C326" s="227"/>
      <c r="D326" s="213"/>
      <c r="E326" s="118" t="s">
        <v>519</v>
      </c>
      <c r="F326" s="18" t="s">
        <v>785</v>
      </c>
      <c r="G326" s="19">
        <v>15.48</v>
      </c>
      <c r="H326" s="124">
        <v>5</v>
      </c>
      <c r="I326" s="162">
        <v>66</v>
      </c>
      <c r="J326" s="138"/>
      <c r="K326" s="20"/>
      <c r="L326" s="245">
        <v>6144</v>
      </c>
      <c r="M326" s="64">
        <f t="shared" si="237"/>
        <v>2457.6000000000004</v>
      </c>
      <c r="N326" s="65">
        <f t="shared" si="238"/>
        <v>158.75968992248065</v>
      </c>
      <c r="O326" s="65">
        <f t="shared" si="239"/>
        <v>396.89922480620152</v>
      </c>
      <c r="P326" s="65">
        <v>1</v>
      </c>
      <c r="Q326" s="65"/>
      <c r="R326" s="65">
        <v>1</v>
      </c>
      <c r="S326" s="65"/>
      <c r="T326" s="65">
        <v>143</v>
      </c>
      <c r="U326" s="65"/>
      <c r="V326" s="65">
        <v>8</v>
      </c>
      <c r="W326" s="65">
        <v>1</v>
      </c>
      <c r="X326" s="110"/>
      <c r="Y326" s="81">
        <v>3.7</v>
      </c>
      <c r="Z326" s="141">
        <f>IF(AND(L326&lt;&gt;"",Y326&lt;&gt;""),L326/Y326,"")</f>
        <v>1660.5405405405404</v>
      </c>
      <c r="AA326" s="371"/>
      <c r="AB326" s="54">
        <f t="shared" si="241"/>
        <v>768</v>
      </c>
      <c r="AC326" s="99">
        <f t="shared" si="242"/>
        <v>17.875</v>
      </c>
      <c r="AD326" s="191">
        <f t="shared" si="240"/>
        <v>3.6864000000000001E-2</v>
      </c>
      <c r="AE326" s="17"/>
      <c r="AF326" s="213"/>
      <c r="AG326" t="s">
        <v>1007</v>
      </c>
    </row>
    <row r="327" spans="1:33" x14ac:dyDescent="0.2">
      <c r="A327" s="182" t="s">
        <v>740</v>
      </c>
      <c r="B327" s="17" t="s">
        <v>701</v>
      </c>
      <c r="C327" s="227"/>
      <c r="D327" s="213"/>
      <c r="E327" s="118" t="s">
        <v>520</v>
      </c>
      <c r="F327" s="18" t="s">
        <v>786</v>
      </c>
      <c r="G327" s="19">
        <v>60.11</v>
      </c>
      <c r="H327" s="124">
        <v>13</v>
      </c>
      <c r="I327" s="162">
        <v>97</v>
      </c>
      <c r="J327" s="138"/>
      <c r="K327" s="20"/>
      <c r="L327" s="245">
        <v>13824</v>
      </c>
      <c r="M327" s="64">
        <f t="shared" si="237"/>
        <v>5529.6</v>
      </c>
      <c r="N327" s="65">
        <f t="shared" si="238"/>
        <v>91.991349193145908</v>
      </c>
      <c r="O327" s="65">
        <f t="shared" si="239"/>
        <v>229.97837298286476</v>
      </c>
      <c r="P327" s="65" t="s">
        <v>363</v>
      </c>
      <c r="Q327" s="65"/>
      <c r="R327" s="65">
        <v>1</v>
      </c>
      <c r="S327" s="65"/>
      <c r="T327" s="65">
        <v>227</v>
      </c>
      <c r="U327" s="65"/>
      <c r="V327" s="65">
        <v>24</v>
      </c>
      <c r="W327" s="65">
        <v>1</v>
      </c>
      <c r="X327" s="110"/>
      <c r="Y327" s="81"/>
      <c r="Z327" s="141"/>
      <c r="AA327" s="371"/>
      <c r="AB327" s="54">
        <f t="shared" si="241"/>
        <v>576</v>
      </c>
      <c r="AC327" s="99">
        <f t="shared" si="242"/>
        <v>9.4583333333333339</v>
      </c>
      <c r="AD327" s="191">
        <f t="shared" si="240"/>
        <v>0.110592</v>
      </c>
      <c r="AE327" s="17"/>
      <c r="AF327" s="213"/>
      <c r="AG327"/>
    </row>
    <row r="328" spans="1:33" ht="12" customHeight="1" x14ac:dyDescent="0.2">
      <c r="A328" s="182" t="s">
        <v>740</v>
      </c>
      <c r="B328" s="17" t="s">
        <v>701</v>
      </c>
      <c r="C328" s="227"/>
      <c r="D328" s="213"/>
      <c r="E328" s="118" t="s">
        <v>522</v>
      </c>
      <c r="F328" s="18" t="s">
        <v>787</v>
      </c>
      <c r="G328" s="19">
        <v>80</v>
      </c>
      <c r="H328" s="124">
        <v>17</v>
      </c>
      <c r="I328" s="162">
        <v>165</v>
      </c>
      <c r="J328" s="138"/>
      <c r="K328" s="20"/>
      <c r="L328" s="245">
        <v>13824</v>
      </c>
      <c r="M328" s="64">
        <f t="shared" si="237"/>
        <v>5529.6</v>
      </c>
      <c r="N328" s="65">
        <f t="shared" si="238"/>
        <v>69.12</v>
      </c>
      <c r="O328" s="65">
        <f>IF(AND(G328&lt;&gt;"",L328&lt;&gt;""),L328/G328,"")</f>
        <v>172.8</v>
      </c>
      <c r="P328" s="65" t="s">
        <v>363</v>
      </c>
      <c r="Q328" s="65"/>
      <c r="R328" s="65">
        <v>6</v>
      </c>
      <c r="S328" s="65"/>
      <c r="T328" s="65">
        <v>270</v>
      </c>
      <c r="U328" s="65"/>
      <c r="V328" s="65">
        <v>24</v>
      </c>
      <c r="W328" s="65">
        <v>1</v>
      </c>
      <c r="X328" s="110"/>
      <c r="Y328" s="81"/>
      <c r="Z328" s="141" t="str">
        <f>IF(AND(L328&lt;&gt;"",Y328&lt;&gt;""),L328/Y328,"")</f>
        <v/>
      </c>
      <c r="AA328" s="371"/>
      <c r="AB328" s="54">
        <f>L328/V328</f>
        <v>576</v>
      </c>
      <c r="AC328" s="99">
        <f>T328/V328</f>
        <v>11.25</v>
      </c>
      <c r="AD328" s="191">
        <f t="shared" si="240"/>
        <v>0.110592</v>
      </c>
      <c r="AE328" s="17"/>
      <c r="AF328" s="213"/>
      <c r="AG328"/>
    </row>
    <row r="329" spans="1:33" ht="13.5" thickBot="1" x14ac:dyDescent="0.25">
      <c r="A329" s="182" t="s">
        <v>740</v>
      </c>
      <c r="B329" s="17" t="s">
        <v>701</v>
      </c>
      <c r="C329" s="227"/>
      <c r="D329" s="213"/>
      <c r="E329" s="118" t="s">
        <v>521</v>
      </c>
      <c r="F329" s="18" t="s">
        <v>786</v>
      </c>
      <c r="G329" s="19">
        <v>50.91</v>
      </c>
      <c r="H329" s="124">
        <v>13</v>
      </c>
      <c r="I329" s="162">
        <v>97</v>
      </c>
      <c r="J329" s="138"/>
      <c r="K329" s="20"/>
      <c r="L329" s="245">
        <v>24576</v>
      </c>
      <c r="M329" s="64">
        <f t="shared" si="237"/>
        <v>9830.4000000000015</v>
      </c>
      <c r="N329" s="65">
        <f t="shared" si="238"/>
        <v>193.09369475545083</v>
      </c>
      <c r="O329" s="65">
        <f t="shared" si="239"/>
        <v>482.73423688862704</v>
      </c>
      <c r="P329" s="65" t="s">
        <v>363</v>
      </c>
      <c r="Q329" s="65"/>
      <c r="R329" s="65">
        <v>6</v>
      </c>
      <c r="S329" s="65"/>
      <c r="T329" s="65">
        <v>300</v>
      </c>
      <c r="U329" s="65"/>
      <c r="V329" s="65">
        <v>32</v>
      </c>
      <c r="W329" s="65">
        <v>1</v>
      </c>
      <c r="X329" s="110"/>
      <c r="Y329" s="81"/>
      <c r="Z329" s="141"/>
      <c r="AA329" s="371"/>
      <c r="AB329" s="54">
        <f t="shared" si="241"/>
        <v>768</v>
      </c>
      <c r="AC329" s="99">
        <f t="shared" si="242"/>
        <v>9.375</v>
      </c>
      <c r="AD329" s="191">
        <f t="shared" si="240"/>
        <v>0.147456</v>
      </c>
      <c r="AE329" s="17"/>
      <c r="AF329" s="213"/>
      <c r="AG329"/>
    </row>
    <row r="330" spans="1:33" x14ac:dyDescent="0.2">
      <c r="A330" s="657"/>
      <c r="B330" s="666" t="s">
        <v>362</v>
      </c>
      <c r="C330" s="660"/>
      <c r="D330" s="658"/>
      <c r="E330" s="606" t="s">
        <v>1443</v>
      </c>
      <c r="F330" s="744" t="s">
        <v>1012</v>
      </c>
      <c r="G330" s="607" t="s">
        <v>22</v>
      </c>
      <c r="H330" s="644" t="s">
        <v>528</v>
      </c>
      <c r="I330" s="651"/>
      <c r="J330" s="646"/>
      <c r="K330" s="608"/>
      <c r="L330" s="667" t="s">
        <v>1316</v>
      </c>
      <c r="M330" s="622" t="s">
        <v>1316</v>
      </c>
      <c r="N330" s="633">
        <f>AVERAGE(N331:N335)</f>
        <v>823.17742815673648</v>
      </c>
      <c r="O330" s="623"/>
      <c r="P330" s="623"/>
      <c r="Q330" s="623" t="s">
        <v>1740</v>
      </c>
      <c r="R330" s="623"/>
      <c r="S330" s="623" t="s">
        <v>1325</v>
      </c>
      <c r="T330" s="623"/>
      <c r="U330" s="623" t="s">
        <v>1323</v>
      </c>
      <c r="V330" s="624" t="s">
        <v>206</v>
      </c>
      <c r="W330" s="623" t="s">
        <v>1329</v>
      </c>
      <c r="X330" s="636"/>
      <c r="Y330" s="629"/>
      <c r="Z330" s="654"/>
      <c r="AA330" s="748">
        <f>AVERAGE(AA331:AA335)</f>
        <v>696.45401069518709</v>
      </c>
      <c r="AB330" s="633">
        <v>568</v>
      </c>
      <c r="AC330" s="635">
        <f>AVERAGE(AC331:AC335)</f>
        <v>10.336121017832097</v>
      </c>
      <c r="AD330" s="636" t="s">
        <v>650</v>
      </c>
      <c r="AE330" s="1238" t="s">
        <v>1755</v>
      </c>
      <c r="AF330" s="928">
        <f>AVERAGE(AF331:AF335)</f>
        <v>82.293553105504571</v>
      </c>
      <c r="AG330" s="604" t="s">
        <v>1451</v>
      </c>
    </row>
    <row r="331" spans="1:33" x14ac:dyDescent="0.2">
      <c r="A331" s="702" t="s">
        <v>26</v>
      </c>
      <c r="B331" s="17" t="s">
        <v>711</v>
      </c>
      <c r="C331" s="661"/>
      <c r="D331" s="663"/>
      <c r="E331" s="640" t="s">
        <v>1444</v>
      </c>
      <c r="F331" s="610" t="s">
        <v>1426</v>
      </c>
      <c r="G331" s="611">
        <v>9.3539999999999992</v>
      </c>
      <c r="H331" s="641">
        <v>14</v>
      </c>
      <c r="I331" s="652">
        <v>161</v>
      </c>
      <c r="J331" s="648"/>
      <c r="K331" s="612"/>
      <c r="L331" s="668">
        <v>6060</v>
      </c>
      <c r="M331" s="65">
        <f t="shared" ref="M331:M335" si="243">L331</f>
        <v>6060</v>
      </c>
      <c r="N331" s="65">
        <f t="shared" ref="N331:N335" si="244">IF(AND(G331&lt;&gt;"",M331&lt;&gt;""),M331/G331,"")</f>
        <v>647.85118665811422</v>
      </c>
      <c r="O331" s="625"/>
      <c r="P331" s="625"/>
      <c r="Q331" s="625">
        <v>11</v>
      </c>
      <c r="R331" s="625">
        <v>2</v>
      </c>
      <c r="S331" s="625">
        <v>0</v>
      </c>
      <c r="T331" s="625">
        <v>209</v>
      </c>
      <c r="U331" s="625">
        <v>11</v>
      </c>
      <c r="V331" s="625">
        <v>10</v>
      </c>
      <c r="W331" s="625">
        <v>128</v>
      </c>
      <c r="X331" s="637"/>
      <c r="Y331" s="630">
        <v>7</v>
      </c>
      <c r="Z331" s="141">
        <f>IF(AND(L331&lt;&gt;"",Y331&lt;&gt;""),L331/Y331,"")</f>
        <v>865.71428571428567</v>
      </c>
      <c r="AA331" s="378">
        <f t="shared" ref="AA331:AA335" si="245">M331/Q331</f>
        <v>550.90909090909088</v>
      </c>
      <c r="AB331" s="620"/>
      <c r="AC331" s="99">
        <f t="shared" ref="AC331:AC335" si="246">T331/V331</f>
        <v>20.9</v>
      </c>
      <c r="AD331" s="191">
        <f t="shared" ref="AD331:AD335" si="247">(U331*64*18+V331*512*36)/1000000</f>
        <v>0.196992</v>
      </c>
      <c r="AE331" s="17">
        <v>2.3679999999999999</v>
      </c>
      <c r="AF331" s="198">
        <f>(AE331*1000000-V331*36*512)/(4*L331)</f>
        <v>90.085808580858085</v>
      </c>
      <c r="AG331" s="604" t="s">
        <v>1326</v>
      </c>
    </row>
    <row r="332" spans="1:33" x14ac:dyDescent="0.2">
      <c r="A332" s="702" t="s">
        <v>26</v>
      </c>
      <c r="B332" s="17" t="s">
        <v>711</v>
      </c>
      <c r="C332" s="661"/>
      <c r="D332" s="663"/>
      <c r="E332" s="640" t="s">
        <v>1445</v>
      </c>
      <c r="F332" s="610" t="s">
        <v>1426</v>
      </c>
      <c r="G332" s="611">
        <v>19.34</v>
      </c>
      <c r="H332" s="641">
        <v>14</v>
      </c>
      <c r="I332" s="652">
        <v>138</v>
      </c>
      <c r="J332" s="648"/>
      <c r="K332" s="612"/>
      <c r="L332" s="668">
        <v>12084</v>
      </c>
      <c r="M332" s="65">
        <f t="shared" si="243"/>
        <v>12084</v>
      </c>
      <c r="N332" s="65">
        <f t="shared" si="244"/>
        <v>624.81902792140636</v>
      </c>
      <c r="O332" s="625"/>
      <c r="P332" s="625"/>
      <c r="Q332" s="625">
        <v>22</v>
      </c>
      <c r="R332" s="625">
        <v>2</v>
      </c>
      <c r="S332" s="625">
        <v>4</v>
      </c>
      <c r="T332" s="625">
        <v>233</v>
      </c>
      <c r="U332" s="625">
        <v>22</v>
      </c>
      <c r="V332" s="625">
        <v>21</v>
      </c>
      <c r="W332" s="625">
        <v>256</v>
      </c>
      <c r="X332" s="637"/>
      <c r="Y332" s="630"/>
      <c r="Z332" s="141"/>
      <c r="AA332" s="378">
        <f t="shared" si="245"/>
        <v>549.27272727272725</v>
      </c>
      <c r="AB332" s="620"/>
      <c r="AC332" s="99">
        <f t="shared" si="246"/>
        <v>11.095238095238095</v>
      </c>
      <c r="AD332" s="191">
        <f t="shared" si="247"/>
        <v>0.412416</v>
      </c>
      <c r="AE332" s="17">
        <v>4.4480000000000004</v>
      </c>
      <c r="AF332" s="198">
        <f t="shared" ref="AF332:AF334" si="248">(AE332*1000000-V332*36*512)/(4*L332)</f>
        <v>84.014564713670964</v>
      </c>
      <c r="AG332" s="604" t="s">
        <v>1328</v>
      </c>
    </row>
    <row r="333" spans="1:33" x14ac:dyDescent="0.2">
      <c r="A333" s="702" t="s">
        <v>26</v>
      </c>
      <c r="B333" s="17" t="s">
        <v>711</v>
      </c>
      <c r="C333" s="661"/>
      <c r="D333" s="663"/>
      <c r="E333" s="640" t="s">
        <v>1446</v>
      </c>
      <c r="F333" s="610" t="s">
        <v>571</v>
      </c>
      <c r="G333" s="611">
        <v>39.96</v>
      </c>
      <c r="H333" s="641">
        <v>11</v>
      </c>
      <c r="I333" s="652">
        <v>180</v>
      </c>
      <c r="J333" s="648"/>
      <c r="K333" s="612"/>
      <c r="L333" s="668">
        <v>27696</v>
      </c>
      <c r="M333" s="65">
        <f t="shared" si="243"/>
        <v>27696</v>
      </c>
      <c r="N333" s="65">
        <f t="shared" si="244"/>
        <v>693.0930930930931</v>
      </c>
      <c r="O333" s="625"/>
      <c r="P333" s="625"/>
      <c r="Q333" s="625">
        <v>34</v>
      </c>
      <c r="R333" s="625">
        <v>6</v>
      </c>
      <c r="S333" s="625">
        <v>4</v>
      </c>
      <c r="T333" s="625">
        <v>267</v>
      </c>
      <c r="U333" s="625">
        <v>34</v>
      </c>
      <c r="V333" s="625">
        <v>31</v>
      </c>
      <c r="W333" s="625">
        <v>256</v>
      </c>
      <c r="X333" s="637"/>
      <c r="Y333" s="630"/>
      <c r="Z333" s="141"/>
      <c r="AA333" s="378">
        <f t="shared" si="245"/>
        <v>814.58823529411768</v>
      </c>
      <c r="AB333" s="620"/>
      <c r="AC333" s="99">
        <f t="shared" si="246"/>
        <v>8.612903225806452</v>
      </c>
      <c r="AD333" s="191">
        <f t="shared" si="247"/>
        <v>0.61055999999999999</v>
      </c>
      <c r="AE333" s="17">
        <v>9.56</v>
      </c>
      <c r="AF333" s="198">
        <f t="shared" si="248"/>
        <v>81.13633737723859</v>
      </c>
      <c r="AG333" s="604" t="s">
        <v>1452</v>
      </c>
    </row>
    <row r="334" spans="1:33" x14ac:dyDescent="0.2">
      <c r="A334" s="702" t="s">
        <v>26</v>
      </c>
      <c r="B334" s="17" t="s">
        <v>711</v>
      </c>
      <c r="C334" s="661"/>
      <c r="D334" s="663"/>
      <c r="E334" s="640" t="s">
        <v>1447</v>
      </c>
      <c r="F334" s="610" t="s">
        <v>1625</v>
      </c>
      <c r="G334" s="611">
        <v>52.49</v>
      </c>
      <c r="H334" s="641">
        <v>11</v>
      </c>
      <c r="I334" s="652">
        <v>200</v>
      </c>
      <c r="J334" s="648"/>
      <c r="K334" s="612"/>
      <c r="L334" s="668">
        <v>56340</v>
      </c>
      <c r="M334" s="65">
        <f t="shared" si="243"/>
        <v>56340</v>
      </c>
      <c r="N334" s="65">
        <f t="shared" si="244"/>
        <v>1073.3473042484281</v>
      </c>
      <c r="O334" s="625"/>
      <c r="P334" s="625"/>
      <c r="Q334" s="625">
        <v>72</v>
      </c>
      <c r="R334" s="625">
        <v>6</v>
      </c>
      <c r="S334" s="625">
        <v>8</v>
      </c>
      <c r="T334" s="625">
        <v>377</v>
      </c>
      <c r="U334" s="625">
        <v>72</v>
      </c>
      <c r="V334" s="625">
        <v>69</v>
      </c>
      <c r="W334" s="625">
        <v>256</v>
      </c>
      <c r="X334" s="637"/>
      <c r="Y334" s="630"/>
      <c r="Z334" s="141"/>
      <c r="AA334" s="378">
        <f t="shared" si="245"/>
        <v>782.5</v>
      </c>
      <c r="AB334" s="620"/>
      <c r="AC334" s="99">
        <f t="shared" si="246"/>
        <v>5.4637681159420293</v>
      </c>
      <c r="AD334" s="191">
        <f t="shared" si="247"/>
        <v>1.354752</v>
      </c>
      <c r="AE334" s="17">
        <v>18.904</v>
      </c>
      <c r="AF334" s="198">
        <f t="shared" si="248"/>
        <v>78.240113596024145</v>
      </c>
      <c r="AG334" s="604" t="s">
        <v>1453</v>
      </c>
    </row>
    <row r="335" spans="1:33" ht="13.5" thickBot="1" x14ac:dyDescent="0.25">
      <c r="A335" s="702" t="s">
        <v>26</v>
      </c>
      <c r="B335" s="21" t="s">
        <v>711</v>
      </c>
      <c r="C335" s="662"/>
      <c r="D335" s="664"/>
      <c r="E335" s="1868" t="s">
        <v>1753</v>
      </c>
      <c r="F335" s="614" t="s">
        <v>1754</v>
      </c>
      <c r="G335" s="615">
        <v>52.49</v>
      </c>
      <c r="H335" s="642">
        <v>11</v>
      </c>
      <c r="I335" s="653">
        <v>200</v>
      </c>
      <c r="J335" s="650"/>
      <c r="K335" s="616"/>
      <c r="L335" s="669">
        <v>56520</v>
      </c>
      <c r="M335" s="68">
        <f t="shared" si="243"/>
        <v>56520</v>
      </c>
      <c r="N335" s="67">
        <f t="shared" si="244"/>
        <v>1076.7765288626404</v>
      </c>
      <c r="O335" s="626"/>
      <c r="P335" s="626"/>
      <c r="Q335" s="626">
        <v>72</v>
      </c>
      <c r="R335" s="626">
        <v>6</v>
      </c>
      <c r="S335" s="626">
        <v>4</v>
      </c>
      <c r="T335" s="626">
        <v>387</v>
      </c>
      <c r="U335" s="626">
        <v>72</v>
      </c>
      <c r="V335" s="626">
        <v>69</v>
      </c>
      <c r="W335" s="626">
        <v>256</v>
      </c>
      <c r="X335" s="638"/>
      <c r="Y335" s="631"/>
      <c r="Z335" s="142"/>
      <c r="AA335" s="379">
        <f t="shared" si="245"/>
        <v>785</v>
      </c>
      <c r="AB335" s="621"/>
      <c r="AC335" s="100">
        <f t="shared" si="246"/>
        <v>5.6086956521739131</v>
      </c>
      <c r="AD335" s="192">
        <f t="shared" si="247"/>
        <v>1.354752</v>
      </c>
      <c r="AE335" s="21">
        <v>18.904</v>
      </c>
      <c r="AF335" s="200">
        <f>(AE335*1000000-V335*36*512)/(4*L335)</f>
        <v>77.990941259731073</v>
      </c>
      <c r="AG335" s="604" t="s">
        <v>1562</v>
      </c>
    </row>
    <row r="336" spans="1:33" x14ac:dyDescent="0.2">
      <c r="A336" s="657"/>
      <c r="B336" s="1196" t="s">
        <v>362</v>
      </c>
      <c r="C336" s="671"/>
      <c r="D336" s="672"/>
      <c r="E336" s="1863" t="s">
        <v>364</v>
      </c>
      <c r="F336" s="1862" t="s">
        <v>1016</v>
      </c>
      <c r="G336" s="617" t="s">
        <v>22</v>
      </c>
      <c r="H336" s="1864" t="s">
        <v>532</v>
      </c>
      <c r="I336" s="655"/>
      <c r="J336" s="647"/>
      <c r="K336" s="618"/>
      <c r="L336" s="670" t="s">
        <v>365</v>
      </c>
      <c r="M336" s="1865"/>
      <c r="N336" s="634">
        <v>58.028771487062386</v>
      </c>
      <c r="O336" s="627"/>
      <c r="P336" s="627" t="s">
        <v>502</v>
      </c>
      <c r="Q336" s="627" t="s">
        <v>469</v>
      </c>
      <c r="R336" s="627"/>
      <c r="S336" s="627" t="s">
        <v>366</v>
      </c>
      <c r="T336" s="627"/>
      <c r="U336" s="627" t="s">
        <v>368</v>
      </c>
      <c r="V336" s="628" t="s">
        <v>182</v>
      </c>
      <c r="W336" s="627" t="s">
        <v>367</v>
      </c>
      <c r="X336" s="639"/>
      <c r="Y336" s="632"/>
      <c r="Z336" s="1866"/>
      <c r="AA336" s="678"/>
      <c r="AB336" s="634">
        <v>568</v>
      </c>
      <c r="AC336" s="1867">
        <v>11.855555555555554</v>
      </c>
      <c r="AD336" s="639" t="s">
        <v>650</v>
      </c>
      <c r="AE336" s="29"/>
      <c r="AF336" s="672"/>
      <c r="AG336" s="604"/>
    </row>
    <row r="337" spans="1:33" x14ac:dyDescent="0.2">
      <c r="A337" s="657" t="s">
        <v>929</v>
      </c>
      <c r="B337" s="680" t="s">
        <v>701</v>
      </c>
      <c r="C337" s="671"/>
      <c r="D337" s="672" t="s">
        <v>704</v>
      </c>
      <c r="E337" s="679" t="s">
        <v>950</v>
      </c>
      <c r="F337" s="619" t="s">
        <v>1280</v>
      </c>
      <c r="G337" s="617">
        <v>20</v>
      </c>
      <c r="H337" s="643">
        <v>17</v>
      </c>
      <c r="I337" s="655">
        <v>70</v>
      </c>
      <c r="J337" s="647"/>
      <c r="K337" s="618"/>
      <c r="L337" s="670">
        <v>1536</v>
      </c>
      <c r="M337" s="64">
        <f t="shared" si="237"/>
        <v>614.40000000000009</v>
      </c>
      <c r="N337" s="65">
        <f t="shared" si="238"/>
        <v>30.720000000000006</v>
      </c>
      <c r="O337" s="627"/>
      <c r="P337" s="673">
        <v>1</v>
      </c>
      <c r="Q337" s="627">
        <v>1</v>
      </c>
      <c r="R337" s="627">
        <v>1</v>
      </c>
      <c r="S337" s="627"/>
      <c r="T337" s="627">
        <v>102</v>
      </c>
      <c r="U337" s="627">
        <v>10</v>
      </c>
      <c r="V337" s="628">
        <v>8</v>
      </c>
      <c r="W337" s="627" t="s">
        <v>954</v>
      </c>
      <c r="X337" s="639"/>
      <c r="Y337" s="632"/>
      <c r="Z337" s="141" t="str">
        <f t="shared" ref="Z337:Z343" si="249">IF(AND(L337&lt;&gt;"",Y337&lt;&gt;""),L337/Y337,"")</f>
        <v/>
      </c>
      <c r="AA337" s="678"/>
      <c r="AB337" s="634"/>
      <c r="AC337" s="99">
        <f t="shared" ref="AC337:AC349" si="250">T337/V337</f>
        <v>12.75</v>
      </c>
      <c r="AD337" s="191">
        <f t="shared" ref="AD337:AD343" si="251">256*18*V337/1000000</f>
        <v>3.6864000000000001E-2</v>
      </c>
      <c r="AE337" s="17"/>
      <c r="AF337" s="659"/>
      <c r="AG337" s="604" t="s">
        <v>1375</v>
      </c>
    </row>
    <row r="338" spans="1:33" x14ac:dyDescent="0.2">
      <c r="A338" s="656" t="s">
        <v>189</v>
      </c>
      <c r="B338" s="609" t="s">
        <v>701</v>
      </c>
      <c r="C338" s="661"/>
      <c r="D338" s="659"/>
      <c r="E338" s="640" t="s">
        <v>369</v>
      </c>
      <c r="F338" s="610" t="s">
        <v>780</v>
      </c>
      <c r="G338" s="611">
        <v>30</v>
      </c>
      <c r="H338" s="641">
        <v>8</v>
      </c>
      <c r="I338" s="652">
        <v>37</v>
      </c>
      <c r="J338" s="648"/>
      <c r="K338" s="612"/>
      <c r="L338" s="668">
        <v>2304</v>
      </c>
      <c r="M338" s="64">
        <f t="shared" si="237"/>
        <v>921.6</v>
      </c>
      <c r="N338" s="65">
        <f t="shared" si="238"/>
        <v>30.720000000000002</v>
      </c>
      <c r="O338" s="625">
        <v>76.8</v>
      </c>
      <c r="P338" s="625"/>
      <c r="Q338" s="625">
        <v>1</v>
      </c>
      <c r="R338" s="625"/>
      <c r="S338" s="625">
        <v>5</v>
      </c>
      <c r="T338" s="625">
        <v>93</v>
      </c>
      <c r="U338" s="625">
        <v>20</v>
      </c>
      <c r="V338" s="625">
        <v>8</v>
      </c>
      <c r="W338" s="625">
        <v>1</v>
      </c>
      <c r="X338" s="637"/>
      <c r="Y338" s="630">
        <v>5</v>
      </c>
      <c r="Z338" s="141">
        <f t="shared" si="249"/>
        <v>460.8</v>
      </c>
      <c r="AA338" s="675"/>
      <c r="AB338" s="620">
        <v>288</v>
      </c>
      <c r="AC338" s="99">
        <f t="shared" si="250"/>
        <v>11.625</v>
      </c>
      <c r="AD338" s="191">
        <f t="shared" si="251"/>
        <v>3.6864000000000001E-2</v>
      </c>
      <c r="AE338" s="17"/>
      <c r="AF338" s="659"/>
      <c r="AG338" s="604"/>
    </row>
    <row r="339" spans="1:33" x14ac:dyDescent="0.2">
      <c r="A339" s="657" t="s">
        <v>929</v>
      </c>
      <c r="B339" s="609" t="s">
        <v>701</v>
      </c>
      <c r="C339" s="661"/>
      <c r="D339" s="659" t="s">
        <v>704</v>
      </c>
      <c r="E339" s="640" t="s">
        <v>952</v>
      </c>
      <c r="F339" s="610" t="s">
        <v>1281</v>
      </c>
      <c r="G339" s="611">
        <v>30.42</v>
      </c>
      <c r="H339" s="641">
        <v>11</v>
      </c>
      <c r="I339" s="652">
        <v>117</v>
      </c>
      <c r="J339" s="648"/>
      <c r="K339" s="612"/>
      <c r="L339" s="668">
        <v>4608</v>
      </c>
      <c r="M339" s="64">
        <f t="shared" si="237"/>
        <v>1843.2</v>
      </c>
      <c r="N339" s="65">
        <f t="shared" si="238"/>
        <v>60.591715976331358</v>
      </c>
      <c r="O339" s="625"/>
      <c r="P339" s="674">
        <v>1</v>
      </c>
      <c r="Q339" s="625">
        <v>2</v>
      </c>
      <c r="R339" s="625"/>
      <c r="S339" s="625"/>
      <c r="T339" s="625">
        <v>161</v>
      </c>
      <c r="U339" s="625">
        <v>24</v>
      </c>
      <c r="V339" s="625">
        <v>8</v>
      </c>
      <c r="W339" s="625" t="s">
        <v>955</v>
      </c>
      <c r="X339" s="637"/>
      <c r="Y339" s="630"/>
      <c r="Z339" s="141" t="str">
        <f t="shared" si="249"/>
        <v/>
      </c>
      <c r="AA339" s="675"/>
      <c r="AB339" s="620"/>
      <c r="AC339" s="99">
        <f t="shared" si="250"/>
        <v>20.125</v>
      </c>
      <c r="AD339" s="191">
        <f t="shared" si="251"/>
        <v>3.6864000000000001E-2</v>
      </c>
      <c r="AE339" s="17"/>
      <c r="AF339" s="659"/>
      <c r="AG339" s="604" t="s">
        <v>1375</v>
      </c>
    </row>
    <row r="340" spans="1:33" x14ac:dyDescent="0.2">
      <c r="A340" s="656" t="s">
        <v>189</v>
      </c>
      <c r="B340" s="609" t="s">
        <v>701</v>
      </c>
      <c r="C340" s="661"/>
      <c r="D340" s="659"/>
      <c r="E340" s="640" t="s">
        <v>370</v>
      </c>
      <c r="F340" s="610" t="s">
        <v>781</v>
      </c>
      <c r="G340" s="611">
        <v>59.57</v>
      </c>
      <c r="H340" s="641">
        <v>10</v>
      </c>
      <c r="I340" s="652">
        <v>65</v>
      </c>
      <c r="J340" s="648"/>
      <c r="K340" s="612"/>
      <c r="L340" s="668">
        <v>6144</v>
      </c>
      <c r="M340" s="64">
        <f t="shared" si="237"/>
        <v>2457.6000000000004</v>
      </c>
      <c r="N340" s="65">
        <f t="shared" si="238"/>
        <v>41.2556656034917</v>
      </c>
      <c r="O340" s="625">
        <v>103.13916400872922</v>
      </c>
      <c r="P340" s="625">
        <v>1</v>
      </c>
      <c r="Q340" s="625">
        <v>1</v>
      </c>
      <c r="R340" s="625"/>
      <c r="S340" s="625">
        <v>6</v>
      </c>
      <c r="T340" s="625">
        <v>134</v>
      </c>
      <c r="U340" s="625">
        <v>24</v>
      </c>
      <c r="V340" s="625">
        <v>8</v>
      </c>
      <c r="W340" s="625">
        <v>1</v>
      </c>
      <c r="X340" s="637"/>
      <c r="Y340" s="630">
        <v>3.95</v>
      </c>
      <c r="Z340" s="141">
        <f t="shared" si="249"/>
        <v>1555.4430379746834</v>
      </c>
      <c r="AA340" s="675"/>
      <c r="AB340" s="620">
        <v>768</v>
      </c>
      <c r="AC340" s="99">
        <f t="shared" si="250"/>
        <v>16.75</v>
      </c>
      <c r="AD340" s="191">
        <f t="shared" si="251"/>
        <v>3.6864000000000001E-2</v>
      </c>
      <c r="AE340" s="17"/>
      <c r="AF340" s="659"/>
      <c r="AG340" s="604"/>
    </row>
    <row r="341" spans="1:33" x14ac:dyDescent="0.2">
      <c r="A341" s="657" t="s">
        <v>929</v>
      </c>
      <c r="B341" s="609" t="s">
        <v>701</v>
      </c>
      <c r="C341" s="661"/>
      <c r="D341" s="659" t="s">
        <v>704</v>
      </c>
      <c r="E341" s="640" t="s">
        <v>953</v>
      </c>
      <c r="F341" s="610" t="s">
        <v>569</v>
      </c>
      <c r="G341" s="611">
        <v>47.4</v>
      </c>
      <c r="H341" s="641">
        <v>11</v>
      </c>
      <c r="I341" s="652">
        <v>117</v>
      </c>
      <c r="J341" s="648"/>
      <c r="K341" s="612"/>
      <c r="L341" s="668">
        <v>11520</v>
      </c>
      <c r="M341" s="64">
        <f t="shared" si="237"/>
        <v>4608</v>
      </c>
      <c r="N341" s="65">
        <f t="shared" si="238"/>
        <v>97.215189873417728</v>
      </c>
      <c r="O341" s="625"/>
      <c r="P341" s="674">
        <v>1</v>
      </c>
      <c r="Q341" s="625">
        <v>3</v>
      </c>
      <c r="R341" s="625"/>
      <c r="S341" s="625"/>
      <c r="T341" s="625">
        <v>204</v>
      </c>
      <c r="U341" s="625">
        <v>32</v>
      </c>
      <c r="V341" s="625">
        <v>24</v>
      </c>
      <c r="W341" s="625" t="s">
        <v>956</v>
      </c>
      <c r="X341" s="637"/>
      <c r="Y341" s="630"/>
      <c r="Z341" s="141" t="str">
        <f t="shared" si="249"/>
        <v/>
      </c>
      <c r="AA341" s="675"/>
      <c r="AB341" s="620"/>
      <c r="AC341" s="99">
        <f t="shared" si="250"/>
        <v>8.5</v>
      </c>
      <c r="AD341" s="191">
        <f t="shared" si="251"/>
        <v>0.110592</v>
      </c>
      <c r="AE341" s="17"/>
      <c r="AF341" s="659"/>
      <c r="AG341" s="604" t="s">
        <v>1375</v>
      </c>
    </row>
    <row r="342" spans="1:33" x14ac:dyDescent="0.2">
      <c r="A342" s="656" t="s">
        <v>189</v>
      </c>
      <c r="B342" s="609" t="s">
        <v>701</v>
      </c>
      <c r="C342" s="661"/>
      <c r="D342" s="663" t="s">
        <v>704</v>
      </c>
      <c r="E342" s="640" t="s">
        <v>371</v>
      </c>
      <c r="F342" s="610" t="s">
        <v>568</v>
      </c>
      <c r="G342" s="611">
        <v>90</v>
      </c>
      <c r="H342" s="641">
        <v>17</v>
      </c>
      <c r="I342" s="652">
        <v>119</v>
      </c>
      <c r="J342" s="648"/>
      <c r="K342" s="612"/>
      <c r="L342" s="668">
        <v>13824</v>
      </c>
      <c r="M342" s="64">
        <f t="shared" si="237"/>
        <v>5529.6</v>
      </c>
      <c r="N342" s="65">
        <f t="shared" si="238"/>
        <v>61.440000000000005</v>
      </c>
      <c r="O342" s="625">
        <v>153.6</v>
      </c>
      <c r="P342" s="645" t="s">
        <v>363</v>
      </c>
      <c r="Q342" s="625">
        <v>1</v>
      </c>
      <c r="R342" s="625"/>
      <c r="S342" s="625">
        <v>10</v>
      </c>
      <c r="T342" s="625">
        <v>212</v>
      </c>
      <c r="U342" s="625">
        <v>40</v>
      </c>
      <c r="V342" s="625">
        <v>24</v>
      </c>
      <c r="W342" s="625">
        <v>2</v>
      </c>
      <c r="X342" s="637"/>
      <c r="Y342" s="630"/>
      <c r="Z342" s="141" t="str">
        <f t="shared" si="249"/>
        <v/>
      </c>
      <c r="AA342" s="675"/>
      <c r="AB342" s="620">
        <v>576</v>
      </c>
      <c r="AC342" s="99">
        <f t="shared" si="250"/>
        <v>8.8333333333333339</v>
      </c>
      <c r="AD342" s="191">
        <f t="shared" si="251"/>
        <v>0.110592</v>
      </c>
      <c r="AE342" s="17"/>
      <c r="AF342" s="659"/>
      <c r="AG342" s="604"/>
    </row>
    <row r="343" spans="1:33" ht="13.5" thickBot="1" x14ac:dyDescent="0.25">
      <c r="A343" s="656" t="s">
        <v>189</v>
      </c>
      <c r="B343" s="613" t="s">
        <v>701</v>
      </c>
      <c r="C343" s="739"/>
      <c r="D343" s="740" t="s">
        <v>704</v>
      </c>
      <c r="E343" s="707" t="s">
        <v>372</v>
      </c>
      <c r="F343" s="708" t="s">
        <v>568</v>
      </c>
      <c r="G343" s="709">
        <v>269.70999999999998</v>
      </c>
      <c r="H343" s="710">
        <v>17</v>
      </c>
      <c r="I343" s="711">
        <v>119</v>
      </c>
      <c r="J343" s="712"/>
      <c r="K343" s="713"/>
      <c r="L343" s="714">
        <v>38400</v>
      </c>
      <c r="M343" s="72">
        <f t="shared" si="237"/>
        <v>15360</v>
      </c>
      <c r="N343" s="73">
        <f t="shared" si="238"/>
        <v>56.950057469133519</v>
      </c>
      <c r="O343" s="715">
        <v>142.37514367283379</v>
      </c>
      <c r="P343" s="715" t="s">
        <v>363</v>
      </c>
      <c r="Q343" s="715">
        <v>1</v>
      </c>
      <c r="R343" s="715"/>
      <c r="S343" s="715">
        <v>10</v>
      </c>
      <c r="T343" s="715">
        <v>318</v>
      </c>
      <c r="U343" s="715">
        <v>40</v>
      </c>
      <c r="V343" s="715">
        <v>60</v>
      </c>
      <c r="W343" s="715">
        <v>4</v>
      </c>
      <c r="X343" s="716"/>
      <c r="Y343" s="717"/>
      <c r="Z343" s="173" t="str">
        <f t="shared" si="249"/>
        <v/>
      </c>
      <c r="AA343" s="718"/>
      <c r="AB343" s="719">
        <v>640</v>
      </c>
      <c r="AC343" s="101">
        <f t="shared" si="250"/>
        <v>5.3</v>
      </c>
      <c r="AD343" s="478">
        <f t="shared" si="251"/>
        <v>0.27648</v>
      </c>
      <c r="AE343" s="21"/>
      <c r="AF343" s="1116"/>
      <c r="AG343" s="604"/>
    </row>
    <row r="344" spans="1:33" x14ac:dyDescent="0.2">
      <c r="A344" s="657"/>
      <c r="B344" s="666" t="s">
        <v>362</v>
      </c>
      <c r="C344" s="660"/>
      <c r="D344" s="658"/>
      <c r="E344" s="606" t="s">
        <v>1315</v>
      </c>
      <c r="F344" s="744" t="s">
        <v>1012</v>
      </c>
      <c r="G344" s="607" t="s">
        <v>22</v>
      </c>
      <c r="H344" s="644" t="s">
        <v>528</v>
      </c>
      <c r="I344" s="651"/>
      <c r="J344" s="646"/>
      <c r="K344" s="608"/>
      <c r="L344" s="667" t="s">
        <v>1316</v>
      </c>
      <c r="M344" s="622" t="s">
        <v>1316</v>
      </c>
      <c r="N344" s="633">
        <f>AVERAGE(N345:N349)</f>
        <v>601.32774841342473</v>
      </c>
      <c r="O344" s="623"/>
      <c r="P344" s="623" t="s">
        <v>1314</v>
      </c>
      <c r="Q344" s="623" t="s">
        <v>1740</v>
      </c>
      <c r="R344" s="623"/>
      <c r="S344" s="623" t="s">
        <v>1325</v>
      </c>
      <c r="T344" s="623"/>
      <c r="U344" s="623" t="s">
        <v>1323</v>
      </c>
      <c r="V344" s="624" t="s">
        <v>206</v>
      </c>
      <c r="W344" s="623" t="s">
        <v>1329</v>
      </c>
      <c r="X344" s="636"/>
      <c r="Y344" s="629"/>
      <c r="Z344" s="654"/>
      <c r="AA344" s="748">
        <f>AVERAGE(AA345:AA349)</f>
        <v>696.45401069518709</v>
      </c>
      <c r="AB344" s="633">
        <v>568</v>
      </c>
      <c r="AC344" s="635">
        <f>AVERAGE(AC345:AC349)</f>
        <v>10.336121017832097</v>
      </c>
      <c r="AD344" s="636" t="s">
        <v>650</v>
      </c>
      <c r="AE344" s="1238" t="s">
        <v>1755</v>
      </c>
      <c r="AF344" s="928">
        <f>AVERAGE(AF345:AF349)</f>
        <v>82.293553105504571</v>
      </c>
      <c r="AG344" s="604" t="s">
        <v>1332</v>
      </c>
    </row>
    <row r="345" spans="1:33" x14ac:dyDescent="0.2">
      <c r="A345" s="702" t="s">
        <v>740</v>
      </c>
      <c r="B345" s="17" t="s">
        <v>711</v>
      </c>
      <c r="C345" s="661"/>
      <c r="D345" s="663"/>
      <c r="E345" s="640" t="s">
        <v>1317</v>
      </c>
      <c r="F345" s="610" t="s">
        <v>1426</v>
      </c>
      <c r="G345" s="1174">
        <v>11.25</v>
      </c>
      <c r="H345" s="641">
        <v>14</v>
      </c>
      <c r="I345" s="652">
        <v>161</v>
      </c>
      <c r="J345" s="648"/>
      <c r="K345" s="612"/>
      <c r="L345" s="668">
        <v>6060</v>
      </c>
      <c r="M345" s="65">
        <f t="shared" ref="M345:M349" si="252">L345</f>
        <v>6060</v>
      </c>
      <c r="N345" s="65">
        <f t="shared" ref="N345:N349" si="253">IF(AND(G345&lt;&gt;"",M345&lt;&gt;""),M345/G345,"")</f>
        <v>538.66666666666663</v>
      </c>
      <c r="O345" s="625"/>
      <c r="P345" s="625">
        <v>1</v>
      </c>
      <c r="Q345" s="625">
        <v>11</v>
      </c>
      <c r="R345" s="625">
        <v>2</v>
      </c>
      <c r="S345" s="625">
        <v>0</v>
      </c>
      <c r="T345" s="625">
        <v>209</v>
      </c>
      <c r="U345" s="625">
        <v>11</v>
      </c>
      <c r="V345" s="625">
        <v>10</v>
      </c>
      <c r="W345" s="625">
        <v>128</v>
      </c>
      <c r="X345" s="637"/>
      <c r="Y345" s="630"/>
      <c r="Z345" s="141"/>
      <c r="AA345" s="378">
        <f t="shared" ref="AA345:AA349" si="254">M345/Q345</f>
        <v>550.90909090909088</v>
      </c>
      <c r="AB345" s="620"/>
      <c r="AC345" s="99">
        <f t="shared" si="250"/>
        <v>20.9</v>
      </c>
      <c r="AD345" s="191">
        <f t="shared" ref="AD345:AD349" si="255">(U345*64*18+V345*512*36)/1000000</f>
        <v>0.196992</v>
      </c>
      <c r="AE345" s="17">
        <v>2.3679999999999999</v>
      </c>
      <c r="AF345" s="198">
        <f t="shared" ref="AF345:AF349" si="256">(AE345*1000000-V345*36*512)/(4*L345)</f>
        <v>90.085808580858085</v>
      </c>
      <c r="AG345" s="604" t="s">
        <v>1326</v>
      </c>
    </row>
    <row r="346" spans="1:33" x14ac:dyDescent="0.2">
      <c r="A346" s="702" t="s">
        <v>740</v>
      </c>
      <c r="B346" s="17" t="s">
        <v>711</v>
      </c>
      <c r="C346" s="661"/>
      <c r="D346" s="663"/>
      <c r="E346" s="640" t="s">
        <v>1318</v>
      </c>
      <c r="F346" s="610" t="s">
        <v>1426</v>
      </c>
      <c r="G346" s="1174">
        <v>21.83</v>
      </c>
      <c r="H346" s="641">
        <v>14</v>
      </c>
      <c r="I346" s="652">
        <v>138</v>
      </c>
      <c r="J346" s="648"/>
      <c r="K346" s="612"/>
      <c r="L346" s="668">
        <v>12084</v>
      </c>
      <c r="M346" s="65">
        <f t="shared" si="252"/>
        <v>12084</v>
      </c>
      <c r="N346" s="65">
        <f t="shared" si="253"/>
        <v>553.55016032982144</v>
      </c>
      <c r="O346" s="625"/>
      <c r="P346" s="625">
        <v>1</v>
      </c>
      <c r="Q346" s="625">
        <v>22</v>
      </c>
      <c r="R346" s="625">
        <v>2</v>
      </c>
      <c r="S346" s="625">
        <v>16</v>
      </c>
      <c r="T346" s="625">
        <v>233</v>
      </c>
      <c r="U346" s="625">
        <v>22</v>
      </c>
      <c r="V346" s="625">
        <v>21</v>
      </c>
      <c r="W346" s="625">
        <v>256</v>
      </c>
      <c r="X346" s="637"/>
      <c r="Y346" s="630"/>
      <c r="Z346" s="141"/>
      <c r="AA346" s="378">
        <f t="shared" si="254"/>
        <v>549.27272727272725</v>
      </c>
      <c r="AB346" s="620"/>
      <c r="AC346" s="99">
        <f t="shared" si="250"/>
        <v>11.095238095238095</v>
      </c>
      <c r="AD346" s="191">
        <f t="shared" si="255"/>
        <v>0.412416</v>
      </c>
      <c r="AE346" s="17">
        <v>4.4480000000000004</v>
      </c>
      <c r="AF346" s="198">
        <f t="shared" si="256"/>
        <v>84.014564713670964</v>
      </c>
      <c r="AG346" s="604" t="s">
        <v>1328</v>
      </c>
    </row>
    <row r="347" spans="1:33" x14ac:dyDescent="0.2">
      <c r="A347" s="702" t="s">
        <v>929</v>
      </c>
      <c r="B347" s="17" t="s">
        <v>711</v>
      </c>
      <c r="C347" s="661"/>
      <c r="D347" s="663"/>
      <c r="E347" s="640" t="s">
        <v>1319</v>
      </c>
      <c r="F347" s="610" t="s">
        <v>1782</v>
      </c>
      <c r="G347" s="1174">
        <v>49.38</v>
      </c>
      <c r="H347" s="641">
        <v>11</v>
      </c>
      <c r="I347" s="652">
        <v>180</v>
      </c>
      <c r="J347" s="648"/>
      <c r="K347" s="612"/>
      <c r="L347" s="668">
        <v>27696</v>
      </c>
      <c r="M347" s="65">
        <f t="shared" si="252"/>
        <v>27696</v>
      </c>
      <c r="N347" s="65">
        <f t="shared" si="253"/>
        <v>560.87484811664638</v>
      </c>
      <c r="O347" s="625"/>
      <c r="P347" s="625">
        <v>1</v>
      </c>
      <c r="Q347" s="625">
        <v>34</v>
      </c>
      <c r="R347" s="625">
        <v>6</v>
      </c>
      <c r="S347" s="625">
        <v>16</v>
      </c>
      <c r="T347" s="625">
        <v>267</v>
      </c>
      <c r="U347" s="625">
        <v>34</v>
      </c>
      <c r="V347" s="625">
        <v>31</v>
      </c>
      <c r="W347" s="625">
        <v>256</v>
      </c>
      <c r="X347" s="637"/>
      <c r="Y347" s="630"/>
      <c r="Z347" s="141"/>
      <c r="AA347" s="378">
        <f t="shared" si="254"/>
        <v>814.58823529411768</v>
      </c>
      <c r="AB347" s="620"/>
      <c r="AC347" s="99">
        <f t="shared" si="250"/>
        <v>8.612903225806452</v>
      </c>
      <c r="AD347" s="191">
        <f t="shared" si="255"/>
        <v>0.61055999999999999</v>
      </c>
      <c r="AE347" s="17">
        <v>9.56</v>
      </c>
      <c r="AF347" s="198">
        <f t="shared" si="256"/>
        <v>81.13633737723859</v>
      </c>
      <c r="AG347" s="604" t="s">
        <v>1327</v>
      </c>
    </row>
    <row r="348" spans="1:33" x14ac:dyDescent="0.2">
      <c r="A348" s="702" t="s">
        <v>929</v>
      </c>
      <c r="B348" s="17" t="s">
        <v>711</v>
      </c>
      <c r="C348" s="661"/>
      <c r="D348" s="663"/>
      <c r="E348" s="747" t="s">
        <v>1320</v>
      </c>
      <c r="F348" s="610" t="s">
        <v>1782</v>
      </c>
      <c r="G348" s="611">
        <v>89.66</v>
      </c>
      <c r="H348" s="641">
        <v>11</v>
      </c>
      <c r="I348" s="652">
        <v>200</v>
      </c>
      <c r="J348" s="648"/>
      <c r="K348" s="612"/>
      <c r="L348" s="668">
        <v>56340</v>
      </c>
      <c r="M348" s="65">
        <f t="shared" si="252"/>
        <v>56340</v>
      </c>
      <c r="N348" s="65">
        <f t="shared" si="253"/>
        <v>628.37385679232659</v>
      </c>
      <c r="O348" s="625"/>
      <c r="P348" s="625">
        <v>1</v>
      </c>
      <c r="Q348" s="625">
        <v>72</v>
      </c>
      <c r="R348" s="625">
        <v>6</v>
      </c>
      <c r="S348" s="625">
        <v>32</v>
      </c>
      <c r="T348" s="625">
        <v>377</v>
      </c>
      <c r="U348" s="625">
        <v>72</v>
      </c>
      <c r="V348" s="625">
        <v>69</v>
      </c>
      <c r="W348" s="625">
        <v>256</v>
      </c>
      <c r="X348" s="637"/>
      <c r="Y348" s="630"/>
      <c r="Z348" s="141"/>
      <c r="AA348" s="378">
        <f t="shared" si="254"/>
        <v>782.5</v>
      </c>
      <c r="AB348" s="620"/>
      <c r="AC348" s="99">
        <f t="shared" si="250"/>
        <v>5.4637681159420293</v>
      </c>
      <c r="AD348" s="191">
        <f t="shared" si="255"/>
        <v>1.354752</v>
      </c>
      <c r="AE348" s="17">
        <v>18.904</v>
      </c>
      <c r="AF348" s="198">
        <f t="shared" si="256"/>
        <v>78.240113596024145</v>
      </c>
      <c r="AG348" s="604" t="s">
        <v>1331</v>
      </c>
    </row>
    <row r="349" spans="1:33" ht="13.5" thickBot="1" x14ac:dyDescent="0.25">
      <c r="A349" s="702" t="s">
        <v>740</v>
      </c>
      <c r="B349" s="33" t="s">
        <v>711</v>
      </c>
      <c r="C349" s="662"/>
      <c r="D349" s="664"/>
      <c r="E349" s="1868" t="s">
        <v>1752</v>
      </c>
      <c r="F349" s="614" t="s">
        <v>1754</v>
      </c>
      <c r="G349" s="615">
        <v>77.94</v>
      </c>
      <c r="H349" s="642">
        <v>11</v>
      </c>
      <c r="I349" s="653">
        <v>200</v>
      </c>
      <c r="J349" s="650"/>
      <c r="K349" s="616"/>
      <c r="L349" s="669">
        <v>56520</v>
      </c>
      <c r="M349" s="68">
        <f t="shared" si="252"/>
        <v>56520</v>
      </c>
      <c r="N349" s="67">
        <f t="shared" si="253"/>
        <v>725.17321016166284</v>
      </c>
      <c r="O349" s="626"/>
      <c r="P349" s="626"/>
      <c r="Q349" s="626">
        <v>72</v>
      </c>
      <c r="R349" s="626">
        <v>6</v>
      </c>
      <c r="S349" s="626">
        <v>4</v>
      </c>
      <c r="T349" s="626">
        <v>387</v>
      </c>
      <c r="U349" s="626">
        <v>72</v>
      </c>
      <c r="V349" s="626">
        <v>69</v>
      </c>
      <c r="W349" s="626">
        <v>256</v>
      </c>
      <c r="X349" s="638"/>
      <c r="Y349" s="631"/>
      <c r="Z349" s="142"/>
      <c r="AA349" s="379">
        <f t="shared" si="254"/>
        <v>785</v>
      </c>
      <c r="AB349" s="621"/>
      <c r="AC349" s="100">
        <f t="shared" si="250"/>
        <v>5.6086956521739131</v>
      </c>
      <c r="AD349" s="192">
        <f t="shared" si="255"/>
        <v>1.354752</v>
      </c>
      <c r="AE349" s="21">
        <v>18.904</v>
      </c>
      <c r="AF349" s="200">
        <f t="shared" si="256"/>
        <v>77.990941259731073</v>
      </c>
      <c r="AG349" s="604" t="s">
        <v>1518</v>
      </c>
    </row>
    <row r="350" spans="1:33" x14ac:dyDescent="0.2">
      <c r="A350" s="702"/>
      <c r="B350" s="706" t="s">
        <v>1290</v>
      </c>
      <c r="C350" s="704"/>
      <c r="D350" s="705"/>
      <c r="E350" s="741" t="s">
        <v>1291</v>
      </c>
      <c r="F350" s="742"/>
      <c r="G350" s="743"/>
      <c r="H350" s="1099"/>
      <c r="I350" s="1100"/>
      <c r="J350" s="647"/>
      <c r="K350" s="1869"/>
      <c r="L350" s="670" t="s">
        <v>1296</v>
      </c>
      <c r="M350" s="1102" t="s">
        <v>696</v>
      </c>
      <c r="N350" s="70"/>
      <c r="O350" s="627"/>
      <c r="P350" s="627" t="s">
        <v>1293</v>
      </c>
      <c r="Q350" s="627"/>
      <c r="R350" s="627"/>
      <c r="S350" s="627"/>
      <c r="T350" s="627"/>
      <c r="U350" s="627"/>
      <c r="V350" s="627"/>
      <c r="W350" s="628" t="s">
        <v>1306</v>
      </c>
      <c r="X350" s="1870" t="s">
        <v>1307</v>
      </c>
      <c r="Y350" s="1104"/>
      <c r="Z350" s="172"/>
      <c r="AA350" s="678"/>
      <c r="AB350" s="1106"/>
      <c r="AC350" s="102"/>
      <c r="AD350" s="194"/>
      <c r="AE350" s="604" t="s">
        <v>1302</v>
      </c>
      <c r="AF350" s="604"/>
      <c r="AG350" s="665"/>
    </row>
    <row r="351" spans="1:33" x14ac:dyDescent="0.2">
      <c r="A351" s="702" t="s">
        <v>929</v>
      </c>
      <c r="B351" s="703" t="s">
        <v>701</v>
      </c>
      <c r="C351" s="704"/>
      <c r="D351" s="705"/>
      <c r="E351" s="640" t="s">
        <v>1298</v>
      </c>
      <c r="F351" s="610" t="s">
        <v>1305</v>
      </c>
      <c r="G351" s="611">
        <v>6.14</v>
      </c>
      <c r="H351" s="124">
        <v>7</v>
      </c>
      <c r="I351" s="652">
        <v>25</v>
      </c>
      <c r="J351" s="648"/>
      <c r="K351" s="612"/>
      <c r="L351" s="668">
        <v>96</v>
      </c>
      <c r="M351" s="64">
        <v>192</v>
      </c>
      <c r="N351" s="65">
        <f>IF(AND(G351&lt;&gt;"",M351&lt;&gt;""),M351/G351,"")</f>
        <v>31.270358306188928</v>
      </c>
      <c r="O351" s="625"/>
      <c r="P351" s="625">
        <v>1</v>
      </c>
      <c r="Q351" s="625"/>
      <c r="R351" s="625" t="s">
        <v>697</v>
      </c>
      <c r="S351" s="625"/>
      <c r="T351" s="625">
        <v>62</v>
      </c>
      <c r="U351" s="625"/>
      <c r="V351" s="625"/>
      <c r="W351" s="728" t="s">
        <v>1300</v>
      </c>
      <c r="X351" s="729" t="s">
        <v>1301</v>
      </c>
      <c r="Y351" s="630"/>
      <c r="Z351" s="141"/>
      <c r="AA351" s="675"/>
      <c r="AB351" s="620"/>
      <c r="AC351" s="99"/>
      <c r="AD351" s="191"/>
      <c r="AE351" s="604"/>
      <c r="AF351" s="604"/>
      <c r="AG351" s="665"/>
    </row>
    <row r="352" spans="1:33" ht="13.5" thickBot="1" x14ac:dyDescent="0.25">
      <c r="A352" s="702" t="s">
        <v>929</v>
      </c>
      <c r="B352" s="703" t="s">
        <v>701</v>
      </c>
      <c r="C352" s="704"/>
      <c r="D352" s="705"/>
      <c r="E352" s="707" t="s">
        <v>1299</v>
      </c>
      <c r="F352" s="614" t="s">
        <v>1304</v>
      </c>
      <c r="G352" s="615">
        <v>21.01</v>
      </c>
      <c r="H352" s="125">
        <v>16</v>
      </c>
      <c r="I352" s="653">
        <v>72</v>
      </c>
      <c r="J352" s="650"/>
      <c r="K352" s="616"/>
      <c r="L352" s="669">
        <v>192</v>
      </c>
      <c r="M352" s="67">
        <v>384</v>
      </c>
      <c r="N352" s="65">
        <f>IF(AND(G352&lt;&gt;"",M352&lt;&gt;""),M352/G352,"")</f>
        <v>18.277010947168012</v>
      </c>
      <c r="O352" s="626"/>
      <c r="P352" s="626">
        <v>1</v>
      </c>
      <c r="Q352" s="626"/>
      <c r="R352" s="626" t="s">
        <v>697</v>
      </c>
      <c r="S352" s="626"/>
      <c r="T352" s="626">
        <v>62</v>
      </c>
      <c r="U352" s="626"/>
      <c r="V352" s="626"/>
      <c r="W352" s="730" t="s">
        <v>1301</v>
      </c>
      <c r="X352" s="731" t="s">
        <v>1295</v>
      </c>
      <c r="Y352" s="631"/>
      <c r="Z352" s="142"/>
      <c r="AA352" s="677"/>
      <c r="AB352" s="621"/>
      <c r="AC352" s="100"/>
      <c r="AD352" s="192"/>
      <c r="AE352" s="604" t="s">
        <v>1309</v>
      </c>
      <c r="AF352" s="604"/>
      <c r="AG352" s="665"/>
    </row>
    <row r="353" spans="1:33" ht="13.15" customHeight="1" x14ac:dyDescent="0.2">
      <c r="A353" s="702"/>
      <c r="B353" s="732" t="s">
        <v>1290</v>
      </c>
      <c r="C353" s="733"/>
      <c r="D353" s="734"/>
      <c r="E353" s="738" t="s">
        <v>1431</v>
      </c>
      <c r="F353" s="720"/>
      <c r="G353" s="721"/>
      <c r="H353" s="722"/>
      <c r="I353" s="723" t="s">
        <v>1479</v>
      </c>
      <c r="J353" s="646"/>
      <c r="K353" s="724"/>
      <c r="L353" s="667" t="s">
        <v>1296</v>
      </c>
      <c r="M353" s="489" t="s">
        <v>696</v>
      </c>
      <c r="N353" s="60"/>
      <c r="O353" s="623"/>
      <c r="P353" s="623" t="s">
        <v>1435</v>
      </c>
      <c r="Q353" s="623"/>
      <c r="R353" s="623"/>
      <c r="S353" s="623"/>
      <c r="T353" s="623"/>
      <c r="U353" s="623"/>
      <c r="V353" s="623"/>
      <c r="W353" s="624" t="s">
        <v>1306</v>
      </c>
      <c r="X353" s="725" t="s">
        <v>1307</v>
      </c>
      <c r="Y353" s="726"/>
      <c r="Z353" s="164"/>
      <c r="AA353" s="676"/>
      <c r="AB353" s="727"/>
      <c r="AC353" s="105"/>
      <c r="AD353" s="514"/>
      <c r="AE353" s="604" t="s">
        <v>1563</v>
      </c>
      <c r="AF353" s="604"/>
      <c r="AG353" s="665"/>
    </row>
    <row r="354" spans="1:33" ht="13.15" customHeight="1" x14ac:dyDescent="0.2">
      <c r="A354" s="702" t="s">
        <v>1290</v>
      </c>
      <c r="B354" s="703" t="s">
        <v>701</v>
      </c>
      <c r="C354" s="704"/>
      <c r="D354" s="705"/>
      <c r="E354" s="640" t="s">
        <v>1564</v>
      </c>
      <c r="F354" s="610" t="s">
        <v>1434</v>
      </c>
      <c r="G354" s="1548">
        <v>1</v>
      </c>
      <c r="H354" s="641">
        <v>8</v>
      </c>
      <c r="I354" s="652">
        <v>34</v>
      </c>
      <c r="J354" s="648"/>
      <c r="K354" s="612"/>
      <c r="L354" s="668"/>
      <c r="M354" s="64"/>
      <c r="N354" s="65" t="str">
        <f>IF(AND(G354&lt;&gt;"",M354&lt;&gt;""),M354/G354,"")</f>
        <v/>
      </c>
      <c r="O354" s="625"/>
      <c r="P354" s="625">
        <v>1</v>
      </c>
      <c r="Q354" s="625"/>
      <c r="R354" s="625" t="s">
        <v>697</v>
      </c>
      <c r="S354" s="625"/>
      <c r="T354" s="625">
        <v>36</v>
      </c>
      <c r="U354" s="625"/>
      <c r="V354" s="625"/>
      <c r="W354" s="728" t="s">
        <v>1300</v>
      </c>
      <c r="X354" s="729" t="s">
        <v>1301</v>
      </c>
      <c r="Y354" s="630"/>
      <c r="Z354" s="141"/>
      <c r="AA354" s="675"/>
      <c r="AB354" s="620"/>
      <c r="AC354" s="99"/>
      <c r="AD354" s="191"/>
      <c r="AE354" s="604" t="s">
        <v>1565</v>
      </c>
      <c r="AF354" s="604"/>
      <c r="AG354" s="665"/>
    </row>
    <row r="355" spans="1:33" ht="13.15" customHeight="1" x14ac:dyDescent="0.2">
      <c r="A355" s="702" t="s">
        <v>1290</v>
      </c>
      <c r="B355" s="703" t="s">
        <v>701</v>
      </c>
      <c r="C355" s="704"/>
      <c r="D355" s="705"/>
      <c r="E355" s="640" t="s">
        <v>1432</v>
      </c>
      <c r="F355" s="610" t="s">
        <v>1434</v>
      </c>
      <c r="G355" s="1548">
        <v>1.76</v>
      </c>
      <c r="H355" s="641">
        <v>8</v>
      </c>
      <c r="I355" s="652">
        <v>34</v>
      </c>
      <c r="J355" s="648"/>
      <c r="K355" s="612"/>
      <c r="L355" s="668"/>
      <c r="M355" s="64"/>
      <c r="N355" s="65" t="str">
        <f>IF(AND(G355&lt;&gt;"",M355&lt;&gt;""),M355/G355,"")</f>
        <v/>
      </c>
      <c r="O355" s="625"/>
      <c r="P355" s="625">
        <v>1</v>
      </c>
      <c r="Q355" s="625"/>
      <c r="R355" s="625" t="s">
        <v>697</v>
      </c>
      <c r="S355" s="625"/>
      <c r="T355" s="625">
        <v>51</v>
      </c>
      <c r="U355" s="625"/>
      <c r="V355" s="625"/>
      <c r="W355" s="728" t="s">
        <v>1297</v>
      </c>
      <c r="X355" s="729" t="s">
        <v>1294</v>
      </c>
      <c r="Y355" s="630"/>
      <c r="Z355" s="141"/>
      <c r="AA355" s="675"/>
      <c r="AB355" s="620"/>
      <c r="AC355" s="99"/>
      <c r="AD355" s="191"/>
      <c r="AE355" s="604" t="s">
        <v>1480</v>
      </c>
      <c r="AF355" s="604"/>
      <c r="AG355" s="665"/>
    </row>
    <row r="356" spans="1:33" ht="13.15" customHeight="1" x14ac:dyDescent="0.2">
      <c r="A356" s="702" t="s">
        <v>1290</v>
      </c>
      <c r="B356" s="703" t="s">
        <v>701</v>
      </c>
      <c r="C356" s="704"/>
      <c r="D356" s="705"/>
      <c r="E356" s="640" t="s">
        <v>1433</v>
      </c>
      <c r="F356" s="610" t="s">
        <v>1434</v>
      </c>
      <c r="G356" s="1548">
        <v>2.52</v>
      </c>
      <c r="H356" s="641">
        <v>8</v>
      </c>
      <c r="I356" s="652">
        <v>34</v>
      </c>
      <c r="J356" s="648"/>
      <c r="K356" s="612"/>
      <c r="L356" s="668">
        <v>64</v>
      </c>
      <c r="M356" s="64">
        <v>128</v>
      </c>
      <c r="N356" s="65">
        <f>IF(AND(G356&lt;&gt;"",M356&lt;&gt;""),M356/G356,"")</f>
        <v>50.793650793650791</v>
      </c>
      <c r="O356" s="625"/>
      <c r="P356" s="625">
        <v>1</v>
      </c>
      <c r="Q356" s="625"/>
      <c r="R356" s="625" t="s">
        <v>697</v>
      </c>
      <c r="S356" s="625"/>
      <c r="T356" s="625">
        <v>98</v>
      </c>
      <c r="U356" s="625"/>
      <c r="V356" s="625"/>
      <c r="W356" s="728" t="s">
        <v>1297</v>
      </c>
      <c r="X356" s="729" t="s">
        <v>1294</v>
      </c>
      <c r="Y356" s="630"/>
      <c r="Z356" s="141"/>
      <c r="AA356" s="675"/>
      <c r="AB356" s="620"/>
      <c r="AC356" s="99"/>
      <c r="AD356" s="191"/>
      <c r="AE356" s="604" t="s">
        <v>1470</v>
      </c>
      <c r="AF356" s="604"/>
      <c r="AG356" s="665"/>
    </row>
    <row r="357" spans="1:33" ht="13.15" customHeight="1" thickBot="1" x14ac:dyDescent="0.25">
      <c r="A357" s="702" t="s">
        <v>929</v>
      </c>
      <c r="B357" s="703" t="s">
        <v>701</v>
      </c>
      <c r="C357" s="704"/>
      <c r="D357" s="705"/>
      <c r="E357" s="975" t="s">
        <v>1605</v>
      </c>
      <c r="F357" s="1158" t="s">
        <v>1607</v>
      </c>
      <c r="G357" s="1549">
        <v>4.62</v>
      </c>
      <c r="H357" s="1542">
        <v>3.6520000000000001</v>
      </c>
      <c r="I357" s="1159">
        <v>36</v>
      </c>
      <c r="J357" s="1160"/>
      <c r="K357" s="1161"/>
      <c r="L357" s="1162">
        <v>32</v>
      </c>
      <c r="M357" s="976">
        <v>64</v>
      </c>
      <c r="N357" s="71">
        <f>IF(AND(G357&lt;&gt;"",M357&lt;&gt;""),M357/G357,"")</f>
        <v>13.852813852813853</v>
      </c>
      <c r="O357" s="977"/>
      <c r="P357" s="977">
        <v>1</v>
      </c>
      <c r="Q357" s="977"/>
      <c r="R357" s="977" t="s">
        <v>697</v>
      </c>
      <c r="S357" s="977"/>
      <c r="T357" s="977">
        <v>36</v>
      </c>
      <c r="U357" s="977"/>
      <c r="V357" s="977"/>
      <c r="W357" s="628" t="s">
        <v>1297</v>
      </c>
      <c r="X357" s="639" t="s">
        <v>1294</v>
      </c>
      <c r="Y357" s="980"/>
      <c r="Z357" s="279"/>
      <c r="AA357" s="1163"/>
      <c r="AB357" s="1164"/>
      <c r="AC357" s="1165"/>
      <c r="AD357" s="981"/>
      <c r="AE357" s="604" t="s">
        <v>1606</v>
      </c>
      <c r="AF357" s="604"/>
      <c r="AG357" s="665"/>
    </row>
    <row r="358" spans="1:33" ht="13.15" customHeight="1" x14ac:dyDescent="0.2">
      <c r="A358" s="702"/>
      <c r="B358" s="732" t="s">
        <v>1290</v>
      </c>
      <c r="C358" s="733"/>
      <c r="D358" s="734"/>
      <c r="E358" s="738" t="s">
        <v>1478</v>
      </c>
      <c r="F358" s="720"/>
      <c r="G358" s="721"/>
      <c r="H358" s="722"/>
      <c r="I358" s="723" t="s">
        <v>1479</v>
      </c>
      <c r="J358" s="646"/>
      <c r="K358" s="724"/>
      <c r="L358" s="667" t="s">
        <v>1296</v>
      </c>
      <c r="M358" s="489" t="s">
        <v>696</v>
      </c>
      <c r="N358" s="60"/>
      <c r="O358" s="623"/>
      <c r="P358" s="623" t="s">
        <v>2134</v>
      </c>
      <c r="Q358" s="623"/>
      <c r="R358" s="623"/>
      <c r="S358" s="623"/>
      <c r="T358" s="623"/>
      <c r="U358" s="623"/>
      <c r="V358" s="623"/>
      <c r="W358" s="624" t="s">
        <v>1306</v>
      </c>
      <c r="X358" s="725" t="s">
        <v>1307</v>
      </c>
      <c r="Y358" s="726"/>
      <c r="Z358" s="164"/>
      <c r="AA358" s="676"/>
      <c r="AB358" s="727"/>
      <c r="AC358" s="105"/>
      <c r="AD358" s="514"/>
      <c r="AE358" s="604" t="s">
        <v>1566</v>
      </c>
      <c r="AF358" s="604"/>
      <c r="AG358" s="665"/>
    </row>
    <row r="359" spans="1:33" ht="13.15" customHeight="1" x14ac:dyDescent="0.2">
      <c r="A359" s="702" t="s">
        <v>94</v>
      </c>
      <c r="B359" s="703" t="s">
        <v>701</v>
      </c>
      <c r="C359" s="704"/>
      <c r="D359" s="705"/>
      <c r="E359" s="640" t="s">
        <v>1476</v>
      </c>
      <c r="F359" s="610" t="s">
        <v>1303</v>
      </c>
      <c r="G359" s="1548">
        <v>4.8600000000000003</v>
      </c>
      <c r="H359" s="641">
        <v>8</v>
      </c>
      <c r="I359" s="652">
        <v>36</v>
      </c>
      <c r="J359" s="648"/>
      <c r="K359" s="612"/>
      <c r="L359" s="668">
        <v>192</v>
      </c>
      <c r="M359" s="64">
        <v>384</v>
      </c>
      <c r="N359" s="65">
        <f>IF(AND(G359&lt;&gt;"",M359&lt;&gt;""),M359/G359,"")</f>
        <v>79.012345679012341</v>
      </c>
      <c r="O359" s="625"/>
      <c r="P359" s="625">
        <v>1</v>
      </c>
      <c r="Q359" s="625"/>
      <c r="R359" s="625" t="s">
        <v>697</v>
      </c>
      <c r="S359" s="625"/>
      <c r="T359" s="625">
        <v>62</v>
      </c>
      <c r="U359" s="625"/>
      <c r="V359" s="625"/>
      <c r="W359" s="728" t="s">
        <v>1295</v>
      </c>
      <c r="X359" s="729" t="s">
        <v>1294</v>
      </c>
      <c r="Y359" s="630"/>
      <c r="Z359" s="141"/>
      <c r="AA359" s="675"/>
      <c r="AB359" s="620"/>
      <c r="AC359" s="99"/>
      <c r="AD359" s="191"/>
      <c r="AE359" s="604" t="s">
        <v>1471</v>
      </c>
      <c r="AF359" s="604"/>
      <c r="AG359" s="665"/>
    </row>
    <row r="360" spans="1:33" ht="13.15" customHeight="1" x14ac:dyDescent="0.2">
      <c r="A360" s="702" t="s">
        <v>1290</v>
      </c>
      <c r="B360" s="703" t="s">
        <v>701</v>
      </c>
      <c r="C360" s="704"/>
      <c r="D360" s="705"/>
      <c r="E360" s="640" t="s">
        <v>1477</v>
      </c>
      <c r="F360" s="610" t="s">
        <v>1303</v>
      </c>
      <c r="G360" s="1548">
        <v>8.49</v>
      </c>
      <c r="H360" s="641">
        <v>8</v>
      </c>
      <c r="I360" s="652">
        <v>36</v>
      </c>
      <c r="J360" s="648"/>
      <c r="K360" s="612"/>
      <c r="L360" s="668">
        <v>192</v>
      </c>
      <c r="M360" s="64">
        <v>384</v>
      </c>
      <c r="N360" s="65">
        <f>IF(AND(G360&lt;&gt;"",M360&lt;&gt;""),M360/G360,"")</f>
        <v>45.229681978798588</v>
      </c>
      <c r="O360" s="625"/>
      <c r="P360" s="625">
        <v>1</v>
      </c>
      <c r="Q360" s="625"/>
      <c r="R360" s="625" t="s">
        <v>697</v>
      </c>
      <c r="S360" s="625"/>
      <c r="T360" s="625">
        <v>62</v>
      </c>
      <c r="U360" s="625"/>
      <c r="V360" s="625"/>
      <c r="W360" s="728" t="s">
        <v>1295</v>
      </c>
      <c r="X360" s="729" t="s">
        <v>1294</v>
      </c>
      <c r="Y360" s="630"/>
      <c r="Z360" s="141"/>
      <c r="AA360" s="675"/>
      <c r="AB360" s="620"/>
      <c r="AC360" s="99"/>
      <c r="AD360" s="191"/>
      <c r="AE360" s="604" t="s">
        <v>1470</v>
      </c>
      <c r="AF360" s="604"/>
      <c r="AG360" s="665"/>
    </row>
    <row r="361" spans="1:33" ht="13.15" customHeight="1" x14ac:dyDescent="0.2">
      <c r="A361" s="702" t="s">
        <v>1290</v>
      </c>
      <c r="B361" s="703" t="s">
        <v>701</v>
      </c>
      <c r="C361" s="704"/>
      <c r="D361" s="705"/>
      <c r="E361" s="707" t="s">
        <v>1741</v>
      </c>
      <c r="F361" s="610" t="s">
        <v>1303</v>
      </c>
      <c r="G361" s="709">
        <v>10.98</v>
      </c>
      <c r="H361" s="710">
        <v>16</v>
      </c>
      <c r="I361" s="711">
        <v>72</v>
      </c>
      <c r="J361" s="712"/>
      <c r="K361" s="713"/>
      <c r="L361" s="714">
        <v>192</v>
      </c>
      <c r="M361" s="72">
        <v>384</v>
      </c>
      <c r="N361" s="73">
        <f>IF(AND(G361&lt;&gt;"",M361&lt;&gt;""),M361/G361,"")</f>
        <v>34.972677595628411</v>
      </c>
      <c r="O361" s="715"/>
      <c r="P361" s="715">
        <v>1</v>
      </c>
      <c r="Q361" s="715"/>
      <c r="R361" s="715" t="s">
        <v>697</v>
      </c>
      <c r="S361" s="715"/>
      <c r="T361" s="715">
        <v>62</v>
      </c>
      <c r="U361" s="715"/>
      <c r="V361" s="715"/>
      <c r="W361" s="1033" t="s">
        <v>1295</v>
      </c>
      <c r="X361" s="1034" t="s">
        <v>1294</v>
      </c>
      <c r="Y361" s="717"/>
      <c r="Z361" s="173"/>
      <c r="AA361" s="718"/>
      <c r="AB361" s="719"/>
      <c r="AC361" s="101"/>
      <c r="AD361" s="478"/>
      <c r="AE361" s="604" t="s">
        <v>1470</v>
      </c>
      <c r="AF361" s="604"/>
      <c r="AG361" s="665"/>
    </row>
    <row r="362" spans="1:33" ht="13.15" customHeight="1" thickBot="1" x14ac:dyDescent="0.25">
      <c r="A362" s="702" t="s">
        <v>1290</v>
      </c>
      <c r="B362" s="703" t="s">
        <v>701</v>
      </c>
      <c r="C362" s="704"/>
      <c r="D362" s="705"/>
      <c r="E362" s="649" t="s">
        <v>1666</v>
      </c>
      <c r="F362" s="614" t="s">
        <v>1303</v>
      </c>
      <c r="G362" s="615">
        <v>17.399999999999999</v>
      </c>
      <c r="H362" s="642">
        <v>16</v>
      </c>
      <c r="I362" s="653">
        <v>72</v>
      </c>
      <c r="J362" s="650"/>
      <c r="K362" s="616"/>
      <c r="L362" s="669">
        <v>192</v>
      </c>
      <c r="M362" s="67">
        <v>384</v>
      </c>
      <c r="N362" s="68">
        <f>IF(AND(G362&lt;&gt;"",M362&lt;&gt;""),M362/G362,"")</f>
        <v>22.068965517241381</v>
      </c>
      <c r="O362" s="626"/>
      <c r="P362" s="626">
        <v>1</v>
      </c>
      <c r="Q362" s="626"/>
      <c r="R362" s="626" t="s">
        <v>697</v>
      </c>
      <c r="S362" s="626"/>
      <c r="T362" s="626">
        <v>62</v>
      </c>
      <c r="U362" s="626"/>
      <c r="V362" s="626"/>
      <c r="W362" s="730" t="s">
        <v>1295</v>
      </c>
      <c r="X362" s="731" t="s">
        <v>1294</v>
      </c>
      <c r="Y362" s="631"/>
      <c r="Z362" s="142"/>
      <c r="AA362" s="677"/>
      <c r="AB362" s="621"/>
      <c r="AC362" s="100"/>
      <c r="AD362" s="192"/>
      <c r="AE362" s="604" t="s">
        <v>1670</v>
      </c>
      <c r="AF362" s="604"/>
      <c r="AG362" s="665"/>
    </row>
    <row r="363" spans="1:33" ht="13.15" customHeight="1" x14ac:dyDescent="0.2">
      <c r="A363" s="702"/>
      <c r="B363" s="732" t="s">
        <v>1290</v>
      </c>
      <c r="C363" s="733"/>
      <c r="D363" s="734"/>
      <c r="E363" s="738" t="s">
        <v>2011</v>
      </c>
      <c r="F363" s="720"/>
      <c r="G363" s="721"/>
      <c r="H363" s="722"/>
      <c r="I363" s="723" t="s">
        <v>2023</v>
      </c>
      <c r="J363" s="646"/>
      <c r="K363" s="724"/>
      <c r="L363" s="667" t="s">
        <v>1296</v>
      </c>
      <c r="M363" s="489" t="s">
        <v>696</v>
      </c>
      <c r="N363" s="60"/>
      <c r="O363" s="623"/>
      <c r="P363" s="623" t="s">
        <v>2363</v>
      </c>
      <c r="Q363" s="623"/>
      <c r="R363" s="623"/>
      <c r="S363" s="1698"/>
      <c r="T363" s="623"/>
      <c r="U363" s="623"/>
      <c r="V363" s="623"/>
      <c r="W363" s="624" t="s">
        <v>1306</v>
      </c>
      <c r="X363" s="725" t="s">
        <v>1307</v>
      </c>
      <c r="Y363" s="726"/>
      <c r="Z363" s="164"/>
      <c r="AA363" s="676"/>
      <c r="AB363" s="727"/>
      <c r="AC363" s="105"/>
      <c r="AD363" s="514"/>
      <c r="AE363" s="604" t="s">
        <v>2022</v>
      </c>
      <c r="AF363" s="604"/>
      <c r="AG363" s="665"/>
    </row>
    <row r="364" spans="1:33" ht="13.15" customHeight="1" x14ac:dyDescent="0.2">
      <c r="A364" s="702" t="s">
        <v>94</v>
      </c>
      <c r="B364" s="703" t="s">
        <v>701</v>
      </c>
      <c r="C364" s="704"/>
      <c r="D364" s="705"/>
      <c r="E364" s="640" t="s">
        <v>2015</v>
      </c>
      <c r="F364" s="610"/>
      <c r="G364" s="611"/>
      <c r="H364" s="641"/>
      <c r="I364" s="652"/>
      <c r="J364" s="648"/>
      <c r="K364" s="612"/>
      <c r="L364" s="668">
        <v>96</v>
      </c>
      <c r="M364" s="64">
        <v>192</v>
      </c>
      <c r="N364" s="65" t="str">
        <f>IF(AND(G364&lt;&gt;"",M364&lt;&gt;""),M364/G364,"")</f>
        <v/>
      </c>
      <c r="O364" s="625"/>
      <c r="P364" s="625">
        <v>1</v>
      </c>
      <c r="Q364" s="625"/>
      <c r="R364" s="625" t="s">
        <v>697</v>
      </c>
      <c r="S364" s="625"/>
      <c r="T364" s="625"/>
      <c r="U364" s="625"/>
      <c r="V364" s="625"/>
      <c r="W364" s="728" t="s">
        <v>2017</v>
      </c>
      <c r="X364" s="729" t="s">
        <v>1751</v>
      </c>
      <c r="Y364" s="630"/>
      <c r="Z364" s="141"/>
      <c r="AA364" s="675"/>
      <c r="AB364" s="620"/>
      <c r="AC364" s="99"/>
      <c r="AD364" s="191"/>
      <c r="AE364" s="604" t="s">
        <v>2016</v>
      </c>
      <c r="AF364" s="604"/>
      <c r="AG364" s="665"/>
    </row>
    <row r="365" spans="1:33" ht="13.15" customHeight="1" x14ac:dyDescent="0.2">
      <c r="A365" s="702" t="s">
        <v>1290</v>
      </c>
      <c r="B365" s="703" t="s">
        <v>701</v>
      </c>
      <c r="C365" s="704"/>
      <c r="D365" s="705"/>
      <c r="E365" s="640" t="s">
        <v>2012</v>
      </c>
      <c r="F365" s="610"/>
      <c r="G365" s="611"/>
      <c r="H365" s="1539">
        <v>3.7</v>
      </c>
      <c r="I365" s="652">
        <v>78</v>
      </c>
      <c r="J365" s="648"/>
      <c r="K365" s="612"/>
      <c r="L365" s="668">
        <v>96</v>
      </c>
      <c r="M365" s="64">
        <v>192</v>
      </c>
      <c r="N365" s="65" t="str">
        <f>IF(AND(G365&lt;&gt;"",M365&lt;&gt;""),M365/G365,"")</f>
        <v/>
      </c>
      <c r="O365" s="625"/>
      <c r="P365" s="625">
        <v>1</v>
      </c>
      <c r="Q365" s="625"/>
      <c r="R365" s="625" t="s">
        <v>697</v>
      </c>
      <c r="S365" s="625"/>
      <c r="T365" s="625">
        <v>104</v>
      </c>
      <c r="U365" s="625"/>
      <c r="V365" s="625"/>
      <c r="W365" s="728" t="s">
        <v>2018</v>
      </c>
      <c r="X365" s="729" t="s">
        <v>1750</v>
      </c>
      <c r="Y365" s="630"/>
      <c r="Z365" s="141"/>
      <c r="AA365" s="675"/>
      <c r="AB365" s="620"/>
      <c r="AC365" s="99"/>
      <c r="AD365" s="191"/>
      <c r="AE365" s="604" t="s">
        <v>2020</v>
      </c>
      <c r="AF365" s="604"/>
      <c r="AG365" s="665"/>
    </row>
    <row r="366" spans="1:33" ht="13.15" customHeight="1" x14ac:dyDescent="0.2">
      <c r="A366" s="702" t="s">
        <v>1290</v>
      </c>
      <c r="B366" s="703" t="s">
        <v>701</v>
      </c>
      <c r="C366" s="704"/>
      <c r="D366" s="705"/>
      <c r="E366" s="707" t="s">
        <v>2013</v>
      </c>
      <c r="F366" s="610"/>
      <c r="G366" s="709"/>
      <c r="H366" s="1540">
        <v>5</v>
      </c>
      <c r="I366" s="711">
        <v>78</v>
      </c>
      <c r="J366" s="712"/>
      <c r="K366" s="713"/>
      <c r="L366" s="714">
        <v>96</v>
      </c>
      <c r="M366" s="72">
        <v>192</v>
      </c>
      <c r="N366" s="73" t="str">
        <f>IF(AND(G366&lt;&gt;"",M366&lt;&gt;""),M366/G366,"")</f>
        <v/>
      </c>
      <c r="O366" s="715"/>
      <c r="P366" s="715">
        <v>2</v>
      </c>
      <c r="Q366" s="715"/>
      <c r="R366" s="715" t="s">
        <v>697</v>
      </c>
      <c r="S366" s="715"/>
      <c r="T366" s="715">
        <v>104</v>
      </c>
      <c r="U366" s="715"/>
      <c r="V366" s="715"/>
      <c r="W366" s="1033" t="s">
        <v>2018</v>
      </c>
      <c r="X366" s="1034" t="s">
        <v>1750</v>
      </c>
      <c r="Y366" s="717"/>
      <c r="Z366" s="173"/>
      <c r="AA366" s="718"/>
      <c r="AB366" s="719"/>
      <c r="AC366" s="101"/>
      <c r="AD366" s="478"/>
      <c r="AE366" s="604" t="s">
        <v>2021</v>
      </c>
      <c r="AF366" s="604"/>
      <c r="AG366" s="665"/>
    </row>
    <row r="367" spans="1:33" ht="13.15" customHeight="1" thickBot="1" x14ac:dyDescent="0.25">
      <c r="A367" s="702" t="s">
        <v>1290</v>
      </c>
      <c r="B367" s="703" t="s">
        <v>701</v>
      </c>
      <c r="C367" s="704"/>
      <c r="D367" s="705"/>
      <c r="E367" s="649" t="s">
        <v>2014</v>
      </c>
      <c r="F367" s="614"/>
      <c r="G367" s="615"/>
      <c r="H367" s="1541">
        <v>5</v>
      </c>
      <c r="I367" s="653">
        <v>78</v>
      </c>
      <c r="J367" s="650"/>
      <c r="K367" s="616"/>
      <c r="L367" s="669">
        <v>96</v>
      </c>
      <c r="M367" s="67">
        <v>192</v>
      </c>
      <c r="N367" s="68" t="str">
        <f>IF(AND(G367&lt;&gt;"",M367&lt;&gt;""),M367/G367,"")</f>
        <v/>
      </c>
      <c r="O367" s="626"/>
      <c r="P367" s="626">
        <v>2</v>
      </c>
      <c r="Q367" s="626"/>
      <c r="R367" s="626" t="s">
        <v>697</v>
      </c>
      <c r="S367" s="626"/>
      <c r="T367" s="626">
        <v>78</v>
      </c>
      <c r="U367" s="626"/>
      <c r="V367" s="626"/>
      <c r="W367" s="730" t="s">
        <v>1751</v>
      </c>
      <c r="X367" s="731" t="s">
        <v>2019</v>
      </c>
      <c r="Y367" s="631"/>
      <c r="Z367" s="142"/>
      <c r="AA367" s="677"/>
      <c r="AB367" s="621"/>
      <c r="AC367" s="100"/>
      <c r="AD367" s="192"/>
      <c r="AE367" s="604" t="s">
        <v>2024</v>
      </c>
      <c r="AF367" s="604"/>
      <c r="AG367" s="665"/>
    </row>
    <row r="368" spans="1:33" x14ac:dyDescent="0.2">
      <c r="A368" s="183"/>
      <c r="B368" s="48" t="s">
        <v>374</v>
      </c>
      <c r="C368" s="226"/>
      <c r="D368" s="212"/>
      <c r="E368" s="12" t="s">
        <v>2366</v>
      </c>
      <c r="F368" s="13"/>
      <c r="G368" s="49"/>
      <c r="H368" s="14"/>
      <c r="I368" s="161" t="s">
        <v>524</v>
      </c>
      <c r="J368" s="136"/>
      <c r="K368" s="16"/>
      <c r="L368" s="244" t="s">
        <v>2368</v>
      </c>
      <c r="M368" s="60"/>
      <c r="N368" s="60"/>
      <c r="O368" s="61"/>
      <c r="P368" s="399" t="s">
        <v>2362</v>
      </c>
      <c r="Q368" s="61" t="s">
        <v>2367</v>
      </c>
      <c r="R368" s="61"/>
      <c r="S368" s="61" t="s">
        <v>2630</v>
      </c>
      <c r="T368" s="61"/>
      <c r="U368" s="61"/>
      <c r="V368" s="62" t="s">
        <v>1027</v>
      </c>
      <c r="W368" s="1550" t="s">
        <v>1306</v>
      </c>
      <c r="X368" s="109"/>
      <c r="Y368" s="80" t="s">
        <v>2401</v>
      </c>
      <c r="Z368" s="164"/>
      <c r="AA368" s="373"/>
      <c r="AB368" s="92">
        <f>AVERAGE(AB369:AB369)</f>
        <v>150</v>
      </c>
      <c r="AC368" s="98">
        <f>AVERAGE(AC369:AC369)</f>
        <v>4.5</v>
      </c>
      <c r="AD368" s="109"/>
      <c r="AG368" s="516" t="s">
        <v>2364</v>
      </c>
    </row>
    <row r="369" spans="1:33" ht="13.5" thickBot="1" x14ac:dyDescent="0.25">
      <c r="A369" s="182"/>
      <c r="B369" s="21"/>
      <c r="C369" s="228"/>
      <c r="D369" s="214"/>
      <c r="E369" s="33" t="s">
        <v>2482</v>
      </c>
      <c r="F369" s="133" t="s">
        <v>2361</v>
      </c>
      <c r="G369" s="1858">
        <v>5.63</v>
      </c>
      <c r="H369" s="1545">
        <v>2.5</v>
      </c>
      <c r="I369" s="163">
        <v>27</v>
      </c>
      <c r="J369" s="150"/>
      <c r="K369" s="24"/>
      <c r="L369" s="246">
        <v>1200</v>
      </c>
      <c r="M369" s="1859">
        <v>2.4</v>
      </c>
      <c r="N369" s="68">
        <f>IF(AND(G369&lt;&gt;"",M369&lt;&gt;""),1000*M369/G369,"")</f>
        <v>426.28774422735347</v>
      </c>
      <c r="O369" s="68"/>
      <c r="P369" s="68">
        <v>1</v>
      </c>
      <c r="Q369" s="68">
        <v>2</v>
      </c>
      <c r="R369" s="68"/>
      <c r="S369" s="68">
        <v>2</v>
      </c>
      <c r="T369" s="450">
        <v>36</v>
      </c>
      <c r="U369" s="68"/>
      <c r="V369" s="68">
        <v>8</v>
      </c>
      <c r="W369" s="68" t="s">
        <v>1751</v>
      </c>
      <c r="X369" s="111"/>
      <c r="Y369" s="82">
        <v>3.24</v>
      </c>
      <c r="Z369" s="142">
        <f>IF(AND(M369&lt;&gt;"",Y369&lt;&gt;""),1000*M369/Y369,"")</f>
        <v>740.74074074074065</v>
      </c>
      <c r="AA369" s="374"/>
      <c r="AB369" s="55">
        <f>L369/V369</f>
        <v>150</v>
      </c>
      <c r="AC369" s="100">
        <f>T369/V369</f>
        <v>4.5</v>
      </c>
      <c r="AD369" s="111">
        <f>512*18*V369</f>
        <v>73728</v>
      </c>
      <c r="AG369" s="516" t="s">
        <v>2356</v>
      </c>
    </row>
    <row r="370" spans="1:33" x14ac:dyDescent="0.2">
      <c r="AG370" s="236"/>
    </row>
  </sheetData>
  <pageMargins left="0.31" right="0.3" top="0.37" bottom="0.31" header="0.39" footer="0.32"/>
  <pageSetup scale="67" fitToHeight="6" orientation="landscape" r:id="rId1"/>
  <headerFooter alignWithMargins="0"/>
  <rowBreaks count="3" manualBreakCount="3">
    <brk id="67" min="1" max="32" man="1"/>
    <brk id="245" min="1" max="32" man="1"/>
    <brk id="280" min="1" max="3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3"/>
  <sheetViews>
    <sheetView topLeftCell="A3" zoomScaleNormal="100" workbookViewId="0">
      <pane ySplit="1" topLeftCell="A62" activePane="bottomLeft" state="frozenSplit"/>
      <selection activeCell="J1" sqref="J1"/>
      <selection pane="bottomLeft" activeCell="J68" sqref="J68"/>
    </sheetView>
  </sheetViews>
  <sheetFormatPr defaultRowHeight="12.75" x14ac:dyDescent="0.2"/>
  <cols>
    <col min="1" max="1" width="14.28515625" customWidth="1"/>
    <col min="2" max="2" width="3.42578125" customWidth="1"/>
    <col min="3" max="3" width="3.140625" customWidth="1"/>
    <col min="4" max="4" width="2.5703125" customWidth="1"/>
    <col min="5" max="5" width="12.85546875" customWidth="1"/>
    <col min="7" max="7" width="5.5703125" customWidth="1"/>
    <col min="8" max="8" width="4.42578125" customWidth="1"/>
    <col min="9" max="9" width="4.140625" customWidth="1"/>
    <col min="10" max="10" width="30.42578125" customWidth="1"/>
    <col min="11" max="11" width="5.28515625" customWidth="1"/>
    <col min="12" max="12" width="6.85546875" customWidth="1"/>
    <col min="13" max="13" width="6.42578125" customWidth="1"/>
    <col min="14" max="15" width="5.5703125" customWidth="1"/>
    <col min="16" max="16" width="3.7109375" customWidth="1"/>
    <col min="17" max="17" width="4.85546875" customWidth="1"/>
    <col min="18" max="18" width="4.140625" customWidth="1"/>
    <col min="19" max="19" width="4.5703125" customWidth="1"/>
    <col min="20" max="20" width="4.7109375" customWidth="1"/>
    <col min="21" max="21" width="5.28515625" customWidth="1"/>
    <col min="22" max="22" width="7.140625" customWidth="1"/>
    <col min="23" max="23" width="6.28515625" customWidth="1"/>
    <col min="24" max="24" width="6.7109375" customWidth="1"/>
    <col min="25" max="25" width="6.7109375" hidden="1" customWidth="1"/>
    <col min="26" max="26" width="5.42578125" hidden="1" customWidth="1"/>
    <col min="27" max="27" width="4.7109375" customWidth="1"/>
    <col min="28" max="28" width="4.85546875" customWidth="1"/>
    <col min="29" max="29" width="5.7109375" customWidth="1"/>
    <col min="30" max="30" width="8.28515625" customWidth="1"/>
    <col min="31" max="31" width="5.85546875" customWidth="1"/>
    <col min="32" max="32" width="6" customWidth="1"/>
    <col min="34" max="34" width="6.7109375" style="406" customWidth="1"/>
  </cols>
  <sheetData>
    <row r="1" spans="1:34" ht="20.25" x14ac:dyDescent="0.3">
      <c r="B1" s="405" t="s">
        <v>878</v>
      </c>
      <c r="J1" s="420" t="s">
        <v>879</v>
      </c>
    </row>
    <row r="2" spans="1:34" ht="7.5" customHeight="1" thickBot="1" x14ac:dyDescent="0.25"/>
    <row r="3" spans="1:34" s="10" customFormat="1" ht="57.75" customHeight="1" thickBot="1" x14ac:dyDescent="0.25">
      <c r="A3" s="51" t="s">
        <v>0</v>
      </c>
      <c r="B3" s="223" t="s">
        <v>699</v>
      </c>
      <c r="C3" s="224" t="s">
        <v>700</v>
      </c>
      <c r="D3" s="225" t="s">
        <v>698</v>
      </c>
      <c r="E3" s="7" t="s">
        <v>1</v>
      </c>
      <c r="F3" s="8" t="s">
        <v>2</v>
      </c>
      <c r="G3" s="9" t="s">
        <v>928</v>
      </c>
      <c r="H3" s="122" t="s">
        <v>527</v>
      </c>
      <c r="I3" s="122" t="s">
        <v>526</v>
      </c>
      <c r="J3" s="8" t="s">
        <v>875</v>
      </c>
      <c r="K3" s="9" t="s">
        <v>927</v>
      </c>
      <c r="L3" s="243" t="s">
        <v>5</v>
      </c>
      <c r="M3" s="59" t="s">
        <v>6</v>
      </c>
      <c r="N3" s="59" t="s">
        <v>824</v>
      </c>
      <c r="O3" s="59" t="s">
        <v>7</v>
      </c>
      <c r="P3" s="59" t="s">
        <v>8</v>
      </c>
      <c r="Q3" s="59" t="s">
        <v>9</v>
      </c>
      <c r="R3" s="59" t="s">
        <v>435</v>
      </c>
      <c r="S3" s="59" t="s">
        <v>10</v>
      </c>
      <c r="T3" s="59" t="s">
        <v>11</v>
      </c>
      <c r="U3" s="540" t="s">
        <v>1183</v>
      </c>
      <c r="V3" s="59" t="s">
        <v>13</v>
      </c>
      <c r="W3" s="540" t="s">
        <v>1184</v>
      </c>
      <c r="X3" s="59" t="s">
        <v>15</v>
      </c>
      <c r="Y3" s="79" t="s">
        <v>16</v>
      </c>
      <c r="Z3" s="90" t="s">
        <v>17</v>
      </c>
      <c r="AA3" s="369" t="s">
        <v>822</v>
      </c>
      <c r="AB3" s="91" t="s">
        <v>18</v>
      </c>
      <c r="AC3" s="97" t="s">
        <v>19</v>
      </c>
      <c r="AD3" s="108" t="s">
        <v>315</v>
      </c>
      <c r="AE3" s="7" t="s">
        <v>652</v>
      </c>
      <c r="AF3" s="8" t="s">
        <v>651</v>
      </c>
      <c r="AG3" s="11"/>
      <c r="AH3" s="541" t="s">
        <v>1206</v>
      </c>
    </row>
    <row r="4" spans="1:34" ht="6.75" customHeight="1" thickBot="1" x14ac:dyDescent="0.25"/>
    <row r="5" spans="1:34" x14ac:dyDescent="0.2">
      <c r="A5" s="213"/>
      <c r="B5" s="241" t="s">
        <v>362</v>
      </c>
      <c r="C5" s="226"/>
      <c r="D5" s="212"/>
      <c r="E5" s="12" t="s">
        <v>539</v>
      </c>
      <c r="F5" s="15"/>
      <c r="G5" s="14" t="s">
        <v>798</v>
      </c>
      <c r="H5" s="40" t="s">
        <v>530</v>
      </c>
      <c r="I5" s="408"/>
      <c r="J5" s="423"/>
      <c r="K5" s="412"/>
      <c r="L5" s="411" t="s">
        <v>365</v>
      </c>
      <c r="M5" s="60"/>
      <c r="N5" s="380"/>
      <c r="O5" s="382"/>
      <c r="P5" s="61" t="s">
        <v>502</v>
      </c>
      <c r="Q5" s="61"/>
      <c r="R5" s="61"/>
      <c r="S5" s="61"/>
      <c r="T5" s="61"/>
      <c r="U5" s="61"/>
      <c r="V5" s="62" t="s">
        <v>182</v>
      </c>
      <c r="W5" s="61" t="s">
        <v>797</v>
      </c>
      <c r="X5" s="109"/>
      <c r="Y5" s="80"/>
      <c r="Z5" s="164"/>
      <c r="AA5" s="373"/>
      <c r="AB5" s="92"/>
      <c r="AC5" s="98"/>
      <c r="AD5" s="109" t="s">
        <v>650</v>
      </c>
      <c r="AG5" s="236"/>
    </row>
    <row r="6" spans="1:34" ht="13.5" thickBot="1" x14ac:dyDescent="0.25">
      <c r="A6" s="213" t="s">
        <v>740</v>
      </c>
      <c r="B6" s="17" t="s">
        <v>711</v>
      </c>
      <c r="C6" s="227"/>
      <c r="D6" s="213"/>
      <c r="E6" s="118" t="s">
        <v>518</v>
      </c>
      <c r="F6" s="22" t="s">
        <v>784</v>
      </c>
      <c r="G6" s="19">
        <v>11.57</v>
      </c>
      <c r="H6" s="124">
        <v>5</v>
      </c>
      <c r="I6" s="409">
        <v>66</v>
      </c>
      <c r="J6" s="424" t="s">
        <v>885</v>
      </c>
      <c r="K6" s="413">
        <v>99</v>
      </c>
      <c r="L6" s="253">
        <v>3072</v>
      </c>
      <c r="M6" s="64">
        <f>0.4*L6</f>
        <v>1228.8000000000002</v>
      </c>
      <c r="N6" s="65">
        <f>IF(AND(G6&lt;&gt;"",M6&lt;&gt;""),M6/G6,"")</f>
        <v>106.20570440795161</v>
      </c>
      <c r="O6" s="65">
        <f>IF(AND(G6&lt;&gt;"",L6&lt;&gt;""),L6/G6,"")</f>
        <v>265.51426101987897</v>
      </c>
      <c r="P6" s="65"/>
      <c r="Q6" s="65"/>
      <c r="R6" s="65">
        <v>1</v>
      </c>
      <c r="S6" s="65"/>
      <c r="T6" s="65">
        <v>133</v>
      </c>
      <c r="U6" s="65"/>
      <c r="V6" s="65">
        <v>8</v>
      </c>
      <c r="W6" s="65">
        <v>1</v>
      </c>
      <c r="X6" s="110"/>
      <c r="Y6" s="81"/>
      <c r="Z6" s="141"/>
      <c r="AA6" s="371"/>
      <c r="AB6" s="54">
        <f>L6/V6</f>
        <v>384</v>
      </c>
      <c r="AC6" s="99">
        <f>T6/V6</f>
        <v>16.625</v>
      </c>
      <c r="AD6" s="191">
        <f>256*18*V6/1000000</f>
        <v>3.6864000000000001E-2</v>
      </c>
      <c r="AG6" s="236"/>
    </row>
    <row r="7" spans="1:34" x14ac:dyDescent="0.2">
      <c r="A7" s="213"/>
      <c r="B7" s="241" t="s">
        <v>362</v>
      </c>
      <c r="C7" s="226"/>
      <c r="D7" s="212"/>
      <c r="E7" s="12" t="s">
        <v>1443</v>
      </c>
      <c r="F7" s="15"/>
      <c r="G7" s="14" t="s">
        <v>798</v>
      </c>
      <c r="H7" s="40" t="s">
        <v>530</v>
      </c>
      <c r="I7" s="408"/>
      <c r="J7" s="423"/>
      <c r="K7" s="412"/>
      <c r="L7" s="667" t="s">
        <v>1316</v>
      </c>
      <c r="M7" s="622" t="s">
        <v>1316</v>
      </c>
      <c r="N7" s="633"/>
      <c r="O7" s="623"/>
      <c r="P7" s="623"/>
      <c r="Q7" s="623"/>
      <c r="R7" s="623"/>
      <c r="S7" s="623" t="s">
        <v>1325</v>
      </c>
      <c r="T7" s="623"/>
      <c r="U7" s="623" t="s">
        <v>1323</v>
      </c>
      <c r="V7" s="624" t="s">
        <v>206</v>
      </c>
      <c r="W7" s="623" t="s">
        <v>1329</v>
      </c>
      <c r="X7" s="636"/>
      <c r="Y7" s="629"/>
      <c r="Z7" s="654"/>
      <c r="AA7" s="748"/>
      <c r="AB7" s="932"/>
      <c r="AC7" s="1187"/>
      <c r="AD7" s="636" t="s">
        <v>650</v>
      </c>
      <c r="AE7" s="604" t="s">
        <v>1451</v>
      </c>
      <c r="AG7" s="236"/>
    </row>
    <row r="8" spans="1:34" x14ac:dyDescent="0.2">
      <c r="A8" s="213" t="s">
        <v>740</v>
      </c>
      <c r="B8" s="17" t="s">
        <v>711</v>
      </c>
      <c r="C8" s="227"/>
      <c r="D8" s="213"/>
      <c r="E8" s="118" t="s">
        <v>1445</v>
      </c>
      <c r="F8" s="610" t="s">
        <v>1321</v>
      </c>
      <c r="G8" s="611">
        <v>30</v>
      </c>
      <c r="H8" s="641">
        <v>17</v>
      </c>
      <c r="I8" s="652">
        <v>195</v>
      </c>
      <c r="J8" s="424" t="s">
        <v>1460</v>
      </c>
      <c r="K8" s="413">
        <v>99</v>
      </c>
      <c r="L8" s="668">
        <v>12084</v>
      </c>
      <c r="M8" s="65">
        <f>L8</f>
        <v>12084</v>
      </c>
      <c r="N8" s="65">
        <f>IF(AND(G8&lt;&gt;"",M8&lt;&gt;""),M8/G8,"")</f>
        <v>402.8</v>
      </c>
      <c r="O8" s="625"/>
      <c r="P8" s="625"/>
      <c r="Q8" s="625">
        <v>22</v>
      </c>
      <c r="R8" s="625">
        <v>4</v>
      </c>
      <c r="S8" s="625">
        <v>16</v>
      </c>
      <c r="T8" s="625">
        <v>233</v>
      </c>
      <c r="U8" s="625">
        <v>22</v>
      </c>
      <c r="V8" s="625">
        <v>21</v>
      </c>
      <c r="W8" s="625">
        <v>256</v>
      </c>
      <c r="X8" s="637"/>
      <c r="Y8" s="630"/>
      <c r="Z8" s="141"/>
      <c r="AA8" s="378">
        <f>M8/Q8</f>
        <v>549.27272727272725</v>
      </c>
      <c r="AB8" s="211">
        <f>L8/V8</f>
        <v>575.42857142857144</v>
      </c>
      <c r="AC8" s="99">
        <f>T8/V8</f>
        <v>11.095238095238095</v>
      </c>
      <c r="AD8" s="191">
        <f>(U8*64*18+V8*512*36)/1000000</f>
        <v>0.412416</v>
      </c>
      <c r="AG8" s="236"/>
    </row>
    <row r="9" spans="1:34" ht="13.5" thickBot="1" x14ac:dyDescent="0.25">
      <c r="A9" s="229" t="s">
        <v>94</v>
      </c>
      <c r="B9" s="21" t="s">
        <v>711</v>
      </c>
      <c r="C9" s="228"/>
      <c r="D9" s="214"/>
      <c r="E9" s="417" t="s">
        <v>1319</v>
      </c>
      <c r="F9" s="614"/>
      <c r="G9" s="615">
        <v>72</v>
      </c>
      <c r="H9" s="642">
        <v>11</v>
      </c>
      <c r="I9" s="653">
        <v>180</v>
      </c>
      <c r="J9" s="426" t="s">
        <v>1998</v>
      </c>
      <c r="K9" s="415">
        <v>99.95</v>
      </c>
      <c r="L9" s="669">
        <v>27696</v>
      </c>
      <c r="M9" s="68">
        <f>L9</f>
        <v>27696</v>
      </c>
      <c r="N9" s="68">
        <f>IF(AND(G9&lt;&gt;"",M9&lt;&gt;""),M9/G9,"")</f>
        <v>384.66666666666669</v>
      </c>
      <c r="O9" s="626"/>
      <c r="P9" s="626"/>
      <c r="Q9" s="626">
        <v>34</v>
      </c>
      <c r="R9" s="626">
        <v>6</v>
      </c>
      <c r="S9" s="626">
        <v>4</v>
      </c>
      <c r="T9" s="626">
        <v>267</v>
      </c>
      <c r="U9" s="626">
        <v>34</v>
      </c>
      <c r="V9" s="626">
        <v>31</v>
      </c>
      <c r="W9" s="626">
        <v>256</v>
      </c>
      <c r="X9" s="638"/>
      <c r="Y9" s="631"/>
      <c r="Z9" s="142"/>
      <c r="AA9" s="379">
        <f>M9/Q9</f>
        <v>814.58823529411768</v>
      </c>
      <c r="AB9" s="202">
        <f>L9/V9</f>
        <v>893.41935483870964</v>
      </c>
      <c r="AC9" s="100">
        <f>T9/V9</f>
        <v>8.612903225806452</v>
      </c>
      <c r="AD9" s="192">
        <f>(U9*64*18+V9*512*36)/1000000</f>
        <v>0.61055999999999999</v>
      </c>
      <c r="AE9" s="493" t="s">
        <v>1999</v>
      </c>
      <c r="AG9" s="236"/>
    </row>
    <row r="10" spans="1:34" x14ac:dyDescent="0.2">
      <c r="A10" s="213"/>
      <c r="B10" s="241" t="s">
        <v>362</v>
      </c>
      <c r="C10" s="226"/>
      <c r="D10" s="212"/>
      <c r="E10" s="12" t="s">
        <v>364</v>
      </c>
      <c r="F10" s="15"/>
      <c r="G10" s="14" t="s">
        <v>798</v>
      </c>
      <c r="H10" s="132" t="s">
        <v>532</v>
      </c>
      <c r="I10" s="408"/>
      <c r="J10" s="425"/>
      <c r="K10" s="414"/>
      <c r="L10" s="411" t="s">
        <v>365</v>
      </c>
      <c r="M10" s="60"/>
      <c r="N10" s="92"/>
      <c r="O10" s="381">
        <f>AVERAGE(O13:O30)</f>
        <v>38.44293795464683</v>
      </c>
      <c r="P10" s="61" t="s">
        <v>502</v>
      </c>
      <c r="Q10" s="61" t="s">
        <v>469</v>
      </c>
      <c r="R10" s="61"/>
      <c r="S10" s="61" t="s">
        <v>366</v>
      </c>
      <c r="T10" s="61"/>
      <c r="U10" s="61" t="s">
        <v>368</v>
      </c>
      <c r="V10" s="62" t="s">
        <v>182</v>
      </c>
      <c r="W10" s="61" t="s">
        <v>367</v>
      </c>
      <c r="X10" s="109"/>
      <c r="Y10" s="80"/>
      <c r="Z10" s="164"/>
      <c r="AA10" s="373"/>
      <c r="AB10" s="210"/>
      <c r="AC10" s="98"/>
      <c r="AD10" s="109" t="s">
        <v>650</v>
      </c>
      <c r="AE10" t="s">
        <v>368</v>
      </c>
      <c r="AG10" s="236"/>
    </row>
    <row r="11" spans="1:34" x14ac:dyDescent="0.2">
      <c r="A11" s="213" t="s">
        <v>740</v>
      </c>
      <c r="B11" s="432" t="s">
        <v>701</v>
      </c>
      <c r="C11" s="296"/>
      <c r="D11" s="300"/>
      <c r="E11" s="134" t="s">
        <v>952</v>
      </c>
      <c r="F11" s="18" t="s">
        <v>957</v>
      </c>
      <c r="G11" s="43">
        <v>48.79</v>
      </c>
      <c r="H11" s="285"/>
      <c r="I11" s="435"/>
      <c r="J11" s="436" t="s">
        <v>958</v>
      </c>
      <c r="K11" s="437">
        <v>99</v>
      </c>
      <c r="L11" s="438">
        <v>4608</v>
      </c>
      <c r="M11" s="70">
        <v>1843</v>
      </c>
      <c r="N11" s="95"/>
      <c r="O11" s="439"/>
      <c r="P11" s="71">
        <v>1</v>
      </c>
      <c r="Q11" s="71"/>
      <c r="R11" s="71">
        <v>2</v>
      </c>
      <c r="S11" s="71"/>
      <c r="T11" s="71">
        <v>94</v>
      </c>
      <c r="U11" s="71">
        <v>24</v>
      </c>
      <c r="V11" s="77">
        <v>8</v>
      </c>
      <c r="W11" s="71" t="s">
        <v>955</v>
      </c>
      <c r="X11" s="117"/>
      <c r="Y11" s="89"/>
      <c r="Z11" s="172"/>
      <c r="AA11" s="375"/>
      <c r="AB11" s="1188"/>
      <c r="AC11" s="107"/>
      <c r="AD11" s="117"/>
      <c r="AE11" t="s">
        <v>951</v>
      </c>
      <c r="AG11" s="236"/>
    </row>
    <row r="12" spans="1:34" x14ac:dyDescent="0.2">
      <c r="A12" s="213" t="s">
        <v>1282</v>
      </c>
      <c r="B12" s="432" t="s">
        <v>701</v>
      </c>
      <c r="C12" s="296"/>
      <c r="D12" s="300"/>
      <c r="E12" s="134" t="s">
        <v>952</v>
      </c>
      <c r="F12" s="18" t="s">
        <v>957</v>
      </c>
      <c r="G12" s="43">
        <v>48.79</v>
      </c>
      <c r="H12" s="285"/>
      <c r="I12" s="435"/>
      <c r="J12" s="436" t="s">
        <v>1284</v>
      </c>
      <c r="K12" s="437">
        <v>176</v>
      </c>
      <c r="L12" s="438">
        <v>4608</v>
      </c>
      <c r="M12" s="70">
        <v>1843</v>
      </c>
      <c r="N12" s="95"/>
      <c r="O12" s="439"/>
      <c r="P12" s="71">
        <v>1</v>
      </c>
      <c r="Q12" s="71"/>
      <c r="R12" s="71">
        <v>2</v>
      </c>
      <c r="S12" s="71"/>
      <c r="T12" s="71">
        <v>94</v>
      </c>
      <c r="U12" s="71">
        <v>24</v>
      </c>
      <c r="V12" s="77">
        <v>8</v>
      </c>
      <c r="W12" s="71" t="s">
        <v>955</v>
      </c>
      <c r="X12" s="117"/>
      <c r="Y12" s="89"/>
      <c r="Z12" s="172"/>
      <c r="AA12" s="375"/>
      <c r="AB12" s="1188"/>
      <c r="AC12" s="107"/>
      <c r="AD12" s="117"/>
      <c r="AE12" t="s">
        <v>1283</v>
      </c>
      <c r="AG12" s="236"/>
    </row>
    <row r="13" spans="1:34" ht="13.5" thickBot="1" x14ac:dyDescent="0.25">
      <c r="A13" s="213" t="s">
        <v>740</v>
      </c>
      <c r="B13" s="17" t="s">
        <v>701</v>
      </c>
      <c r="C13" s="227"/>
      <c r="D13" s="213"/>
      <c r="E13" s="146" t="s">
        <v>371</v>
      </c>
      <c r="F13" s="22" t="s">
        <v>568</v>
      </c>
      <c r="G13" s="23">
        <v>79.72</v>
      </c>
      <c r="H13" s="125">
        <v>17</v>
      </c>
      <c r="I13" s="409">
        <v>119</v>
      </c>
      <c r="J13" s="424" t="s">
        <v>886</v>
      </c>
      <c r="K13" s="413">
        <v>199</v>
      </c>
      <c r="L13" s="253">
        <v>13824</v>
      </c>
      <c r="M13" s="64">
        <f>0.4*L13</f>
        <v>5529.6</v>
      </c>
      <c r="N13" s="65">
        <f>IF(AND(G13&lt;&gt;"",M13&lt;&gt;""),M13/G13,"")</f>
        <v>69.362769693928755</v>
      </c>
      <c r="O13" s="65">
        <f>IF(AND(G13&lt;&gt;"",L13&lt;&gt;""),L13/G13,"")</f>
        <v>173.40692423482187</v>
      </c>
      <c r="P13" s="135" t="s">
        <v>363</v>
      </c>
      <c r="Q13" s="65">
        <v>1</v>
      </c>
      <c r="R13" s="65"/>
      <c r="S13" s="65">
        <v>10</v>
      </c>
      <c r="T13" s="65">
        <v>212</v>
      </c>
      <c r="U13" s="65"/>
      <c r="V13" s="65">
        <v>24</v>
      </c>
      <c r="W13" s="65">
        <v>2</v>
      </c>
      <c r="X13" s="110"/>
      <c r="Y13" s="81"/>
      <c r="Z13" s="141"/>
      <c r="AA13" s="371"/>
      <c r="AB13" s="211">
        <f>L13/V13</f>
        <v>576</v>
      </c>
      <c r="AC13" s="99">
        <f>T13/V13</f>
        <v>8.8333333333333339</v>
      </c>
      <c r="AD13" s="191">
        <f>256*18*V13/1000000</f>
        <v>0.110592</v>
      </c>
      <c r="AE13">
        <v>40</v>
      </c>
      <c r="AG13" s="236"/>
    </row>
    <row r="14" spans="1:34" x14ac:dyDescent="0.2">
      <c r="A14" s="657"/>
      <c r="B14" s="666" t="s">
        <v>362</v>
      </c>
      <c r="C14" s="660"/>
      <c r="D14" s="658"/>
      <c r="E14" s="606" t="s">
        <v>1315</v>
      </c>
      <c r="F14" s="744" t="s">
        <v>1012</v>
      </c>
      <c r="G14" s="607" t="s">
        <v>22</v>
      </c>
      <c r="H14" s="644" t="s">
        <v>528</v>
      </c>
      <c r="I14" s="651"/>
      <c r="J14" s="952"/>
      <c r="K14" s="1286"/>
      <c r="L14" s="1108" t="s">
        <v>1316</v>
      </c>
      <c r="M14" s="622" t="s">
        <v>1316</v>
      </c>
      <c r="N14" s="633"/>
      <c r="O14" s="623"/>
      <c r="P14" s="623" t="s">
        <v>1314</v>
      </c>
      <c r="Q14" s="623"/>
      <c r="R14" s="623"/>
      <c r="S14" s="623" t="s">
        <v>1325</v>
      </c>
      <c r="T14" s="623" t="s">
        <v>1324</v>
      </c>
      <c r="U14" s="623" t="s">
        <v>1323</v>
      </c>
      <c r="V14" s="624" t="s">
        <v>206</v>
      </c>
      <c r="W14" s="623" t="s">
        <v>1329</v>
      </c>
      <c r="X14" s="636"/>
      <c r="Y14" s="629"/>
      <c r="Z14" s="654"/>
      <c r="AA14" s="748"/>
      <c r="AB14" s="932"/>
      <c r="AC14" s="1187"/>
      <c r="AD14" s="636" t="s">
        <v>650</v>
      </c>
      <c r="AE14" s="604" t="s">
        <v>1332</v>
      </c>
      <c r="AF14" s="604"/>
      <c r="AG14" s="665"/>
      <c r="AH14"/>
    </row>
    <row r="15" spans="1:34" x14ac:dyDescent="0.2">
      <c r="A15" s="1016" t="s">
        <v>929</v>
      </c>
      <c r="B15" s="1196" t="s">
        <v>711</v>
      </c>
      <c r="C15" s="671"/>
      <c r="D15" s="672"/>
      <c r="E15" s="640" t="s">
        <v>1318</v>
      </c>
      <c r="F15" s="610" t="s">
        <v>1321</v>
      </c>
      <c r="G15" s="1174">
        <v>40</v>
      </c>
      <c r="H15" s="641">
        <v>14</v>
      </c>
      <c r="I15" s="652">
        <v>148</v>
      </c>
      <c r="J15" s="953" t="s">
        <v>1996</v>
      </c>
      <c r="K15" s="1028">
        <v>33.75</v>
      </c>
      <c r="L15" s="1020">
        <v>12084</v>
      </c>
      <c r="M15" s="65">
        <f>L15</f>
        <v>12084</v>
      </c>
      <c r="N15" s="65">
        <f>IF(AND(G15&lt;&gt;"",M15&lt;&gt;""),M15/G15,"")</f>
        <v>302.10000000000002</v>
      </c>
      <c r="O15" s="625"/>
      <c r="P15" s="625">
        <v>1</v>
      </c>
      <c r="Q15" s="625">
        <v>22</v>
      </c>
      <c r="R15" s="625">
        <v>2</v>
      </c>
      <c r="S15" s="625">
        <v>16</v>
      </c>
      <c r="T15" s="625">
        <v>233</v>
      </c>
      <c r="U15" s="625">
        <v>22</v>
      </c>
      <c r="V15" s="625">
        <v>21</v>
      </c>
      <c r="W15" s="625">
        <v>256</v>
      </c>
      <c r="X15" s="637"/>
      <c r="Y15" s="630"/>
      <c r="Z15" s="141"/>
      <c r="AA15" s="378">
        <f>M15/Q15</f>
        <v>549.27272727272725</v>
      </c>
      <c r="AB15" s="620"/>
      <c r="AC15" s="99">
        <f>T15/V15</f>
        <v>11.095238095238095</v>
      </c>
      <c r="AD15" s="191">
        <f>(U15*64*18+V15*512*36)/1000000</f>
        <v>0.412416</v>
      </c>
      <c r="AE15" s="604" t="s">
        <v>1997</v>
      </c>
      <c r="AF15" s="198"/>
      <c r="AG15" s="665"/>
      <c r="AH15"/>
    </row>
    <row r="16" spans="1:34" x14ac:dyDescent="0.2">
      <c r="A16" s="1016" t="s">
        <v>189</v>
      </c>
      <c r="B16" s="1196" t="s">
        <v>711</v>
      </c>
      <c r="C16" s="671"/>
      <c r="D16" s="672"/>
      <c r="E16" s="640" t="s">
        <v>1318</v>
      </c>
      <c r="F16" s="610" t="s">
        <v>1321</v>
      </c>
      <c r="G16" s="1174">
        <v>40</v>
      </c>
      <c r="H16" s="641">
        <v>14</v>
      </c>
      <c r="I16" s="652">
        <v>148</v>
      </c>
      <c r="J16" s="953" t="s">
        <v>1705</v>
      </c>
      <c r="K16" s="1028">
        <v>59.95</v>
      </c>
      <c r="L16" s="1020">
        <v>12084</v>
      </c>
      <c r="M16" s="65">
        <f>L16</f>
        <v>12084</v>
      </c>
      <c r="N16" s="65">
        <f>IF(AND(G16&lt;&gt;"",M16&lt;&gt;""),M16/G16,"")</f>
        <v>302.10000000000002</v>
      </c>
      <c r="O16" s="625"/>
      <c r="P16" s="625">
        <v>1</v>
      </c>
      <c r="Q16" s="625">
        <v>22</v>
      </c>
      <c r="R16" s="625">
        <v>2</v>
      </c>
      <c r="S16" s="625">
        <v>16</v>
      </c>
      <c r="T16" s="625">
        <v>233</v>
      </c>
      <c r="U16" s="625">
        <v>22</v>
      </c>
      <c r="V16" s="625">
        <v>21</v>
      </c>
      <c r="W16" s="625">
        <v>256</v>
      </c>
      <c r="X16" s="637"/>
      <c r="Y16" s="630"/>
      <c r="Z16" s="141"/>
      <c r="AA16" s="378">
        <f>M16/Q16</f>
        <v>549.27272727272725</v>
      </c>
      <c r="AB16" s="620"/>
      <c r="AC16" s="99">
        <f>T16/V16</f>
        <v>11.095238095238095</v>
      </c>
      <c r="AD16" s="191">
        <f>(U16*64*18+V16*512*36)/1000000</f>
        <v>0.412416</v>
      </c>
      <c r="AE16" s="604" t="s">
        <v>1331</v>
      </c>
      <c r="AF16" s="198"/>
      <c r="AG16" s="665"/>
      <c r="AH16"/>
    </row>
    <row r="17" spans="1:42" ht="13.5" thickBot="1" x14ac:dyDescent="0.25">
      <c r="A17" s="702" t="s">
        <v>1368</v>
      </c>
      <c r="B17" s="17" t="s">
        <v>711</v>
      </c>
      <c r="C17" s="661"/>
      <c r="D17" s="663"/>
      <c r="E17" s="747" t="s">
        <v>1320</v>
      </c>
      <c r="F17" s="610" t="s">
        <v>1342</v>
      </c>
      <c r="G17" s="611">
        <v>186.58</v>
      </c>
      <c r="H17" s="641">
        <v>17</v>
      </c>
      <c r="I17" s="652">
        <v>160</v>
      </c>
      <c r="J17" s="954" t="s">
        <v>1369</v>
      </c>
      <c r="K17" s="1027">
        <v>299</v>
      </c>
      <c r="L17" s="1020">
        <v>48672</v>
      </c>
      <c r="M17" s="65">
        <f>L17</f>
        <v>48672</v>
      </c>
      <c r="N17" s="65">
        <f>IF(AND(G17&lt;&gt;"",M17&lt;&gt;""),M17/G17,"")</f>
        <v>260.86397255868792</v>
      </c>
      <c r="O17" s="625"/>
      <c r="P17" s="625">
        <v>1</v>
      </c>
      <c r="Q17" s="625">
        <v>72</v>
      </c>
      <c r="R17" s="625">
        <v>6</v>
      </c>
      <c r="S17" s="625">
        <v>32</v>
      </c>
      <c r="T17" s="625">
        <v>409</v>
      </c>
      <c r="U17" s="625">
        <v>72</v>
      </c>
      <c r="V17" s="625">
        <v>69</v>
      </c>
      <c r="W17" s="625">
        <v>256</v>
      </c>
      <c r="X17" s="637"/>
      <c r="Y17" s="630"/>
      <c r="Z17" s="141"/>
      <c r="AA17" s="378">
        <f>M17/Q17</f>
        <v>676</v>
      </c>
      <c r="AB17" s="211">
        <f>L17/V17</f>
        <v>705.39130434782612</v>
      </c>
      <c r="AC17" s="99">
        <f>T17/V17</f>
        <v>5.9275362318840576</v>
      </c>
      <c r="AD17" s="191">
        <f>(U17*64*18+V17*512*36)/1000000</f>
        <v>1.354752</v>
      </c>
      <c r="AE17" s="604" t="s">
        <v>1331</v>
      </c>
      <c r="AF17" s="604"/>
      <c r="AG17" s="665"/>
      <c r="AH17"/>
    </row>
    <row r="18" spans="1:42" x14ac:dyDescent="0.2">
      <c r="A18" s="213"/>
      <c r="B18" s="48" t="s">
        <v>717</v>
      </c>
      <c r="C18" s="226"/>
      <c r="D18" s="212"/>
      <c r="E18" s="12" t="s">
        <v>64</v>
      </c>
      <c r="F18" s="13"/>
      <c r="G18" s="14" t="s">
        <v>22</v>
      </c>
      <c r="H18" s="132" t="s">
        <v>525</v>
      </c>
      <c r="I18" s="408"/>
      <c r="J18" s="425"/>
      <c r="K18" s="414"/>
      <c r="L18" s="411" t="s">
        <v>23</v>
      </c>
      <c r="M18" s="60"/>
      <c r="N18" s="385"/>
      <c r="O18" s="61"/>
      <c r="P18" s="61"/>
      <c r="Q18" s="61"/>
      <c r="R18" s="61"/>
      <c r="S18" s="61" t="s">
        <v>588</v>
      </c>
      <c r="T18" s="61"/>
      <c r="U18" s="61"/>
      <c r="V18" s="62"/>
      <c r="W18" s="61" t="s">
        <v>66</v>
      </c>
      <c r="X18" s="109" t="s">
        <v>25</v>
      </c>
      <c r="Y18" s="80" t="s">
        <v>65</v>
      </c>
      <c r="Z18" s="164"/>
      <c r="AA18" s="373"/>
      <c r="AB18" s="210"/>
      <c r="AC18" s="98"/>
      <c r="AD18" s="109" t="s">
        <v>66</v>
      </c>
      <c r="AG18" s="236"/>
    </row>
    <row r="19" spans="1:42" ht="13.5" thickBot="1" x14ac:dyDescent="0.25">
      <c r="A19" s="213" t="s">
        <v>891</v>
      </c>
      <c r="B19" s="33" t="s">
        <v>701</v>
      </c>
      <c r="C19" s="228"/>
      <c r="D19" s="213" t="s">
        <v>702</v>
      </c>
      <c r="E19" s="146" t="s">
        <v>72</v>
      </c>
      <c r="F19" s="22" t="s">
        <v>73</v>
      </c>
      <c r="G19" s="23">
        <v>40.700000000000003</v>
      </c>
      <c r="H19" s="125">
        <v>17</v>
      </c>
      <c r="I19" s="410">
        <v>204</v>
      </c>
      <c r="J19" s="426" t="s">
        <v>892</v>
      </c>
      <c r="K19" s="415">
        <v>69</v>
      </c>
      <c r="L19" s="387">
        <f>10*X19</f>
        <v>2210</v>
      </c>
      <c r="M19" s="152">
        <f>10*X19</f>
        <v>2210</v>
      </c>
      <c r="N19" s="65">
        <f>IF(AND(G19&lt;&gt;"",M19&lt;&gt;""),M19/G19,"")</f>
        <v>54.299754299754298</v>
      </c>
      <c r="O19" s="68">
        <f>IF(AND(G19&lt;&gt;"",L19&lt;&gt;""),L19/G19,"")</f>
        <v>54.299754299754298</v>
      </c>
      <c r="P19" s="68"/>
      <c r="Q19" s="68"/>
      <c r="R19" s="68"/>
      <c r="S19" s="68"/>
      <c r="T19" s="68">
        <v>272</v>
      </c>
      <c r="U19" s="68"/>
      <c r="V19" s="68"/>
      <c r="W19" s="68"/>
      <c r="X19" s="111">
        <v>221</v>
      </c>
      <c r="Y19" s="82">
        <v>7</v>
      </c>
      <c r="Z19" s="142">
        <f>IF(AND(L19&lt;&gt;"",Y19&lt;&gt;""),L19/Y19,"")</f>
        <v>315.71428571428572</v>
      </c>
      <c r="AA19" s="371"/>
      <c r="AB19" s="202"/>
      <c r="AC19" s="100"/>
      <c r="AD19" s="111">
        <v>8192</v>
      </c>
      <c r="AG19" s="236"/>
    </row>
    <row r="20" spans="1:42" x14ac:dyDescent="0.2">
      <c r="A20" s="182"/>
      <c r="B20" s="48" t="s">
        <v>717</v>
      </c>
      <c r="C20" s="226"/>
      <c r="D20" s="212"/>
      <c r="E20" s="12" t="s">
        <v>1592</v>
      </c>
      <c r="F20" s="466" t="s">
        <v>1584</v>
      </c>
      <c r="G20" s="14" t="s">
        <v>22</v>
      </c>
      <c r="H20" s="132" t="s">
        <v>528</v>
      </c>
      <c r="I20" s="408"/>
      <c r="J20" s="1289"/>
      <c r="K20" s="1290" t="s">
        <v>22</v>
      </c>
      <c r="L20" s="411" t="s">
        <v>23</v>
      </c>
      <c r="M20" s="60"/>
      <c r="N20" s="385"/>
      <c r="O20" s="61"/>
      <c r="P20" s="61"/>
      <c r="Q20" s="61" t="s">
        <v>92</v>
      </c>
      <c r="R20" s="61"/>
      <c r="S20" s="61" t="s">
        <v>1595</v>
      </c>
      <c r="T20" s="61"/>
      <c r="U20" s="61" t="s">
        <v>1593</v>
      </c>
      <c r="V20" s="62" t="s">
        <v>157</v>
      </c>
      <c r="W20" s="61" t="s">
        <v>1329</v>
      </c>
      <c r="X20" s="109" t="s">
        <v>25</v>
      </c>
      <c r="Y20" s="80" t="s">
        <v>65</v>
      </c>
      <c r="Z20" s="164"/>
      <c r="AA20" s="372"/>
      <c r="AB20" s="210"/>
      <c r="AC20" s="98"/>
      <c r="AD20" s="109" t="s">
        <v>650</v>
      </c>
      <c r="AE20" s="193"/>
      <c r="AF20" s="212"/>
      <c r="AG20" s="516" t="s">
        <v>1583</v>
      </c>
      <c r="AH20"/>
    </row>
    <row r="21" spans="1:42" x14ac:dyDescent="0.2">
      <c r="A21" s="182" t="s">
        <v>26</v>
      </c>
      <c r="B21" s="1145" t="s">
        <v>1594</v>
      </c>
      <c r="C21" s="1144" t="s">
        <v>697</v>
      </c>
      <c r="D21" s="470" t="s">
        <v>702</v>
      </c>
      <c r="E21" s="1003" t="s">
        <v>1587</v>
      </c>
      <c r="F21" s="304"/>
      <c r="G21" s="38">
        <v>11.16</v>
      </c>
      <c r="H21" s="129">
        <v>4</v>
      </c>
      <c r="I21" s="435">
        <v>56</v>
      </c>
      <c r="J21" s="487" t="s">
        <v>2007</v>
      </c>
      <c r="K21" s="1291">
        <v>29</v>
      </c>
      <c r="L21" s="1288">
        <f t="shared" ref="L21:L29" si="0">X21/100</f>
        <v>8</v>
      </c>
      <c r="M21" s="452">
        <f t="shared" ref="M21:M29" si="1">X21/100</f>
        <v>8</v>
      </c>
      <c r="N21" s="65">
        <f t="shared" ref="N21:N29" si="2">IF(AND(G21&lt;&gt;"",M21&lt;&gt;""),1000*M21/G21,"")</f>
        <v>716.84587813620067</v>
      </c>
      <c r="O21" s="71"/>
      <c r="P21" s="71"/>
      <c r="Q21" s="71">
        <v>24</v>
      </c>
      <c r="R21" s="1004">
        <v>2</v>
      </c>
      <c r="S21" s="71">
        <v>1</v>
      </c>
      <c r="T21" s="71">
        <v>250</v>
      </c>
      <c r="U21" s="71"/>
      <c r="V21" s="77">
        <v>42</v>
      </c>
      <c r="W21" s="71">
        <v>172</v>
      </c>
      <c r="X21" s="117">
        <v>800</v>
      </c>
      <c r="Y21" s="89"/>
      <c r="Z21" s="172"/>
      <c r="AA21" s="378">
        <f t="shared" ref="AA21:AA29" si="3">M21*1000/Q21</f>
        <v>333.33333333333331</v>
      </c>
      <c r="AB21" s="1188"/>
      <c r="AC21" s="99">
        <f t="shared" ref="AC21:AC29" si="4">T21/V21</f>
        <v>5.9523809523809526</v>
      </c>
      <c r="AD21" s="191">
        <f t="shared" ref="AD21:AD29" si="5">256*36*V21/1000000</f>
        <v>0.38707200000000003</v>
      </c>
      <c r="AE21" s="17"/>
      <c r="AF21" s="213"/>
      <c r="AG21" s="516" t="s">
        <v>2008</v>
      </c>
      <c r="AH21"/>
    </row>
    <row r="22" spans="1:42" x14ac:dyDescent="0.2">
      <c r="A22" s="182" t="s">
        <v>26</v>
      </c>
      <c r="B22" s="1145" t="s">
        <v>1594</v>
      </c>
      <c r="C22" s="1144" t="s">
        <v>697</v>
      </c>
      <c r="D22" s="470" t="s">
        <v>702</v>
      </c>
      <c r="E22" s="1003" t="s">
        <v>1587</v>
      </c>
      <c r="F22" s="304"/>
      <c r="G22" s="38">
        <v>11.16</v>
      </c>
      <c r="H22" s="129">
        <v>4</v>
      </c>
      <c r="I22" s="435">
        <v>56</v>
      </c>
      <c r="J22" s="487" t="s">
        <v>1597</v>
      </c>
      <c r="K22" s="1291">
        <v>30</v>
      </c>
      <c r="L22" s="1288">
        <f t="shared" si="0"/>
        <v>8</v>
      </c>
      <c r="M22" s="452">
        <f t="shared" si="1"/>
        <v>8</v>
      </c>
      <c r="N22" s="65">
        <f t="shared" si="2"/>
        <v>716.84587813620067</v>
      </c>
      <c r="O22" s="71"/>
      <c r="P22" s="71"/>
      <c r="Q22" s="71">
        <v>24</v>
      </c>
      <c r="R22" s="1004">
        <v>2</v>
      </c>
      <c r="S22" s="71">
        <v>1</v>
      </c>
      <c r="T22" s="71">
        <v>250</v>
      </c>
      <c r="U22" s="71"/>
      <c r="V22" s="77">
        <v>42</v>
      </c>
      <c r="W22" s="71">
        <v>172</v>
      </c>
      <c r="X22" s="117">
        <v>800</v>
      </c>
      <c r="Y22" s="89"/>
      <c r="Z22" s="172"/>
      <c r="AA22" s="378">
        <f t="shared" si="3"/>
        <v>333.33333333333331</v>
      </c>
      <c r="AB22" s="1188"/>
      <c r="AC22" s="99">
        <f t="shared" si="4"/>
        <v>5.9523809523809526</v>
      </c>
      <c r="AD22" s="191">
        <f t="shared" si="5"/>
        <v>0.38707200000000003</v>
      </c>
      <c r="AE22" s="17"/>
      <c r="AF22" s="213"/>
      <c r="AG22" s="516" t="s">
        <v>1728</v>
      </c>
      <c r="AH22"/>
    </row>
    <row r="23" spans="1:42" x14ac:dyDescent="0.2">
      <c r="A23" s="182" t="s">
        <v>26</v>
      </c>
      <c r="B23" s="1145" t="s">
        <v>1594</v>
      </c>
      <c r="C23" s="1144" t="s">
        <v>697</v>
      </c>
      <c r="D23" s="470" t="s">
        <v>702</v>
      </c>
      <c r="E23" s="1003" t="s">
        <v>1587</v>
      </c>
      <c r="F23" s="304"/>
      <c r="G23" s="38">
        <v>11.16</v>
      </c>
      <c r="H23" s="129">
        <v>4</v>
      </c>
      <c r="I23" s="435">
        <v>56</v>
      </c>
      <c r="J23" s="487" t="s">
        <v>1604</v>
      </c>
      <c r="K23" s="1291">
        <v>35</v>
      </c>
      <c r="L23" s="1288">
        <f t="shared" si="0"/>
        <v>8</v>
      </c>
      <c r="M23" s="452">
        <f t="shared" si="1"/>
        <v>8</v>
      </c>
      <c r="N23" s="65">
        <f t="shared" si="2"/>
        <v>716.84587813620067</v>
      </c>
      <c r="O23" s="71"/>
      <c r="P23" s="71"/>
      <c r="Q23" s="71">
        <v>24</v>
      </c>
      <c r="R23" s="1004">
        <v>2</v>
      </c>
      <c r="S23" s="71">
        <v>1</v>
      </c>
      <c r="T23" s="71">
        <v>250</v>
      </c>
      <c r="U23" s="71"/>
      <c r="V23" s="77">
        <v>42</v>
      </c>
      <c r="W23" s="71">
        <v>172</v>
      </c>
      <c r="X23" s="117">
        <v>800</v>
      </c>
      <c r="Y23" s="89"/>
      <c r="Z23" s="172"/>
      <c r="AA23" s="378">
        <f t="shared" si="3"/>
        <v>333.33333333333331</v>
      </c>
      <c r="AB23" s="95"/>
      <c r="AC23" s="99">
        <f t="shared" si="4"/>
        <v>5.9523809523809526</v>
      </c>
      <c r="AD23" s="191">
        <f t="shared" si="5"/>
        <v>0.38707200000000003</v>
      </c>
      <c r="AE23" s="17"/>
      <c r="AF23" s="213"/>
      <c r="AG23" s="236" t="s">
        <v>1675</v>
      </c>
      <c r="AH23"/>
    </row>
    <row r="24" spans="1:42" x14ac:dyDescent="0.2">
      <c r="A24" s="523" t="s">
        <v>2124</v>
      </c>
      <c r="B24" s="1145" t="s">
        <v>1594</v>
      </c>
      <c r="C24" s="1144" t="s">
        <v>697</v>
      </c>
      <c r="D24" s="213" t="s">
        <v>702</v>
      </c>
      <c r="E24" s="134" t="s">
        <v>1588</v>
      </c>
      <c r="F24" s="45"/>
      <c r="G24" s="19">
        <v>27.36</v>
      </c>
      <c r="H24" s="124">
        <v>11</v>
      </c>
      <c r="I24" s="148">
        <v>130</v>
      </c>
      <c r="J24" s="487" t="s">
        <v>2125</v>
      </c>
      <c r="K24" s="1291">
        <v>49</v>
      </c>
      <c r="L24" s="451">
        <f t="shared" si="0"/>
        <v>16</v>
      </c>
      <c r="M24" s="452">
        <f t="shared" si="1"/>
        <v>16</v>
      </c>
      <c r="N24" s="65">
        <f t="shared" si="2"/>
        <v>584.79532163742692</v>
      </c>
      <c r="O24" s="65">
        <f>IF(AND(G24&lt;&gt;"",L24&lt;&gt;""),L24/G24,"")</f>
        <v>0.58479532163742687</v>
      </c>
      <c r="P24" s="65"/>
      <c r="Q24" s="65">
        <v>45</v>
      </c>
      <c r="R24" s="1004">
        <v>4</v>
      </c>
      <c r="S24" s="65">
        <v>1</v>
      </c>
      <c r="T24" s="65">
        <v>320</v>
      </c>
      <c r="U24" s="65" t="s">
        <v>1184</v>
      </c>
      <c r="V24" s="65">
        <v>61</v>
      </c>
      <c r="W24" s="65">
        <v>296</v>
      </c>
      <c r="X24" s="110">
        <v>1600</v>
      </c>
      <c r="Y24" s="89"/>
      <c r="Z24" s="172"/>
      <c r="AA24" s="378">
        <f t="shared" si="3"/>
        <v>355.55555555555554</v>
      </c>
      <c r="AB24" s="95"/>
      <c r="AC24" s="99">
        <f t="shared" si="4"/>
        <v>5.2459016393442619</v>
      </c>
      <c r="AD24" s="191">
        <f t="shared" si="5"/>
        <v>0.56217600000000001</v>
      </c>
      <c r="AE24" s="17"/>
      <c r="AF24" s="213"/>
      <c r="AG24" s="516" t="s">
        <v>2126</v>
      </c>
      <c r="AH24"/>
    </row>
    <row r="25" spans="1:42" x14ac:dyDescent="0.2">
      <c r="A25" s="182" t="s">
        <v>26</v>
      </c>
      <c r="B25" s="1145" t="s">
        <v>1594</v>
      </c>
      <c r="C25" s="1144" t="s">
        <v>697</v>
      </c>
      <c r="D25" s="229" t="s">
        <v>702</v>
      </c>
      <c r="E25" s="910" t="s">
        <v>1587</v>
      </c>
      <c r="F25" s="45"/>
      <c r="G25" s="43">
        <v>11.16</v>
      </c>
      <c r="H25" s="128">
        <v>4</v>
      </c>
      <c r="I25" s="1613">
        <v>56</v>
      </c>
      <c r="J25" s="465" t="s">
        <v>1603</v>
      </c>
      <c r="K25" s="1041">
        <v>49.95</v>
      </c>
      <c r="L25" s="451">
        <f t="shared" si="0"/>
        <v>8</v>
      </c>
      <c r="M25" s="452">
        <f t="shared" si="1"/>
        <v>8</v>
      </c>
      <c r="N25" s="65">
        <f t="shared" si="2"/>
        <v>716.84587813620067</v>
      </c>
      <c r="O25" s="65"/>
      <c r="P25" s="65"/>
      <c r="Q25" s="65">
        <v>24</v>
      </c>
      <c r="R25" s="1004">
        <v>2</v>
      </c>
      <c r="S25" s="65">
        <v>1</v>
      </c>
      <c r="T25" s="65">
        <v>250</v>
      </c>
      <c r="U25" s="65"/>
      <c r="V25" s="75">
        <v>42</v>
      </c>
      <c r="W25" s="65">
        <v>172</v>
      </c>
      <c r="X25" s="115">
        <v>800</v>
      </c>
      <c r="Y25" s="89"/>
      <c r="Z25" s="172"/>
      <c r="AA25" s="378">
        <f t="shared" si="3"/>
        <v>333.33333333333331</v>
      </c>
      <c r="AB25" s="95"/>
      <c r="AC25" s="99">
        <f t="shared" si="4"/>
        <v>5.9523809523809526</v>
      </c>
      <c r="AD25" s="191">
        <f t="shared" si="5"/>
        <v>0.38707200000000003</v>
      </c>
      <c r="AE25" s="17"/>
      <c r="AF25" s="213"/>
      <c r="AG25" s="236"/>
      <c r="AH25"/>
    </row>
    <row r="26" spans="1:42" x14ac:dyDescent="0.2">
      <c r="A26" s="182" t="s">
        <v>2427</v>
      </c>
      <c r="B26" s="1145" t="s">
        <v>1594</v>
      </c>
      <c r="C26" s="1144" t="s">
        <v>697</v>
      </c>
      <c r="D26" s="470" t="s">
        <v>702</v>
      </c>
      <c r="E26" s="1003" t="s">
        <v>1587</v>
      </c>
      <c r="F26" s="304"/>
      <c r="G26" s="38">
        <v>11.16</v>
      </c>
      <c r="H26" s="129">
        <v>4</v>
      </c>
      <c r="I26" s="435">
        <v>56</v>
      </c>
      <c r="J26" s="487" t="s">
        <v>2427</v>
      </c>
      <c r="K26" s="1291">
        <v>60</v>
      </c>
      <c r="L26" s="1288">
        <f t="shared" si="0"/>
        <v>8</v>
      </c>
      <c r="M26" s="452">
        <f t="shared" si="1"/>
        <v>8</v>
      </c>
      <c r="N26" s="65">
        <f t="shared" si="2"/>
        <v>716.84587813620067</v>
      </c>
      <c r="O26" s="71"/>
      <c r="P26" s="71"/>
      <c r="Q26" s="71">
        <v>24</v>
      </c>
      <c r="R26" s="1004">
        <v>2</v>
      </c>
      <c r="S26" s="71">
        <v>1</v>
      </c>
      <c r="T26" s="71">
        <v>250</v>
      </c>
      <c r="U26" s="71"/>
      <c r="V26" s="77">
        <v>42</v>
      </c>
      <c r="W26" s="71">
        <v>172</v>
      </c>
      <c r="X26" s="117">
        <v>800</v>
      </c>
      <c r="Y26" s="89"/>
      <c r="Z26" s="172"/>
      <c r="AA26" s="378">
        <f t="shared" si="3"/>
        <v>333.33333333333331</v>
      </c>
      <c r="AB26" s="95"/>
      <c r="AC26" s="99">
        <f t="shared" si="4"/>
        <v>5.9523809523809526</v>
      </c>
      <c r="AD26" s="191">
        <f t="shared" si="5"/>
        <v>0.38707200000000003</v>
      </c>
      <c r="AE26" s="17"/>
      <c r="AF26" s="213"/>
      <c r="AG26" s="1612" t="s">
        <v>2428</v>
      </c>
      <c r="AH26"/>
    </row>
    <row r="27" spans="1:42" x14ac:dyDescent="0.2">
      <c r="A27" s="523" t="s">
        <v>26</v>
      </c>
      <c r="B27" s="1145" t="s">
        <v>1594</v>
      </c>
      <c r="C27" s="1144" t="s">
        <v>697</v>
      </c>
      <c r="D27" s="470" t="s">
        <v>702</v>
      </c>
      <c r="E27" s="1003" t="s">
        <v>1591</v>
      </c>
      <c r="F27" s="304"/>
      <c r="G27" s="31">
        <v>57.69</v>
      </c>
      <c r="H27" s="126">
        <v>17</v>
      </c>
      <c r="I27" s="1614">
        <v>178</v>
      </c>
      <c r="J27" s="487" t="s">
        <v>1983</v>
      </c>
      <c r="K27" s="1291">
        <v>65</v>
      </c>
      <c r="L27" s="1288">
        <f t="shared" si="0"/>
        <v>50</v>
      </c>
      <c r="M27" s="452">
        <f t="shared" si="1"/>
        <v>50</v>
      </c>
      <c r="N27" s="65">
        <f t="shared" si="2"/>
        <v>866.70133472005546</v>
      </c>
      <c r="O27" s="71">
        <f>IF(AND(G27&lt;&gt;"",L27&lt;&gt;""),L27/G27,"")</f>
        <v>0.86670133472005551</v>
      </c>
      <c r="P27" s="71"/>
      <c r="Q27" s="71">
        <v>144</v>
      </c>
      <c r="R27" s="1004">
        <v>4</v>
      </c>
      <c r="S27" s="71">
        <v>2</v>
      </c>
      <c r="T27" s="71">
        <v>500</v>
      </c>
      <c r="U27" s="71" t="s">
        <v>1184</v>
      </c>
      <c r="V27" s="71">
        <v>182</v>
      </c>
      <c r="W27" s="71">
        <v>736</v>
      </c>
      <c r="X27" s="114">
        <v>5000</v>
      </c>
      <c r="Y27" s="83"/>
      <c r="Z27" s="172" t="str">
        <f>IF(AND(L27&lt;&gt;"",Y27&lt;&gt;""),1000*L27/Y27,"")</f>
        <v/>
      </c>
      <c r="AA27" s="378">
        <f t="shared" si="3"/>
        <v>347.22222222222223</v>
      </c>
      <c r="AB27" s="56"/>
      <c r="AC27" s="99">
        <f t="shared" si="4"/>
        <v>2.7472527472527473</v>
      </c>
      <c r="AD27" s="191">
        <f t="shared" si="5"/>
        <v>1.6773119999999999</v>
      </c>
      <c r="AE27" s="41"/>
      <c r="AF27" s="229"/>
      <c r="AG27" s="516" t="s">
        <v>1984</v>
      </c>
      <c r="AH27" s="493"/>
      <c r="AI27" s="493"/>
      <c r="AJ27" s="493"/>
      <c r="AK27" s="493"/>
      <c r="AL27" s="493"/>
      <c r="AM27" s="493"/>
      <c r="AN27" s="493"/>
      <c r="AO27" s="493"/>
      <c r="AP27" s="493"/>
    </row>
    <row r="28" spans="1:42" x14ac:dyDescent="0.2">
      <c r="A28" s="523" t="s">
        <v>891</v>
      </c>
      <c r="B28" s="1145" t="s">
        <v>1594</v>
      </c>
      <c r="C28" s="1144" t="s">
        <v>697</v>
      </c>
      <c r="D28" s="470" t="s">
        <v>702</v>
      </c>
      <c r="E28" s="1003" t="s">
        <v>1591</v>
      </c>
      <c r="F28" s="304"/>
      <c r="G28" s="27">
        <v>57.69</v>
      </c>
      <c r="H28" s="127">
        <v>17</v>
      </c>
      <c r="I28" s="1270">
        <v>178</v>
      </c>
      <c r="J28" s="487" t="s">
        <v>1981</v>
      </c>
      <c r="K28" s="1291">
        <v>85</v>
      </c>
      <c r="L28" s="1083">
        <f t="shared" si="0"/>
        <v>50</v>
      </c>
      <c r="M28" s="1271">
        <f t="shared" si="1"/>
        <v>50</v>
      </c>
      <c r="N28" s="73">
        <f t="shared" si="2"/>
        <v>866.70133472005546</v>
      </c>
      <c r="O28" s="73">
        <f>IF(AND(G28&lt;&gt;"",L28&lt;&gt;""),L28/G28,"")</f>
        <v>0.86670133472005551</v>
      </c>
      <c r="P28" s="73"/>
      <c r="Q28" s="73">
        <v>144</v>
      </c>
      <c r="R28" s="1272">
        <v>4</v>
      </c>
      <c r="S28" s="73">
        <v>2</v>
      </c>
      <c r="T28" s="73">
        <v>500</v>
      </c>
      <c r="U28" s="73" t="s">
        <v>1184</v>
      </c>
      <c r="V28" s="73">
        <v>182</v>
      </c>
      <c r="W28" s="73">
        <v>736</v>
      </c>
      <c r="X28" s="112">
        <v>5000</v>
      </c>
      <c r="Y28" s="84"/>
      <c r="Z28" s="173" t="str">
        <f>IF(AND(L28&lt;&gt;"",Y28&lt;&gt;""),1000*L28/Y28,"")</f>
        <v/>
      </c>
      <c r="AA28" s="477">
        <f t="shared" si="3"/>
        <v>347.22222222222223</v>
      </c>
      <c r="AB28" s="57"/>
      <c r="AC28" s="101">
        <f t="shared" si="4"/>
        <v>2.7472527472527473</v>
      </c>
      <c r="AD28" s="478">
        <f t="shared" si="5"/>
        <v>1.6773119999999999</v>
      </c>
      <c r="AE28" s="17"/>
      <c r="AF28" s="213"/>
      <c r="AG28" s="516" t="s">
        <v>1982</v>
      </c>
      <c r="AH28"/>
    </row>
    <row r="29" spans="1:42" s="493" customFormat="1" ht="13.5" thickBot="1" x14ac:dyDescent="0.25">
      <c r="A29" s="523" t="s">
        <v>2124</v>
      </c>
      <c r="B29" s="1145" t="s">
        <v>1594</v>
      </c>
      <c r="C29" s="1144" t="s">
        <v>697</v>
      </c>
      <c r="D29" s="300" t="s">
        <v>702</v>
      </c>
      <c r="E29" s="1003" t="s">
        <v>1589</v>
      </c>
      <c r="F29" s="304" t="s">
        <v>1710</v>
      </c>
      <c r="G29" s="27">
        <v>39.51</v>
      </c>
      <c r="H29" s="127">
        <v>17</v>
      </c>
      <c r="I29" s="1270">
        <v>178</v>
      </c>
      <c r="J29" s="1146" t="s">
        <v>2430</v>
      </c>
      <c r="K29" s="1384">
        <v>97</v>
      </c>
      <c r="L29" s="1083">
        <f t="shared" si="0"/>
        <v>25</v>
      </c>
      <c r="M29" s="1271">
        <f t="shared" si="1"/>
        <v>25</v>
      </c>
      <c r="N29" s="73">
        <f t="shared" si="2"/>
        <v>632.75120222728424</v>
      </c>
      <c r="O29" s="73">
        <f>IF(AND(G29&lt;&gt;"",L29&lt;&gt;""),L29/G29,"")</f>
        <v>0.63275120222728432</v>
      </c>
      <c r="P29" s="73"/>
      <c r="Q29" s="73">
        <v>55</v>
      </c>
      <c r="R29" s="1272">
        <v>4</v>
      </c>
      <c r="S29" s="73">
        <v>2</v>
      </c>
      <c r="T29" s="73">
        <v>380</v>
      </c>
      <c r="U29" s="73" t="s">
        <v>1184</v>
      </c>
      <c r="V29" s="73">
        <v>75</v>
      </c>
      <c r="W29" s="73">
        <v>400</v>
      </c>
      <c r="X29" s="112">
        <v>2500</v>
      </c>
      <c r="Y29" s="1615"/>
      <c r="Z29" s="173"/>
      <c r="AA29" s="477">
        <f t="shared" si="3"/>
        <v>454.54545454545456</v>
      </c>
      <c r="AB29" s="1616"/>
      <c r="AC29" s="101">
        <f t="shared" si="4"/>
        <v>5.0666666666666664</v>
      </c>
      <c r="AD29" s="478">
        <f t="shared" si="5"/>
        <v>0.69120000000000004</v>
      </c>
      <c r="AE29" s="17"/>
      <c r="AF29" s="213"/>
      <c r="AG29" s="516" t="s">
        <v>2431</v>
      </c>
      <c r="AH29"/>
      <c r="AI29"/>
      <c r="AJ29"/>
      <c r="AK29"/>
      <c r="AL29"/>
      <c r="AM29"/>
      <c r="AN29"/>
      <c r="AO29"/>
      <c r="AP29"/>
    </row>
    <row r="30" spans="1:42" x14ac:dyDescent="0.2">
      <c r="A30" s="213"/>
      <c r="B30" s="48" t="s">
        <v>717</v>
      </c>
      <c r="C30" s="226"/>
      <c r="D30" s="212"/>
      <c r="E30" s="12" t="s">
        <v>485</v>
      </c>
      <c r="F30" s="13"/>
      <c r="G30" s="14" t="s">
        <v>22</v>
      </c>
      <c r="H30" s="132" t="s">
        <v>528</v>
      </c>
      <c r="I30" s="408"/>
      <c r="J30" s="425"/>
      <c r="K30" s="414"/>
      <c r="L30" s="411" t="s">
        <v>23</v>
      </c>
      <c r="M30" s="60"/>
      <c r="N30" s="380"/>
      <c r="O30" s="61"/>
      <c r="P30" s="61"/>
      <c r="Q30" s="61" t="s">
        <v>92</v>
      </c>
      <c r="R30" s="61"/>
      <c r="S30" s="61"/>
      <c r="T30" s="61"/>
      <c r="U30" s="61"/>
      <c r="V30" s="62" t="s">
        <v>157</v>
      </c>
      <c r="W30" s="61"/>
      <c r="X30" s="109" t="s">
        <v>93</v>
      </c>
      <c r="Y30" s="80"/>
      <c r="Z30" s="164"/>
      <c r="AA30" s="372"/>
      <c r="AB30" s="92"/>
      <c r="AC30" s="98"/>
      <c r="AD30" s="109" t="s">
        <v>650</v>
      </c>
      <c r="AE30" s="201"/>
      <c r="AF30" s="196"/>
      <c r="AG30" s="6"/>
    </row>
    <row r="31" spans="1:42" x14ac:dyDescent="0.2">
      <c r="A31" s="213" t="s">
        <v>26</v>
      </c>
      <c r="B31" s="17"/>
      <c r="C31" s="227"/>
      <c r="D31" s="213"/>
      <c r="E31" s="118" t="s">
        <v>488</v>
      </c>
      <c r="F31" s="18" t="s">
        <v>546</v>
      </c>
      <c r="G31" s="19">
        <v>26.7</v>
      </c>
      <c r="H31" s="124">
        <v>8</v>
      </c>
      <c r="I31" s="409">
        <v>92</v>
      </c>
      <c r="J31" s="424" t="s">
        <v>940</v>
      </c>
      <c r="K31" s="413">
        <v>49</v>
      </c>
      <c r="L31" s="253">
        <v>15408</v>
      </c>
      <c r="M31" s="151">
        <v>15408</v>
      </c>
      <c r="N31" s="65">
        <f>IF(AND(G31&lt;&gt;"",M31&lt;&gt;""),M31/G31,"")</f>
        <v>577.07865168539331</v>
      </c>
      <c r="O31" s="65">
        <f>IF(AND(G31&lt;&gt;"",L31&lt;&gt;""),L31/G31,"")</f>
        <v>577.07865168539331</v>
      </c>
      <c r="P31" s="65"/>
      <c r="Q31" s="65">
        <v>56</v>
      </c>
      <c r="R31" s="65">
        <v>4</v>
      </c>
      <c r="S31" s="65"/>
      <c r="T31" s="65">
        <v>346</v>
      </c>
      <c r="U31" s="65"/>
      <c r="V31" s="65">
        <v>56</v>
      </c>
      <c r="W31" s="65"/>
      <c r="X31" s="110">
        <f>L31/16</f>
        <v>963</v>
      </c>
      <c r="Y31" s="81"/>
      <c r="Z31" s="141" t="str">
        <f>IF(AND(L31&lt;&gt;"",Y31&lt;&gt;""),L31/Y31,"")</f>
        <v/>
      </c>
      <c r="AA31" s="371">
        <f>L31/Q31</f>
        <v>275.14285714285717</v>
      </c>
      <c r="AB31" s="54">
        <f>L31/V31</f>
        <v>275.14285714285717</v>
      </c>
      <c r="AC31" s="99">
        <f>T31/V31</f>
        <v>6.1785714285714288</v>
      </c>
      <c r="AD31" s="191">
        <f>256*36*V31/1000000</f>
        <v>0.516096</v>
      </c>
      <c r="AE31" s="197">
        <v>3.9</v>
      </c>
      <c r="AF31" s="198">
        <f>(AE31*1000000-V31*36*256)/(4*L31)</f>
        <v>54.904984423676012</v>
      </c>
      <c r="AG31" s="6" t="s">
        <v>941</v>
      </c>
    </row>
    <row r="32" spans="1:42" x14ac:dyDescent="0.2">
      <c r="A32" s="182" t="s">
        <v>26</v>
      </c>
      <c r="B32" s="17"/>
      <c r="C32" s="227"/>
      <c r="D32" s="213"/>
      <c r="E32" s="118" t="s">
        <v>845</v>
      </c>
      <c r="F32" s="18" t="s">
        <v>992</v>
      </c>
      <c r="G32" s="19">
        <v>35.520000000000003</v>
      </c>
      <c r="H32" s="124">
        <v>14</v>
      </c>
      <c r="I32" s="162">
        <v>72</v>
      </c>
      <c r="J32" s="1001" t="s">
        <v>1103</v>
      </c>
      <c r="K32" s="520">
        <v>79</v>
      </c>
      <c r="L32" s="249">
        <v>21280</v>
      </c>
      <c r="M32" s="151">
        <v>21280</v>
      </c>
      <c r="N32" s="65">
        <f>IF(AND(G32&lt;&gt;"",M32&lt;&gt;""),M32/G32,"")</f>
        <v>599.09909909909902</v>
      </c>
      <c r="O32" s="65">
        <f>IF(AND(G32&lt;&gt;"",L32&lt;&gt;""),L32/G32,"")</f>
        <v>599.09909909909902</v>
      </c>
      <c r="P32" s="65"/>
      <c r="Q32" s="65">
        <v>40</v>
      </c>
      <c r="R32" s="65">
        <v>3</v>
      </c>
      <c r="S32" s="65">
        <v>4</v>
      </c>
      <c r="T32" s="65">
        <v>150</v>
      </c>
      <c r="U32" s="65">
        <v>1</v>
      </c>
      <c r="V32" s="65">
        <v>82</v>
      </c>
      <c r="W32" s="65"/>
      <c r="X32" s="110">
        <f>L32/16</f>
        <v>1330</v>
      </c>
      <c r="Y32" s="216"/>
      <c r="Z32" s="141" t="str">
        <f>IF(AND(L32&lt;&gt;"",Y32&lt;&gt;""),1000*L32/Y32,"")</f>
        <v/>
      </c>
      <c r="AA32" s="371">
        <f>L32/Q32</f>
        <v>532</v>
      </c>
      <c r="AB32" s="54">
        <f>L32/V32</f>
        <v>259.51219512195121</v>
      </c>
      <c r="AC32" s="99">
        <f>T32/V32</f>
        <v>1.8292682926829269</v>
      </c>
      <c r="AD32" s="191">
        <f>256*36*V32/1000000</f>
        <v>0.75571200000000005</v>
      </c>
      <c r="AE32" s="197">
        <v>7.6000420000000002</v>
      </c>
      <c r="AF32" s="198">
        <f>(AE32*1000000-V32*36*256)/(4000*L32)</f>
        <v>8.0408012218045111E-2</v>
      </c>
      <c r="AG32" s="236"/>
    </row>
    <row r="33" spans="1:34" x14ac:dyDescent="0.2">
      <c r="A33" s="656" t="s">
        <v>1391</v>
      </c>
      <c r="B33" s="17"/>
      <c r="C33" s="227"/>
      <c r="D33" s="213"/>
      <c r="E33" s="118" t="s">
        <v>488</v>
      </c>
      <c r="F33" s="18" t="s">
        <v>546</v>
      </c>
      <c r="G33" s="19">
        <v>26.7</v>
      </c>
      <c r="H33" s="124">
        <v>8</v>
      </c>
      <c r="I33" s="409">
        <v>92</v>
      </c>
      <c r="J33" s="424" t="s">
        <v>890</v>
      </c>
      <c r="K33" s="413">
        <v>119</v>
      </c>
      <c r="L33" s="253">
        <v>15408</v>
      </c>
      <c r="M33" s="151">
        <v>15408</v>
      </c>
      <c r="N33" s="65">
        <f>IF(AND(G33&lt;&gt;"",M33&lt;&gt;""),M33/G33,"")</f>
        <v>577.07865168539331</v>
      </c>
      <c r="O33" s="65">
        <f>IF(AND(G33&lt;&gt;"",L33&lt;&gt;""),L33/G33,"")</f>
        <v>577.07865168539331</v>
      </c>
      <c r="P33" s="65"/>
      <c r="Q33" s="65">
        <v>56</v>
      </c>
      <c r="R33" s="65">
        <v>4</v>
      </c>
      <c r="S33" s="65"/>
      <c r="T33" s="65">
        <v>346</v>
      </c>
      <c r="U33" s="65"/>
      <c r="V33" s="65">
        <v>56</v>
      </c>
      <c r="W33" s="65"/>
      <c r="X33" s="110">
        <f>L33/16</f>
        <v>963</v>
      </c>
      <c r="Y33" s="81"/>
      <c r="Z33" s="141" t="str">
        <f>IF(AND(L33&lt;&gt;"",Y33&lt;&gt;""),L33/Y33,"")</f>
        <v/>
      </c>
      <c r="AA33" s="371">
        <f>L33/Q33</f>
        <v>275.14285714285717</v>
      </c>
      <c r="AB33" s="54">
        <f>L33/V33</f>
        <v>275.14285714285717</v>
      </c>
      <c r="AC33" s="99">
        <f>T33/V33</f>
        <v>6.1785714285714288</v>
      </c>
      <c r="AD33" s="191">
        <f>256*36*V33/1000000</f>
        <v>0.516096</v>
      </c>
      <c r="AE33" s="422">
        <v>3.9</v>
      </c>
      <c r="AF33" s="220">
        <f>(AE33*1000000-V33*36*256)/(4*L33)</f>
        <v>54.904984423676012</v>
      </c>
      <c r="AG33" s="6"/>
    </row>
    <row r="34" spans="1:34" ht="13.5" thickBot="1" x14ac:dyDescent="0.25">
      <c r="A34" s="213" t="s">
        <v>929</v>
      </c>
      <c r="B34" s="17"/>
      <c r="C34" s="227"/>
      <c r="D34" s="213"/>
      <c r="E34" s="118" t="s">
        <v>489</v>
      </c>
      <c r="F34" s="18" t="s">
        <v>494</v>
      </c>
      <c r="G34" s="19">
        <v>39.5</v>
      </c>
      <c r="H34" s="124">
        <v>14</v>
      </c>
      <c r="I34" s="162">
        <v>156</v>
      </c>
      <c r="J34" s="427" t="s">
        <v>930</v>
      </c>
      <c r="K34" s="429">
        <v>199</v>
      </c>
      <c r="L34" s="253">
        <v>24624</v>
      </c>
      <c r="M34" s="151">
        <v>24624</v>
      </c>
      <c r="N34" s="65">
        <f>IF(AND(G34&lt;&gt;"",M34&lt;&gt;""),M34/G34,"")</f>
        <v>623.39240506329111</v>
      </c>
      <c r="O34" s="65">
        <f>IF(AND(G34&lt;&gt;"",L34&lt;&gt;""),L34/G34,"")</f>
        <v>623.39240506329111</v>
      </c>
      <c r="P34" s="65"/>
      <c r="Q34" s="65">
        <v>66</v>
      </c>
      <c r="R34" s="65">
        <v>4</v>
      </c>
      <c r="S34" s="65"/>
      <c r="T34" s="65">
        <v>215</v>
      </c>
      <c r="U34" s="65"/>
      <c r="V34" s="65">
        <v>66</v>
      </c>
      <c r="W34" s="65"/>
      <c r="X34" s="110">
        <f>L34/16</f>
        <v>1539</v>
      </c>
      <c r="Y34" s="81"/>
      <c r="Z34" s="141" t="str">
        <f>IF(AND(L34&lt;&gt;"",Y34&lt;&gt;""),L34/Y34,"")</f>
        <v/>
      </c>
      <c r="AA34" s="371">
        <f>L34/Q34</f>
        <v>373.09090909090907</v>
      </c>
      <c r="AB34" s="54">
        <f>L34/V34</f>
        <v>373.09090909090907</v>
      </c>
      <c r="AC34" s="99">
        <f>T34/V34</f>
        <v>3.2575757575757578</v>
      </c>
      <c r="AD34" s="191">
        <f>256*36*V34/1000000</f>
        <v>0.60825600000000002</v>
      </c>
      <c r="AE34" s="199">
        <v>5.5</v>
      </c>
      <c r="AF34" s="200">
        <f>(AE34*1000000-V34*36*256)/(4*L34)</f>
        <v>49.664392462638077</v>
      </c>
      <c r="AG34" s="6" t="s">
        <v>790</v>
      </c>
    </row>
    <row r="35" spans="1:34" x14ac:dyDescent="0.2">
      <c r="A35" s="213"/>
      <c r="B35" s="48" t="s">
        <v>717</v>
      </c>
      <c r="C35" s="226"/>
      <c r="D35" s="212"/>
      <c r="E35" s="12" t="s">
        <v>835</v>
      </c>
      <c r="F35" s="13"/>
      <c r="G35" s="14" t="s">
        <v>22</v>
      </c>
      <c r="H35" s="132" t="s">
        <v>528</v>
      </c>
      <c r="I35" s="408"/>
      <c r="J35" s="425"/>
      <c r="K35" s="414"/>
      <c r="L35" s="411" t="s">
        <v>23</v>
      </c>
      <c r="M35" s="60"/>
      <c r="N35" s="380"/>
      <c r="O35" s="61"/>
      <c r="P35" s="61"/>
      <c r="Q35" s="61" t="s">
        <v>92</v>
      </c>
      <c r="R35" s="61"/>
      <c r="S35" s="61"/>
      <c r="T35" s="61"/>
      <c r="U35" s="61"/>
      <c r="V35" s="62" t="s">
        <v>157</v>
      </c>
      <c r="W35" s="61"/>
      <c r="X35" s="109" t="s">
        <v>93</v>
      </c>
      <c r="Y35" s="80"/>
      <c r="Z35" s="164"/>
      <c r="AA35" s="372"/>
      <c r="AB35" s="92"/>
      <c r="AC35" s="98"/>
      <c r="AD35" s="109" t="s">
        <v>650</v>
      </c>
      <c r="AE35" s="201"/>
      <c r="AF35" s="196"/>
      <c r="AG35" s="6"/>
    </row>
    <row r="36" spans="1:34" x14ac:dyDescent="0.2">
      <c r="A36" s="523" t="s">
        <v>1466</v>
      </c>
      <c r="B36" s="17"/>
      <c r="C36" s="227"/>
      <c r="D36" s="213"/>
      <c r="E36" s="118" t="s">
        <v>845</v>
      </c>
      <c r="F36" s="18" t="s">
        <v>992</v>
      </c>
      <c r="G36" s="19">
        <v>50.95</v>
      </c>
      <c r="H36" s="124">
        <v>14</v>
      </c>
      <c r="I36" s="162">
        <v>72</v>
      </c>
      <c r="J36" s="487" t="s">
        <v>1467</v>
      </c>
      <c r="K36" s="413">
        <v>38</v>
      </c>
      <c r="L36" s="451">
        <v>21.28</v>
      </c>
      <c r="M36" s="452">
        <v>21.28</v>
      </c>
      <c r="N36" s="65">
        <f>IF(AND(G36&lt;&gt;"",M36&lt;&gt;""),1000*M36/G36,"")</f>
        <v>417.66437684003921</v>
      </c>
      <c r="O36" s="65"/>
      <c r="P36" s="65"/>
      <c r="Q36" s="65">
        <v>40</v>
      </c>
      <c r="R36" s="65">
        <v>3</v>
      </c>
      <c r="S36" s="65">
        <v>4</v>
      </c>
      <c r="T36" s="65">
        <v>150</v>
      </c>
      <c r="U36" s="65">
        <v>1</v>
      </c>
      <c r="V36" s="65">
        <v>82</v>
      </c>
      <c r="W36" s="65"/>
      <c r="X36" s="110">
        <f>1000*L36/16</f>
        <v>1330</v>
      </c>
      <c r="Y36" s="216"/>
      <c r="Z36" s="141" t="str">
        <f>IF(AND(L36&lt;&gt;"",Y36&lt;&gt;""),1000*L36/Y36,"")</f>
        <v/>
      </c>
      <c r="AA36" s="371">
        <f>1000*M36/Q36</f>
        <v>532</v>
      </c>
      <c r="AB36" s="390"/>
      <c r="AC36" s="99">
        <f>T36/V36</f>
        <v>1.8292682926829269</v>
      </c>
      <c r="AD36" s="191">
        <f>256*36*V36/1000000</f>
        <v>0.75571200000000005</v>
      </c>
      <c r="AE36" s="197">
        <v>7.6000420000000002</v>
      </c>
      <c r="AF36" s="198">
        <f>(AE36*1000000-V36*36*256)/(4000*L36)</f>
        <v>80.408012218045116</v>
      </c>
      <c r="AG36" s="236" t="s">
        <v>1468</v>
      </c>
      <c r="AH36"/>
    </row>
    <row r="37" spans="1:34" x14ac:dyDescent="0.2">
      <c r="A37" s="523" t="s">
        <v>940</v>
      </c>
      <c r="B37" s="17"/>
      <c r="C37" s="227"/>
      <c r="D37" s="213"/>
      <c r="E37" s="118" t="s">
        <v>845</v>
      </c>
      <c r="F37" s="18" t="s">
        <v>992</v>
      </c>
      <c r="G37" s="19">
        <v>50.95</v>
      </c>
      <c r="H37" s="124">
        <v>14</v>
      </c>
      <c r="I37" s="162">
        <v>72</v>
      </c>
      <c r="J37" s="487" t="s">
        <v>1245</v>
      </c>
      <c r="K37" s="413">
        <v>74</v>
      </c>
      <c r="L37" s="451">
        <v>21.28</v>
      </c>
      <c r="M37" s="452">
        <v>21.28</v>
      </c>
      <c r="N37" s="65">
        <f>IF(AND(G37&lt;&gt;"",M37&lt;&gt;""),1000*M37/G37,"")</f>
        <v>417.66437684003921</v>
      </c>
      <c r="O37" s="65"/>
      <c r="P37" s="65"/>
      <c r="Q37" s="65">
        <v>40</v>
      </c>
      <c r="R37" s="65">
        <v>3</v>
      </c>
      <c r="S37" s="65">
        <v>4</v>
      </c>
      <c r="T37" s="65">
        <v>150</v>
      </c>
      <c r="U37" s="65">
        <v>1</v>
      </c>
      <c r="V37" s="65">
        <v>82</v>
      </c>
      <c r="W37" s="65"/>
      <c r="X37" s="110">
        <f>1000*L37/16</f>
        <v>1330</v>
      </c>
      <c r="Y37" s="216"/>
      <c r="Z37" s="141" t="str">
        <f>IF(AND(L37&lt;&gt;"",Y37&lt;&gt;""),1000*L37/Y37,"")</f>
        <v/>
      </c>
      <c r="AA37" s="371">
        <f>1000*M37/Q37</f>
        <v>532</v>
      </c>
      <c r="AB37" s="390"/>
      <c r="AC37" s="99">
        <f>T37/V37</f>
        <v>1.8292682926829269</v>
      </c>
      <c r="AD37" s="191">
        <f>256*36*V37/1000000</f>
        <v>0.75571200000000005</v>
      </c>
      <c r="AE37" s="197">
        <v>7.6000420000000002</v>
      </c>
      <c r="AF37" s="198">
        <f>(AE37*1000000-V37*36*256)/(4000*L37)</f>
        <v>80.408012218045116</v>
      </c>
      <c r="AG37" s="236"/>
      <c r="AH37"/>
    </row>
    <row r="38" spans="1:34" ht="13.5" thickBot="1" x14ac:dyDescent="0.25">
      <c r="A38" s="656" t="s">
        <v>1391</v>
      </c>
      <c r="B38" s="17"/>
      <c r="C38" s="227"/>
      <c r="D38" s="213"/>
      <c r="E38" s="118" t="s">
        <v>845</v>
      </c>
      <c r="F38" s="18" t="s">
        <v>992</v>
      </c>
      <c r="G38" s="19">
        <v>50.95</v>
      </c>
      <c r="H38" s="124">
        <v>14</v>
      </c>
      <c r="I38" s="162">
        <v>72</v>
      </c>
      <c r="J38" s="487" t="s">
        <v>1244</v>
      </c>
      <c r="K38" s="413">
        <v>79</v>
      </c>
      <c r="L38" s="451">
        <v>21.28</v>
      </c>
      <c r="M38" s="452">
        <v>21.28</v>
      </c>
      <c r="N38" s="65">
        <f>IF(AND(G38&lt;&gt;"",M38&lt;&gt;""),1000*M38/G38,"")</f>
        <v>417.66437684003921</v>
      </c>
      <c r="O38" s="65"/>
      <c r="P38" s="65"/>
      <c r="Q38" s="65">
        <v>40</v>
      </c>
      <c r="R38" s="65">
        <v>3</v>
      </c>
      <c r="S38" s="65">
        <v>4</v>
      </c>
      <c r="T38" s="65">
        <v>150</v>
      </c>
      <c r="U38" s="65">
        <v>1</v>
      </c>
      <c r="V38" s="65">
        <v>82</v>
      </c>
      <c r="W38" s="65"/>
      <c r="X38" s="110">
        <f>1000*L38/16</f>
        <v>1330</v>
      </c>
      <c r="Y38" s="216"/>
      <c r="Z38" s="141" t="str">
        <f>IF(AND(L38&lt;&gt;"",Y38&lt;&gt;""),1000*L38/Y38,"")</f>
        <v/>
      </c>
      <c r="AA38" s="371">
        <f>1000*M38/Q38</f>
        <v>532</v>
      </c>
      <c r="AB38" s="390"/>
      <c r="AC38" s="99">
        <f>T38/V38</f>
        <v>1.8292682926829269</v>
      </c>
      <c r="AD38" s="191">
        <f>256*36*V38/1000000</f>
        <v>0.75571200000000005</v>
      </c>
      <c r="AE38" s="197">
        <v>7.6000420000000002</v>
      </c>
      <c r="AF38" s="198">
        <f>(AE38*1000000-V38*36*256)/(4000*L38)</f>
        <v>80.408012218045116</v>
      </c>
      <c r="AG38" s="236"/>
      <c r="AH38"/>
    </row>
    <row r="39" spans="1:34" x14ac:dyDescent="0.2">
      <c r="A39" s="656"/>
      <c r="B39" s="915" t="s">
        <v>717</v>
      </c>
      <c r="C39" s="660"/>
      <c r="D39" s="658"/>
      <c r="E39" s="606" t="s">
        <v>1041</v>
      </c>
      <c r="F39" s="945" t="s">
        <v>1018</v>
      </c>
      <c r="G39" s="607" t="s">
        <v>22</v>
      </c>
      <c r="H39" s="644" t="s">
        <v>513</v>
      </c>
      <c r="I39" s="651"/>
      <c r="J39" s="952"/>
      <c r="K39" s="608"/>
      <c r="L39" s="948" t="s">
        <v>1068</v>
      </c>
      <c r="M39" s="623" t="s">
        <v>989</v>
      </c>
      <c r="N39" s="938"/>
      <c r="O39" s="623"/>
      <c r="P39" s="940" t="s">
        <v>1171</v>
      </c>
      <c r="Q39" s="623" t="s">
        <v>986</v>
      </c>
      <c r="R39" s="623"/>
      <c r="S39" s="623" t="s">
        <v>1053</v>
      </c>
      <c r="T39" s="623"/>
      <c r="U39" s="623" t="s">
        <v>1047</v>
      </c>
      <c r="V39" s="946" t="s">
        <v>1048</v>
      </c>
      <c r="W39" s="623" t="s">
        <v>634</v>
      </c>
      <c r="X39" s="636" t="s">
        <v>25</v>
      </c>
      <c r="Y39" s="933"/>
      <c r="Z39" s="654"/>
      <c r="AA39" s="748"/>
      <c r="AB39" s="932"/>
      <c r="AC39" s="635"/>
      <c r="AD39" s="636" t="s">
        <v>650</v>
      </c>
      <c r="AE39" s="931"/>
      <c r="AF39" s="928"/>
      <c r="AG39" s="912"/>
      <c r="AH39" s="604"/>
    </row>
    <row r="40" spans="1:34" x14ac:dyDescent="0.2">
      <c r="A40" s="523" t="s">
        <v>26</v>
      </c>
      <c r="B40" s="17" t="s">
        <v>702</v>
      </c>
      <c r="C40" s="230"/>
      <c r="D40" s="213" t="s">
        <v>708</v>
      </c>
      <c r="E40" s="911" t="s">
        <v>1382</v>
      </c>
      <c r="F40" s="45" t="s">
        <v>1383</v>
      </c>
      <c r="G40" s="124">
        <v>34.81</v>
      </c>
      <c r="H40" s="124">
        <v>15</v>
      </c>
      <c r="I40" s="162">
        <v>144</v>
      </c>
      <c r="J40" s="465" t="s">
        <v>1489</v>
      </c>
      <c r="K40" s="681">
        <v>49</v>
      </c>
      <c r="L40" s="456">
        <v>9.4339999999999993</v>
      </c>
      <c r="M40" s="457">
        <v>25.000099999999996</v>
      </c>
      <c r="N40" s="65">
        <v>718.1873024992816</v>
      </c>
      <c r="O40" s="64"/>
      <c r="P40" s="64"/>
      <c r="Q40" s="65">
        <v>25</v>
      </c>
      <c r="R40" s="65">
        <v>4</v>
      </c>
      <c r="S40" s="65"/>
      <c r="T40" s="65">
        <v>304</v>
      </c>
      <c r="U40" s="64">
        <v>1</v>
      </c>
      <c r="V40" s="65">
        <v>166</v>
      </c>
      <c r="W40" s="65"/>
      <c r="X40" s="110">
        <v>943.4</v>
      </c>
      <c r="Y40" s="81"/>
      <c r="Z40" s="141"/>
      <c r="AA40" s="378">
        <v>500.0019999999999</v>
      </c>
      <c r="AB40" s="1035"/>
      <c r="AC40" s="281">
        <v>1.8313253012048192</v>
      </c>
      <c r="AD40" s="191">
        <v>1.69984</v>
      </c>
      <c r="AE40" s="188"/>
      <c r="AF40" s="198"/>
      <c r="AG40" s="6"/>
      <c r="AH40" s="493" t="s">
        <v>1490</v>
      </c>
    </row>
    <row r="41" spans="1:34" x14ac:dyDescent="0.2">
      <c r="A41" s="656" t="s">
        <v>1391</v>
      </c>
      <c r="B41" s="925" t="s">
        <v>702</v>
      </c>
      <c r="C41" s="937"/>
      <c r="D41" s="740" t="s">
        <v>708</v>
      </c>
      <c r="E41" s="911" t="s">
        <v>1765</v>
      </c>
      <c r="F41" s="45" t="s">
        <v>1766</v>
      </c>
      <c r="G41" s="124">
        <v>145.72</v>
      </c>
      <c r="H41" s="124">
        <v>19</v>
      </c>
      <c r="I41" s="162">
        <v>227</v>
      </c>
      <c r="J41" s="465" t="s">
        <v>1767</v>
      </c>
      <c r="K41" s="681">
        <v>99</v>
      </c>
      <c r="L41" s="456">
        <v>15.093999999999999</v>
      </c>
      <c r="M41" s="457">
        <v>39.999099999999999</v>
      </c>
      <c r="N41" s="65">
        <f>IF(AND(G41&lt;&gt;"",M41&lt;&gt;""),1000*M41/G41,"")</f>
        <v>274.49286302497939</v>
      </c>
      <c r="O41" s="64"/>
      <c r="P41" s="64">
        <v>2</v>
      </c>
      <c r="Q41" s="65">
        <v>168</v>
      </c>
      <c r="R41" s="65">
        <v>8</v>
      </c>
      <c r="S41" s="65"/>
      <c r="T41" s="65">
        <v>326</v>
      </c>
      <c r="U41" s="151">
        <v>2</v>
      </c>
      <c r="V41" s="65">
        <v>220</v>
      </c>
      <c r="W41" s="65"/>
      <c r="X41" s="110">
        <v>1509.3999999999999</v>
      </c>
      <c r="Y41" s="81"/>
      <c r="Z41" s="141"/>
      <c r="AA41" s="378">
        <f>M41*1000/Q41</f>
        <v>238.08988095238095</v>
      </c>
      <c r="AB41" s="235"/>
      <c r="AC41" s="908">
        <v>1.4181818181818182</v>
      </c>
      <c r="AD41" s="191">
        <v>2.2528000000000001</v>
      </c>
      <c r="AE41" s="188"/>
      <c r="AF41" s="198"/>
      <c r="AG41" s="6"/>
      <c r="AH41" s="493"/>
    </row>
    <row r="42" spans="1:34" x14ac:dyDescent="0.2">
      <c r="A42" s="656" t="s">
        <v>1391</v>
      </c>
      <c r="B42" s="925" t="s">
        <v>702</v>
      </c>
      <c r="C42" s="937"/>
      <c r="D42" s="740" t="s">
        <v>708</v>
      </c>
      <c r="E42" s="914" t="s">
        <v>2259</v>
      </c>
      <c r="F42" s="619" t="s">
        <v>1279</v>
      </c>
      <c r="G42" s="124">
        <v>145.72</v>
      </c>
      <c r="H42" s="124">
        <v>19</v>
      </c>
      <c r="I42" s="162">
        <v>227</v>
      </c>
      <c r="J42" s="465" t="s">
        <v>2245</v>
      </c>
      <c r="K42" s="681">
        <v>130</v>
      </c>
      <c r="L42" s="941">
        <v>41.509</v>
      </c>
      <c r="M42" s="942">
        <v>109.99884999999999</v>
      </c>
      <c r="N42" s="625">
        <v>524.35337019734959</v>
      </c>
      <c r="O42" s="916"/>
      <c r="P42" s="916">
        <v>2</v>
      </c>
      <c r="Q42" s="625">
        <v>112</v>
      </c>
      <c r="R42" s="625">
        <v>9</v>
      </c>
      <c r="S42" s="947" t="s">
        <v>1057</v>
      </c>
      <c r="T42" s="625">
        <v>476</v>
      </c>
      <c r="U42" s="923">
        <v>2</v>
      </c>
      <c r="V42" s="625">
        <v>502</v>
      </c>
      <c r="W42" s="625">
        <v>2</v>
      </c>
      <c r="X42" s="637">
        <v>4150.8999999999996</v>
      </c>
      <c r="Y42" s="630"/>
      <c r="Z42" s="921"/>
      <c r="AA42" s="675">
        <v>491.06629464285709</v>
      </c>
      <c r="AB42" s="935"/>
      <c r="AC42" s="919">
        <v>0.94820717131474108</v>
      </c>
      <c r="AD42" s="926">
        <v>5.1404800000000002</v>
      </c>
      <c r="AE42" s="657"/>
      <c r="AF42" s="929"/>
      <c r="AG42" s="949" t="s">
        <v>1406</v>
      </c>
      <c r="AH42" s="493"/>
    </row>
    <row r="43" spans="1:34" x14ac:dyDescent="0.2">
      <c r="A43" s="656" t="s">
        <v>1392</v>
      </c>
      <c r="B43" s="925" t="s">
        <v>702</v>
      </c>
      <c r="C43" s="937"/>
      <c r="D43" s="740" t="s">
        <v>708</v>
      </c>
      <c r="E43" s="914" t="s">
        <v>1386</v>
      </c>
      <c r="F43" s="619" t="s">
        <v>1279</v>
      </c>
      <c r="G43" s="641">
        <v>209.78</v>
      </c>
      <c r="H43" s="641">
        <v>23</v>
      </c>
      <c r="I43" s="652">
        <v>312</v>
      </c>
      <c r="J43" s="953" t="s">
        <v>1393</v>
      </c>
      <c r="K43" s="887"/>
      <c r="L43" s="941">
        <v>41.509</v>
      </c>
      <c r="M43" s="942">
        <v>109.99884999999999</v>
      </c>
      <c r="N43" s="625">
        <v>524.35337019734959</v>
      </c>
      <c r="O43" s="916"/>
      <c r="P43" s="916">
        <v>2</v>
      </c>
      <c r="Q43" s="625">
        <v>112</v>
      </c>
      <c r="R43" s="625">
        <v>9</v>
      </c>
      <c r="S43" s="947" t="s">
        <v>1057</v>
      </c>
      <c r="T43" s="625">
        <v>476</v>
      </c>
      <c r="U43" s="923">
        <v>2</v>
      </c>
      <c r="V43" s="625">
        <v>502</v>
      </c>
      <c r="W43" s="625">
        <v>2</v>
      </c>
      <c r="X43" s="637">
        <v>4150.8999999999996</v>
      </c>
      <c r="Y43" s="630"/>
      <c r="Z43" s="921"/>
      <c r="AA43" s="675">
        <v>491.06629464285709</v>
      </c>
      <c r="AB43" s="935"/>
      <c r="AC43" s="919">
        <v>0.94820717131474108</v>
      </c>
      <c r="AD43" s="926">
        <v>5.1404800000000002</v>
      </c>
      <c r="AE43" s="657"/>
      <c r="AF43" s="929"/>
      <c r="AG43" s="949" t="s">
        <v>1406</v>
      </c>
      <c r="AH43" s="604"/>
    </row>
    <row r="44" spans="1:34" x14ac:dyDescent="0.2">
      <c r="A44" s="656" t="s">
        <v>1391</v>
      </c>
      <c r="B44" s="925" t="s">
        <v>702</v>
      </c>
      <c r="C44" s="937"/>
      <c r="D44" s="740" t="s">
        <v>708</v>
      </c>
      <c r="E44" s="914" t="s">
        <v>1385</v>
      </c>
      <c r="F44" s="619" t="s">
        <v>1279</v>
      </c>
      <c r="G44" s="641">
        <v>209.78</v>
      </c>
      <c r="H44" s="641">
        <v>23</v>
      </c>
      <c r="I44" s="652">
        <v>312</v>
      </c>
      <c r="J44" s="953" t="s">
        <v>1524</v>
      </c>
      <c r="K44" s="887">
        <v>179</v>
      </c>
      <c r="L44" s="456">
        <v>28.867999999999999</v>
      </c>
      <c r="M44" s="457">
        <v>76.500199999999992</v>
      </c>
      <c r="N44" s="65">
        <v>621.95284552845521</v>
      </c>
      <c r="O44" s="64"/>
      <c r="P44" s="64"/>
      <c r="Q44" s="65">
        <v>124</v>
      </c>
      <c r="R44" s="65">
        <v>6</v>
      </c>
      <c r="S44" s="65" t="s">
        <v>1056</v>
      </c>
      <c r="T44" s="65">
        <v>368</v>
      </c>
      <c r="U44" s="64">
        <v>2</v>
      </c>
      <c r="V44" s="65">
        <v>372</v>
      </c>
      <c r="W44" s="65">
        <v>1</v>
      </c>
      <c r="X44" s="110">
        <v>2886.7999999999997</v>
      </c>
      <c r="Y44" s="81"/>
      <c r="Z44" s="141"/>
      <c r="AA44" s="371">
        <v>308.46854838709675</v>
      </c>
      <c r="AB44" s="154"/>
      <c r="AC44" s="281">
        <v>0.989247311827957</v>
      </c>
      <c r="AD44" s="191">
        <v>3.8092800000000002</v>
      </c>
      <c r="AE44" s="188"/>
      <c r="AF44" s="198"/>
      <c r="AG44" s="949"/>
      <c r="AH44" s="604"/>
    </row>
    <row r="45" spans="1:34" x14ac:dyDescent="0.2">
      <c r="A45" s="656" t="s">
        <v>1391</v>
      </c>
      <c r="B45" s="925" t="s">
        <v>702</v>
      </c>
      <c r="C45" s="937"/>
      <c r="D45" s="740" t="s">
        <v>708</v>
      </c>
      <c r="E45" s="914" t="s">
        <v>1386</v>
      </c>
      <c r="F45" s="619" t="s">
        <v>1279</v>
      </c>
      <c r="G45" s="641">
        <v>209.78</v>
      </c>
      <c r="H45" s="641">
        <v>23</v>
      </c>
      <c r="I45" s="652">
        <v>312</v>
      </c>
      <c r="J45" s="953" t="s">
        <v>1394</v>
      </c>
      <c r="K45" s="887">
        <v>245</v>
      </c>
      <c r="L45" s="941">
        <v>41.509</v>
      </c>
      <c r="M45" s="942">
        <v>109.99884999999999</v>
      </c>
      <c r="N45" s="625">
        <v>524.35337019734959</v>
      </c>
      <c r="O45" s="916"/>
      <c r="P45" s="916">
        <v>2</v>
      </c>
      <c r="Q45" s="625">
        <v>112</v>
      </c>
      <c r="R45" s="625">
        <v>9</v>
      </c>
      <c r="S45" s="947" t="s">
        <v>1057</v>
      </c>
      <c r="T45" s="625">
        <v>476</v>
      </c>
      <c r="U45" s="923">
        <v>2</v>
      </c>
      <c r="V45" s="625">
        <v>502</v>
      </c>
      <c r="W45" s="625">
        <v>2</v>
      </c>
      <c r="X45" s="637">
        <v>4150.8999999999996</v>
      </c>
      <c r="Y45" s="630"/>
      <c r="Z45" s="921"/>
      <c r="AA45" s="675">
        <v>491.06629464285709</v>
      </c>
      <c r="AB45" s="935"/>
      <c r="AC45" s="919">
        <v>0.94820717131474108</v>
      </c>
      <c r="AD45" s="926">
        <v>5.1404800000000002</v>
      </c>
      <c r="AE45" s="657"/>
      <c r="AF45" s="929"/>
      <c r="AG45" s="949" t="s">
        <v>1406</v>
      </c>
      <c r="AH45" s="604"/>
    </row>
    <row r="46" spans="1:34" ht="13.5" thickBot="1" x14ac:dyDescent="0.25">
      <c r="A46" s="950" t="s">
        <v>1387</v>
      </c>
      <c r="B46" s="913" t="s">
        <v>702</v>
      </c>
      <c r="C46" s="934"/>
      <c r="D46" s="664" t="s">
        <v>708</v>
      </c>
      <c r="E46" s="913" t="s">
        <v>1386</v>
      </c>
      <c r="F46" s="920" t="s">
        <v>1279</v>
      </c>
      <c r="G46" s="642">
        <v>209.78</v>
      </c>
      <c r="H46" s="642">
        <v>23</v>
      </c>
      <c r="I46" s="653">
        <v>312</v>
      </c>
      <c r="J46" s="954" t="s">
        <v>1388</v>
      </c>
      <c r="K46" s="616">
        <v>349</v>
      </c>
      <c r="L46" s="943">
        <v>41.509</v>
      </c>
      <c r="M46" s="944">
        <v>109.99884999999999</v>
      </c>
      <c r="N46" s="626">
        <v>524.35337019734959</v>
      </c>
      <c r="O46" s="917"/>
      <c r="P46" s="917">
        <v>2</v>
      </c>
      <c r="Q46" s="626">
        <v>112</v>
      </c>
      <c r="R46" s="626">
        <v>9</v>
      </c>
      <c r="S46" s="951" t="s">
        <v>1057</v>
      </c>
      <c r="T46" s="626">
        <v>476</v>
      </c>
      <c r="U46" s="924">
        <v>2</v>
      </c>
      <c r="V46" s="626">
        <v>502</v>
      </c>
      <c r="W46" s="626">
        <v>2</v>
      </c>
      <c r="X46" s="638">
        <v>4150.8999999999996</v>
      </c>
      <c r="Y46" s="631"/>
      <c r="Z46" s="922"/>
      <c r="AA46" s="677">
        <v>491.06629464285709</v>
      </c>
      <c r="AB46" s="936"/>
      <c r="AC46" s="918">
        <v>0.94820717131474108</v>
      </c>
      <c r="AD46" s="927">
        <v>5.1404800000000002</v>
      </c>
      <c r="AE46" s="939"/>
      <c r="AF46" s="930"/>
      <c r="AG46" s="949" t="s">
        <v>1406</v>
      </c>
      <c r="AH46" s="604"/>
    </row>
    <row r="47" spans="1:34" x14ac:dyDescent="0.2">
      <c r="A47" s="656"/>
      <c r="B47" s="915" t="s">
        <v>717</v>
      </c>
      <c r="C47" s="660"/>
      <c r="D47" s="658"/>
      <c r="E47" s="606" t="s">
        <v>1895</v>
      </c>
      <c r="F47" s="945" t="s">
        <v>1018</v>
      </c>
      <c r="G47" s="607" t="s">
        <v>22</v>
      </c>
      <c r="H47" s="644" t="s">
        <v>513</v>
      </c>
      <c r="I47" s="1285"/>
      <c r="J47" s="952"/>
      <c r="K47" s="1286"/>
      <c r="L47" s="1030" t="s">
        <v>1848</v>
      </c>
      <c r="M47" s="61"/>
      <c r="N47" s="385">
        <f>AVERAGE(N50:N50)</f>
        <v>938.05714285714282</v>
      </c>
      <c r="O47" s="61"/>
      <c r="P47" s="61"/>
      <c r="Q47" s="399" t="s">
        <v>92</v>
      </c>
      <c r="R47" s="61"/>
      <c r="S47" s="399"/>
      <c r="T47" s="61"/>
      <c r="U47" s="399"/>
      <c r="V47" s="468" t="s">
        <v>157</v>
      </c>
      <c r="W47" s="61"/>
      <c r="X47" s="109" t="s">
        <v>25</v>
      </c>
      <c r="Y47" s="80" t="s">
        <v>65</v>
      </c>
      <c r="Z47" s="164"/>
      <c r="AA47" s="372">
        <f>AVERAGE(AA50:AA50)</f>
        <v>373.09090909090907</v>
      </c>
      <c r="AB47" s="210"/>
      <c r="AC47" s="98">
        <f>AVERAGE(AC50:AC57)</f>
        <v>4.9242424242424239</v>
      </c>
      <c r="AD47" s="109" t="s">
        <v>650</v>
      </c>
      <c r="AE47" s="193"/>
      <c r="AF47" s="212"/>
      <c r="AG47" s="516" t="s">
        <v>1858</v>
      </c>
      <c r="AH47" s="604"/>
    </row>
    <row r="48" spans="1:34" x14ac:dyDescent="0.2">
      <c r="A48" s="656" t="s">
        <v>2109</v>
      </c>
      <c r="B48" s="17" t="s">
        <v>702</v>
      </c>
      <c r="C48" s="230"/>
      <c r="D48" s="213" t="s">
        <v>708</v>
      </c>
      <c r="E48" s="911" t="s">
        <v>1853</v>
      </c>
      <c r="F48" s="45"/>
      <c r="G48" s="19">
        <v>26.25</v>
      </c>
      <c r="H48" s="124">
        <v>14</v>
      </c>
      <c r="I48" s="409">
        <v>150</v>
      </c>
      <c r="J48" s="487" t="s">
        <v>2107</v>
      </c>
      <c r="K48" s="413">
        <v>45</v>
      </c>
      <c r="L48" s="451">
        <v>24.623999999999999</v>
      </c>
      <c r="M48" s="452">
        <v>24.623999999999999</v>
      </c>
      <c r="N48" s="65">
        <f>IF(AND(G48&lt;&gt;"",M48&lt;&gt;""),1000*M48/G48,"")</f>
        <v>938.05714285714282</v>
      </c>
      <c r="O48" s="65"/>
      <c r="P48" s="65"/>
      <c r="Q48" s="65">
        <v>66</v>
      </c>
      <c r="R48" s="469">
        <v>4</v>
      </c>
      <c r="S48" s="65"/>
      <c r="T48" s="65">
        <v>325</v>
      </c>
      <c r="U48" s="65"/>
      <c r="V48" s="65">
        <v>66</v>
      </c>
      <c r="W48" s="65"/>
      <c r="X48" s="110"/>
      <c r="Y48" s="81"/>
      <c r="Z48" s="141"/>
      <c r="AA48" s="378">
        <f>M48*1000/Q48</f>
        <v>373.09090909090907</v>
      </c>
      <c r="AB48" s="211"/>
      <c r="AC48" s="99">
        <f>T48/V48</f>
        <v>4.9242424242424239</v>
      </c>
      <c r="AD48" s="191">
        <f>256*36*V48/1000000</f>
        <v>0.60825600000000002</v>
      </c>
      <c r="AE48" s="17"/>
      <c r="AF48" s="213"/>
      <c r="AG48" s="516" t="s">
        <v>2108</v>
      </c>
      <c r="AH48" s="604"/>
    </row>
    <row r="49" spans="1:42" x14ac:dyDescent="0.2">
      <c r="A49" s="656" t="s">
        <v>2111</v>
      </c>
      <c r="B49" s="17" t="s">
        <v>702</v>
      </c>
      <c r="C49" s="230"/>
      <c r="D49" s="213" t="s">
        <v>708</v>
      </c>
      <c r="E49" s="910" t="s">
        <v>1852</v>
      </c>
      <c r="F49" s="45"/>
      <c r="G49" s="19">
        <v>26.25</v>
      </c>
      <c r="H49" s="124">
        <v>14</v>
      </c>
      <c r="I49" s="409">
        <v>150</v>
      </c>
      <c r="J49" s="487" t="s">
        <v>2110</v>
      </c>
      <c r="K49" s="413">
        <v>74.900000000000006</v>
      </c>
      <c r="L49" s="451">
        <v>15.407999999999999</v>
      </c>
      <c r="M49" s="452">
        <v>15.407999999999999</v>
      </c>
      <c r="N49" s="65">
        <f>IF(AND(G49&lt;&gt;"",M49&lt;&gt;""),1000*M49/G49,"")</f>
        <v>586.97142857142853</v>
      </c>
      <c r="O49" s="65"/>
      <c r="P49" s="65"/>
      <c r="Q49" s="65">
        <v>56</v>
      </c>
      <c r="R49" s="469">
        <v>4</v>
      </c>
      <c r="S49" s="65"/>
      <c r="T49" s="65">
        <v>340</v>
      </c>
      <c r="U49" s="65"/>
      <c r="V49" s="65">
        <v>56</v>
      </c>
      <c r="W49" s="65"/>
      <c r="X49" s="110"/>
      <c r="Y49" s="81"/>
      <c r="Z49" s="141"/>
      <c r="AA49" s="378">
        <f>M49*1000/Q49</f>
        <v>275.14285714285717</v>
      </c>
      <c r="AB49" s="54"/>
      <c r="AC49" s="99">
        <f>T49/V49</f>
        <v>6.0714285714285712</v>
      </c>
      <c r="AD49" s="191">
        <f>256*36*V49/1000000</f>
        <v>0.516096</v>
      </c>
      <c r="AE49" s="17"/>
      <c r="AF49" s="213"/>
      <c r="AG49" s="516" t="s">
        <v>2112</v>
      </c>
      <c r="AH49" s="604"/>
    </row>
    <row r="50" spans="1:42" ht="13.5" thickBot="1" x14ac:dyDescent="0.25">
      <c r="A50" s="523" t="s">
        <v>1896</v>
      </c>
      <c r="B50" s="21" t="s">
        <v>702</v>
      </c>
      <c r="C50" s="232"/>
      <c r="D50" s="214" t="s">
        <v>708</v>
      </c>
      <c r="E50" s="1312" t="s">
        <v>1853</v>
      </c>
      <c r="F50" s="133" t="s">
        <v>1892</v>
      </c>
      <c r="G50" s="23">
        <v>26.25</v>
      </c>
      <c r="H50" s="125">
        <v>14</v>
      </c>
      <c r="I50" s="410">
        <v>150</v>
      </c>
      <c r="J50" s="529" t="s">
        <v>1897</v>
      </c>
      <c r="K50" s="415">
        <v>99.95</v>
      </c>
      <c r="L50" s="453">
        <v>24.623999999999999</v>
      </c>
      <c r="M50" s="454">
        <v>24.623999999999999</v>
      </c>
      <c r="N50" s="68">
        <f>IF(AND(G50&lt;&gt;"",M50&lt;&gt;""),1000*M50/G50,"")</f>
        <v>938.05714285714282</v>
      </c>
      <c r="O50" s="68"/>
      <c r="P50" s="68"/>
      <c r="Q50" s="68">
        <v>66</v>
      </c>
      <c r="R50" s="533">
        <v>4</v>
      </c>
      <c r="S50" s="68"/>
      <c r="T50" s="68">
        <v>325</v>
      </c>
      <c r="U50" s="68"/>
      <c r="V50" s="68">
        <v>66</v>
      </c>
      <c r="W50" s="68"/>
      <c r="X50" s="111"/>
      <c r="Y50" s="82"/>
      <c r="Z50" s="142"/>
      <c r="AA50" s="379">
        <f>M50*1000/Q50</f>
        <v>373.09090909090907</v>
      </c>
      <c r="AB50" s="202"/>
      <c r="AC50" s="100">
        <f>T50/V50</f>
        <v>4.9242424242424239</v>
      </c>
      <c r="AD50" s="192">
        <f>256*36*V50/1000000</f>
        <v>0.60825600000000002</v>
      </c>
      <c r="AE50" s="21"/>
      <c r="AF50" s="200"/>
      <c r="AG50" s="516" t="s">
        <v>2127</v>
      </c>
      <c r="AH50" s="493"/>
    </row>
    <row r="51" spans="1:42" ht="13.5" hidden="1" customHeight="1" x14ac:dyDescent="0.2">
      <c r="A51" s="702" t="s">
        <v>929</v>
      </c>
      <c r="B51" s="706" t="s">
        <v>1290</v>
      </c>
      <c r="C51" s="704"/>
      <c r="D51" s="705"/>
      <c r="E51" s="737" t="s">
        <v>1291</v>
      </c>
      <c r="F51" s="720"/>
      <c r="G51" s="721"/>
      <c r="H51" s="722"/>
      <c r="I51" s="723"/>
      <c r="J51" s="646"/>
      <c r="K51" s="724"/>
      <c r="L51" s="667" t="s">
        <v>1296</v>
      </c>
      <c r="M51" s="489" t="s">
        <v>696</v>
      </c>
      <c r="N51" s="60"/>
      <c r="O51" s="623"/>
      <c r="P51" s="623" t="s">
        <v>1293</v>
      </c>
      <c r="Q51" s="623"/>
      <c r="R51" s="623"/>
      <c r="S51" s="623"/>
      <c r="T51" s="623"/>
      <c r="U51" s="623"/>
      <c r="V51" s="623"/>
      <c r="W51" s="624" t="s">
        <v>1306</v>
      </c>
      <c r="X51" s="725" t="s">
        <v>1307</v>
      </c>
      <c r="Y51" s="726"/>
      <c r="Z51" s="164"/>
      <c r="AA51" s="676"/>
      <c r="AB51" s="727"/>
      <c r="AC51" s="105"/>
      <c r="AD51" s="514"/>
      <c r="AE51" s="604" t="s">
        <v>1302</v>
      </c>
      <c r="AF51" s="604"/>
      <c r="AG51" s="665"/>
      <c r="AH51"/>
    </row>
    <row r="52" spans="1:42" ht="13.5" hidden="1" customHeight="1" thickBot="1" x14ac:dyDescent="0.25">
      <c r="A52" s="702" t="s">
        <v>929</v>
      </c>
      <c r="B52" s="703" t="s">
        <v>701</v>
      </c>
      <c r="C52" s="704"/>
      <c r="D52" s="705"/>
      <c r="E52" s="707" t="s">
        <v>1313</v>
      </c>
      <c r="F52" s="614" t="s">
        <v>1304</v>
      </c>
      <c r="G52" s="615">
        <v>21.01</v>
      </c>
      <c r="H52" s="125">
        <v>16</v>
      </c>
      <c r="I52" s="653">
        <v>72</v>
      </c>
      <c r="J52" s="735" t="s">
        <v>1311</v>
      </c>
      <c r="K52" s="736">
        <v>99</v>
      </c>
      <c r="L52" s="669">
        <v>196</v>
      </c>
      <c r="M52" s="67">
        <v>384</v>
      </c>
      <c r="N52" s="65">
        <f>IF(AND(G52&lt;&gt;"",M52&lt;&gt;""),M52/G52,"")</f>
        <v>18.277010947168012</v>
      </c>
      <c r="O52" s="626"/>
      <c r="P52" s="626">
        <v>1</v>
      </c>
      <c r="Q52" s="626"/>
      <c r="R52" s="626" t="s">
        <v>697</v>
      </c>
      <c r="S52" s="626"/>
      <c r="T52" s="626">
        <v>62</v>
      </c>
      <c r="U52" s="626"/>
      <c r="V52" s="626"/>
      <c r="W52" s="730" t="s">
        <v>1301</v>
      </c>
      <c r="X52" s="731" t="s">
        <v>1295</v>
      </c>
      <c r="Y52" s="631"/>
      <c r="Z52" s="142"/>
      <c r="AA52" s="718"/>
      <c r="AB52" s="621"/>
      <c r="AC52" s="100"/>
      <c r="AD52" s="192"/>
      <c r="AE52" s="604" t="s">
        <v>1309</v>
      </c>
      <c r="AF52" s="604"/>
      <c r="AG52" s="665"/>
      <c r="AH52"/>
    </row>
    <row r="53" spans="1:42" ht="13.5" customHeight="1" x14ac:dyDescent="0.2">
      <c r="A53" s="702" t="s">
        <v>929</v>
      </c>
      <c r="B53" s="915" t="s">
        <v>1290</v>
      </c>
      <c r="C53" s="660"/>
      <c r="D53" s="1017"/>
      <c r="E53" s="737" t="s">
        <v>1469</v>
      </c>
      <c r="F53" s="720"/>
      <c r="G53" s="721"/>
      <c r="H53" s="722"/>
      <c r="I53" s="723"/>
      <c r="J53" s="1018"/>
      <c r="K53" s="1109"/>
      <c r="L53" s="1108" t="s">
        <v>1296</v>
      </c>
      <c r="M53" s="489" t="s">
        <v>696</v>
      </c>
      <c r="N53" s="60"/>
      <c r="O53" s="623"/>
      <c r="P53" s="623" t="s">
        <v>1292</v>
      </c>
      <c r="Q53" s="623"/>
      <c r="R53" s="623"/>
      <c r="S53" s="623"/>
      <c r="T53" s="623"/>
      <c r="U53" s="623"/>
      <c r="V53" s="623"/>
      <c r="W53" s="624" t="s">
        <v>1306</v>
      </c>
      <c r="X53" s="725" t="s">
        <v>1307</v>
      </c>
      <c r="Y53" s="726"/>
      <c r="Z53" s="206"/>
      <c r="AA53" s="989"/>
      <c r="AB53" s="727"/>
      <c r="AC53" s="105"/>
      <c r="AD53" s="514"/>
      <c r="AE53" s="991" t="s">
        <v>1308</v>
      </c>
      <c r="AF53" s="992"/>
      <c r="AG53" s="665"/>
      <c r="AH53" s="237"/>
      <c r="AI53" s="237"/>
      <c r="AJ53" s="237"/>
      <c r="AK53" s="237"/>
      <c r="AL53" s="237"/>
      <c r="AM53" s="237"/>
      <c r="AN53" s="237"/>
    </row>
    <row r="54" spans="1:42" ht="13.5" customHeight="1" x14ac:dyDescent="0.2">
      <c r="A54" s="1016" t="s">
        <v>1290</v>
      </c>
      <c r="B54" s="1097"/>
      <c r="C54" s="671"/>
      <c r="D54" s="1098"/>
      <c r="E54" s="1019" t="s">
        <v>1428</v>
      </c>
      <c r="F54" s="742"/>
      <c r="G54" s="743"/>
      <c r="H54" s="1099"/>
      <c r="I54" s="1100"/>
      <c r="J54" s="1111" t="s">
        <v>1668</v>
      </c>
      <c r="K54" s="1110">
        <v>4</v>
      </c>
      <c r="L54" s="1101"/>
      <c r="M54" s="1102"/>
      <c r="N54" s="70"/>
      <c r="O54" s="627"/>
      <c r="P54" s="627"/>
      <c r="Q54" s="627"/>
      <c r="R54" s="627"/>
      <c r="S54" s="627"/>
      <c r="T54" s="627"/>
      <c r="U54" s="1103"/>
      <c r="V54" s="627"/>
      <c r="W54" s="45" t="s">
        <v>1429</v>
      </c>
      <c r="X54" s="45" t="s">
        <v>1430</v>
      </c>
      <c r="Y54" s="1104"/>
      <c r="Z54" s="464"/>
      <c r="AA54" s="1105"/>
      <c r="AB54" s="1106"/>
      <c r="AC54" s="1107"/>
      <c r="AD54" s="194"/>
      <c r="AE54" s="991"/>
      <c r="AF54" s="992"/>
      <c r="AG54" s="665" t="s">
        <v>1553</v>
      </c>
      <c r="AH54" s="237"/>
      <c r="AI54" s="237"/>
      <c r="AJ54" s="237"/>
      <c r="AK54" s="237"/>
      <c r="AL54" s="237"/>
      <c r="AM54" s="237"/>
      <c r="AN54" s="237"/>
    </row>
    <row r="55" spans="1:42" ht="13.5" customHeight="1" x14ac:dyDescent="0.2">
      <c r="A55" s="1016" t="s">
        <v>1290</v>
      </c>
      <c r="B55" s="1097"/>
      <c r="C55" s="671"/>
      <c r="D55" s="1098"/>
      <c r="E55" s="1019" t="s">
        <v>1671</v>
      </c>
      <c r="F55" s="742"/>
      <c r="G55" s="743"/>
      <c r="H55" s="1099"/>
      <c r="I55" s="1100"/>
      <c r="J55" s="1111" t="s">
        <v>1667</v>
      </c>
      <c r="K55" s="1110">
        <v>10</v>
      </c>
      <c r="L55" s="1101"/>
      <c r="M55" s="1102"/>
      <c r="N55" s="70"/>
      <c r="O55" s="627"/>
      <c r="P55" s="627"/>
      <c r="Q55" s="627"/>
      <c r="R55" s="627"/>
      <c r="S55" s="627"/>
      <c r="T55" s="627"/>
      <c r="U55" s="1103"/>
      <c r="V55" s="627"/>
      <c r="W55" s="18" t="s">
        <v>1403</v>
      </c>
      <c r="X55" s="18" t="s">
        <v>1402</v>
      </c>
      <c r="Y55" s="1104"/>
      <c r="Z55" s="464"/>
      <c r="AA55" s="1105"/>
      <c r="AB55" s="1106"/>
      <c r="AC55" s="1107"/>
      <c r="AD55" s="194"/>
      <c r="AE55" s="991"/>
      <c r="AF55" s="992"/>
      <c r="AG55" s="665" t="s">
        <v>1669</v>
      </c>
      <c r="AH55" s="237"/>
      <c r="AI55" s="237"/>
      <c r="AJ55" s="237"/>
      <c r="AK55" s="237"/>
      <c r="AL55" s="237"/>
      <c r="AM55" s="237"/>
      <c r="AN55" s="237"/>
    </row>
    <row r="56" spans="1:42" ht="13.5" customHeight="1" x14ac:dyDescent="0.2">
      <c r="A56" s="1016" t="s">
        <v>1290</v>
      </c>
      <c r="B56" s="1032"/>
      <c r="C56" s="661"/>
      <c r="D56" s="663"/>
      <c r="E56" s="1019" t="s">
        <v>1428</v>
      </c>
      <c r="F56" s="610"/>
      <c r="G56" s="611"/>
      <c r="H56" s="641"/>
      <c r="I56" s="652"/>
      <c r="J56" s="888" t="s">
        <v>1427</v>
      </c>
      <c r="K56" s="1028">
        <v>25</v>
      </c>
      <c r="L56" s="1020"/>
      <c r="M56" s="1021"/>
      <c r="N56" s="64"/>
      <c r="O56" s="625"/>
      <c r="P56" s="625"/>
      <c r="Q56" s="625"/>
      <c r="R56" s="625"/>
      <c r="S56" s="625"/>
      <c r="T56" s="625"/>
      <c r="U56" s="1022"/>
      <c r="V56" s="625"/>
      <c r="W56" s="45" t="s">
        <v>1429</v>
      </c>
      <c r="X56" s="45" t="s">
        <v>1430</v>
      </c>
      <c r="Y56" s="630"/>
      <c r="Z56" s="390"/>
      <c r="AA56" s="1023"/>
      <c r="AB56" s="620"/>
      <c r="AC56" s="1024"/>
      <c r="AD56" s="191"/>
      <c r="AE56" s="991"/>
      <c r="AF56" s="992"/>
      <c r="AG56" s="665" t="s">
        <v>1475</v>
      </c>
      <c r="AH56" s="237"/>
      <c r="AI56" s="237"/>
      <c r="AJ56" s="237"/>
      <c r="AK56" s="237"/>
      <c r="AL56" s="237"/>
      <c r="AM56" s="237"/>
      <c r="AN56" s="237"/>
    </row>
    <row r="57" spans="1:42" ht="13.5" customHeight="1" x14ac:dyDescent="0.25">
      <c r="A57" s="1016" t="s">
        <v>1472</v>
      </c>
      <c r="B57" s="1032"/>
      <c r="C57" s="661"/>
      <c r="D57" s="663"/>
      <c r="E57" s="1019" t="s">
        <v>1473</v>
      </c>
      <c r="F57" s="610"/>
      <c r="G57" s="611"/>
      <c r="H57" s="641"/>
      <c r="I57" s="652"/>
      <c r="J57" s="888" t="s">
        <v>1474</v>
      </c>
      <c r="K57" s="1028">
        <v>35</v>
      </c>
      <c r="L57" s="1020"/>
      <c r="M57" s="1021"/>
      <c r="N57" s="64"/>
      <c r="O57" s="625"/>
      <c r="P57" s="625"/>
      <c r="Q57" s="625"/>
      <c r="R57" s="625"/>
      <c r="S57" s="625"/>
      <c r="T57" s="625"/>
      <c r="U57" s="1022"/>
      <c r="V57" s="625"/>
      <c r="W57" s="18" t="s">
        <v>1403</v>
      </c>
      <c r="X57" s="18" t="s">
        <v>1402</v>
      </c>
      <c r="Y57" s="227" t="s">
        <v>1401</v>
      </c>
      <c r="Z57" s="544">
        <v>67</v>
      </c>
      <c r="AA57" s="984"/>
      <c r="AB57" s="17"/>
      <c r="AC57" s="188"/>
      <c r="AD57" s="637"/>
      <c r="AE57" s="993"/>
      <c r="AF57" s="994"/>
      <c r="AG57" s="1191" t="s">
        <v>1673</v>
      </c>
      <c r="AH57" s="995"/>
      <c r="AI57" s="392"/>
      <c r="AJ57" s="237"/>
      <c r="AK57" s="237"/>
      <c r="AL57" s="237"/>
      <c r="AM57" s="237"/>
      <c r="AN57" s="237"/>
    </row>
    <row r="58" spans="1:42" ht="13.5" customHeight="1" x14ac:dyDescent="0.25">
      <c r="A58" s="544" t="s">
        <v>1399</v>
      </c>
      <c r="B58" s="17"/>
      <c r="C58" s="227"/>
      <c r="D58" s="213"/>
      <c r="E58" s="17" t="s">
        <v>1400</v>
      </c>
      <c r="F58" s="227"/>
      <c r="G58" s="227"/>
      <c r="H58" s="227"/>
      <c r="I58" s="213"/>
      <c r="J58" s="487" t="s">
        <v>1398</v>
      </c>
      <c r="K58" s="986">
        <v>49.99</v>
      </c>
      <c r="L58" s="985"/>
      <c r="M58" s="972"/>
      <c r="N58" s="889"/>
      <c r="O58" s="889"/>
      <c r="P58" s="973"/>
      <c r="Q58" s="227"/>
      <c r="R58" s="227"/>
      <c r="S58" s="227"/>
      <c r="T58" s="227"/>
      <c r="U58" s="188"/>
      <c r="V58" s="974"/>
      <c r="W58" s="18" t="s">
        <v>1403</v>
      </c>
      <c r="X58" s="18" t="s">
        <v>1402</v>
      </c>
      <c r="Y58" s="227" t="s">
        <v>1401</v>
      </c>
      <c r="Z58" s="544">
        <v>67</v>
      </c>
      <c r="AA58" s="984"/>
      <c r="AB58" s="17"/>
      <c r="AC58" s="188"/>
      <c r="AD58" s="637"/>
      <c r="AE58" s="993"/>
      <c r="AF58" s="994"/>
      <c r="AG58" s="1191" t="s">
        <v>1673</v>
      </c>
      <c r="AH58" s="995"/>
      <c r="AI58" s="392"/>
      <c r="AJ58" s="996"/>
      <c r="AK58" s="996"/>
      <c r="AL58" s="997"/>
      <c r="AM58" s="998"/>
      <c r="AN58" s="992"/>
      <c r="AO58" s="604"/>
      <c r="AP58" s="665"/>
    </row>
    <row r="59" spans="1:42" ht="13.5" customHeight="1" x14ac:dyDescent="0.25">
      <c r="A59" s="544"/>
      <c r="B59" s="17"/>
      <c r="C59" s="227"/>
      <c r="D59" s="213"/>
      <c r="E59" s="17" t="s">
        <v>1400</v>
      </c>
      <c r="F59" s="227"/>
      <c r="G59" s="227"/>
      <c r="H59" s="227"/>
      <c r="I59" s="213"/>
      <c r="J59" s="487" t="s">
        <v>1404</v>
      </c>
      <c r="K59" s="986">
        <v>50</v>
      </c>
      <c r="L59" s="985"/>
      <c r="M59" s="972"/>
      <c r="N59" s="889"/>
      <c r="O59" s="889"/>
      <c r="P59" s="973"/>
      <c r="Q59" s="227"/>
      <c r="R59" s="227"/>
      <c r="S59" s="227"/>
      <c r="T59" s="227"/>
      <c r="U59" s="188"/>
      <c r="V59" s="974"/>
      <c r="W59" s="18" t="s">
        <v>1403</v>
      </c>
      <c r="X59" s="18" t="s">
        <v>1402</v>
      </c>
      <c r="Y59" s="227" t="s">
        <v>1401</v>
      </c>
      <c r="Z59" s="544">
        <v>67</v>
      </c>
      <c r="AA59" s="984"/>
      <c r="AB59" s="17"/>
      <c r="AC59" s="188"/>
      <c r="AD59" s="637"/>
      <c r="AE59" s="993"/>
      <c r="AF59" s="994"/>
      <c r="AG59" s="1191" t="s">
        <v>1673</v>
      </c>
      <c r="AH59" s="995"/>
      <c r="AI59" s="392"/>
      <c r="AJ59" s="996"/>
      <c r="AK59" s="996"/>
      <c r="AL59" s="997"/>
      <c r="AM59" s="998"/>
      <c r="AN59" s="992"/>
      <c r="AO59" s="604"/>
      <c r="AP59" s="665"/>
    </row>
    <row r="60" spans="1:42" ht="13.5" customHeight="1" x14ac:dyDescent="0.25">
      <c r="A60" s="544" t="s">
        <v>1399</v>
      </c>
      <c r="B60" s="17"/>
      <c r="C60" s="227"/>
      <c r="D60" s="213"/>
      <c r="E60" s="17" t="s">
        <v>1400</v>
      </c>
      <c r="F60" s="227"/>
      <c r="G60" s="227"/>
      <c r="H60" s="227"/>
      <c r="I60" s="213"/>
      <c r="J60" s="487" t="s">
        <v>1405</v>
      </c>
      <c r="K60" s="986">
        <v>74.989999999999995</v>
      </c>
      <c r="L60" s="985"/>
      <c r="M60" s="972"/>
      <c r="N60" s="889"/>
      <c r="O60" s="889"/>
      <c r="P60" s="973"/>
      <c r="Q60" s="227"/>
      <c r="R60" s="227"/>
      <c r="S60" s="227"/>
      <c r="T60" s="227"/>
      <c r="U60" s="188"/>
      <c r="V60" s="974"/>
      <c r="W60" s="18" t="s">
        <v>1403</v>
      </c>
      <c r="X60" s="18" t="s">
        <v>1402</v>
      </c>
      <c r="Y60" s="227" t="s">
        <v>1401</v>
      </c>
      <c r="Z60" s="544">
        <v>67</v>
      </c>
      <c r="AA60" s="984"/>
      <c r="AB60" s="17"/>
      <c r="AC60" s="188"/>
      <c r="AD60" s="637"/>
      <c r="AE60" s="993"/>
      <c r="AF60" s="994"/>
      <c r="AG60" s="1191" t="s">
        <v>1673</v>
      </c>
      <c r="AH60" s="995"/>
      <c r="AI60" s="392"/>
      <c r="AJ60" s="996"/>
      <c r="AK60" s="996"/>
      <c r="AL60" s="997"/>
      <c r="AM60" s="998"/>
      <c r="AN60" s="992"/>
      <c r="AO60" s="604"/>
      <c r="AP60" s="665"/>
    </row>
    <row r="61" spans="1:42" ht="15" customHeight="1" thickBot="1" x14ac:dyDescent="0.25">
      <c r="A61" s="702" t="s">
        <v>929</v>
      </c>
      <c r="B61" s="613" t="s">
        <v>701</v>
      </c>
      <c r="C61" s="662"/>
      <c r="D61" s="664"/>
      <c r="E61" s="975" t="s">
        <v>1312</v>
      </c>
      <c r="F61" s="614" t="s">
        <v>1304</v>
      </c>
      <c r="G61" s="615">
        <v>21.23</v>
      </c>
      <c r="H61" s="642">
        <v>16</v>
      </c>
      <c r="I61" s="653">
        <v>70</v>
      </c>
      <c r="J61" s="1025" t="s">
        <v>1310</v>
      </c>
      <c r="K61" s="1027">
        <v>99</v>
      </c>
      <c r="L61" s="1026">
        <v>196</v>
      </c>
      <c r="M61" s="976">
        <v>384</v>
      </c>
      <c r="N61" s="71">
        <f>IF(AND(G61&lt;&gt;"",M61&lt;&gt;""),M61/G61,"")</f>
        <v>18.087611869995289</v>
      </c>
      <c r="O61" s="977"/>
      <c r="P61" s="977">
        <v>1</v>
      </c>
      <c r="Q61" s="977"/>
      <c r="R61" s="977" t="s">
        <v>697</v>
      </c>
      <c r="S61" s="977"/>
      <c r="T61" s="977">
        <v>60</v>
      </c>
      <c r="U61" s="977"/>
      <c r="V61" s="977"/>
      <c r="W61" s="978" t="s">
        <v>1295</v>
      </c>
      <c r="X61" s="979" t="s">
        <v>1294</v>
      </c>
      <c r="Y61" s="980"/>
      <c r="Z61" s="982"/>
      <c r="AA61" s="990"/>
      <c r="AB61" s="988"/>
      <c r="AC61" s="987"/>
      <c r="AD61" s="981"/>
      <c r="AE61" s="991"/>
      <c r="AF61" s="992"/>
      <c r="AG61" s="665"/>
      <c r="AH61" s="237"/>
      <c r="AI61" s="237"/>
      <c r="AJ61" s="237"/>
      <c r="AK61" s="237"/>
      <c r="AL61" s="237"/>
      <c r="AM61" s="237"/>
      <c r="AN61" s="237"/>
    </row>
    <row r="62" spans="1:42" x14ac:dyDescent="0.2">
      <c r="A62" s="183"/>
      <c r="B62" s="448" t="s">
        <v>2202</v>
      </c>
      <c r="C62" s="1213"/>
      <c r="D62" s="300"/>
      <c r="E62" s="448" t="s">
        <v>2201</v>
      </c>
      <c r="F62" s="1379" t="s">
        <v>1017</v>
      </c>
      <c r="G62" s="14" t="s">
        <v>22</v>
      </c>
      <c r="H62" s="1376" t="s">
        <v>513</v>
      </c>
      <c r="I62" s="165"/>
      <c r="J62" s="1386"/>
      <c r="K62" s="1387"/>
      <c r="L62" s="1380" t="s">
        <v>1316</v>
      </c>
      <c r="M62" s="1374"/>
      <c r="N62" s="380">
        <f>AVERAGE(N63:N63)</f>
        <v>1004.6258503401361</v>
      </c>
      <c r="O62" s="61"/>
      <c r="P62" s="61"/>
      <c r="Q62" s="382" t="s">
        <v>2213</v>
      </c>
      <c r="R62" s="61"/>
      <c r="S62" s="399" t="s">
        <v>2215</v>
      </c>
      <c r="T62" s="61"/>
      <c r="U62" s="1375"/>
      <c r="V62" s="399" t="s">
        <v>2214</v>
      </c>
      <c r="W62" s="61" t="s">
        <v>634</v>
      </c>
      <c r="X62" s="113"/>
      <c r="Y62" s="171"/>
      <c r="Z62" s="164"/>
      <c r="AA62" s="370">
        <f>AVERAGE(AA63:AA63)</f>
        <v>923</v>
      </c>
      <c r="AB62" s="1388"/>
      <c r="AC62" s="105"/>
      <c r="AD62" s="109" t="s">
        <v>650</v>
      </c>
      <c r="AE62" s="237"/>
      <c r="AF62" s="1183"/>
      <c r="AG62" s="492" t="s">
        <v>2217</v>
      </c>
      <c r="AH62"/>
    </row>
    <row r="63" spans="1:42" x14ac:dyDescent="0.2">
      <c r="A63" s="523" t="s">
        <v>2242</v>
      </c>
      <c r="B63" s="41" t="s">
        <v>2218</v>
      </c>
      <c r="C63" s="230"/>
      <c r="D63" s="229" t="s">
        <v>708</v>
      </c>
      <c r="E63" s="41" t="s">
        <v>2204</v>
      </c>
      <c r="F63" s="1517">
        <v>49</v>
      </c>
      <c r="G63" s="1518">
        <v>7.35</v>
      </c>
      <c r="H63" s="124">
        <v>3</v>
      </c>
      <c r="I63" s="162">
        <v>59</v>
      </c>
      <c r="J63" s="487" t="s">
        <v>2241</v>
      </c>
      <c r="K63" s="1516">
        <v>38</v>
      </c>
      <c r="L63" s="521">
        <v>7.3840000000000003</v>
      </c>
      <c r="M63" s="521">
        <v>7.3840000000000003</v>
      </c>
      <c r="N63" s="65">
        <f>IF(AND(G63&lt;&gt;"",M63&lt;&gt;""),1000*M63/G63,"")</f>
        <v>1004.6258503401361</v>
      </c>
      <c r="O63" s="65"/>
      <c r="P63" s="65"/>
      <c r="Q63" s="282">
        <v>8</v>
      </c>
      <c r="R63" s="73">
        <v>5</v>
      </c>
      <c r="S63" s="496"/>
      <c r="T63" s="73">
        <v>97</v>
      </c>
      <c r="U63" s="531"/>
      <c r="V63" s="73">
        <v>24</v>
      </c>
      <c r="W63" s="73"/>
      <c r="X63" s="112"/>
      <c r="Y63" s="84"/>
      <c r="Z63" s="173"/>
      <c r="AA63" s="376">
        <f>1000*M63/Q63</f>
        <v>923</v>
      </c>
      <c r="AB63" s="1519"/>
      <c r="AC63" s="101"/>
      <c r="AD63" s="1520">
        <f>(V63*5120)/1000000</f>
        <v>0.12288</v>
      </c>
      <c r="AE63" s="237"/>
      <c r="AF63" s="1183"/>
      <c r="AG63" s="492" t="s">
        <v>2243</v>
      </c>
      <c r="AH63"/>
    </row>
    <row r="64" spans="1:42" ht="13.5" thickBot="1" x14ac:dyDescent="0.25">
      <c r="A64" s="523" t="s">
        <v>2242</v>
      </c>
      <c r="B64" s="41" t="s">
        <v>2218</v>
      </c>
      <c r="C64" s="230"/>
      <c r="D64" s="229" t="s">
        <v>708</v>
      </c>
      <c r="E64" s="41" t="s">
        <v>2204</v>
      </c>
      <c r="F64" s="1517">
        <v>49</v>
      </c>
      <c r="G64" s="1518">
        <v>7.35</v>
      </c>
      <c r="H64" s="124">
        <v>3</v>
      </c>
      <c r="I64" s="162">
        <v>59</v>
      </c>
      <c r="J64" s="487" t="s">
        <v>2346</v>
      </c>
      <c r="K64" s="1516">
        <v>35</v>
      </c>
      <c r="L64" s="521">
        <v>7.3840000000000003</v>
      </c>
      <c r="M64" s="521">
        <v>7.3840000000000003</v>
      </c>
      <c r="N64" s="65">
        <f>IF(AND(G64&lt;&gt;"",M64&lt;&gt;""),1000*M64/G64,"")</f>
        <v>1004.6258503401361</v>
      </c>
      <c r="O64" s="65"/>
      <c r="P64" s="65"/>
      <c r="Q64" s="282">
        <v>8</v>
      </c>
      <c r="R64" s="73">
        <v>5</v>
      </c>
      <c r="S64" s="496"/>
      <c r="T64" s="73">
        <v>97</v>
      </c>
      <c r="U64" s="531"/>
      <c r="V64" s="73">
        <v>24</v>
      </c>
      <c r="W64" s="73"/>
      <c r="X64" s="112"/>
      <c r="Y64" s="84"/>
      <c r="Z64" s="173"/>
      <c r="AA64" s="376">
        <f>1000*M64/Q64</f>
        <v>923</v>
      </c>
      <c r="AB64" s="1519"/>
      <c r="AC64" s="101"/>
      <c r="AD64" s="1520">
        <f>(V64*5120)/1000000</f>
        <v>0.12288</v>
      </c>
      <c r="AE64" s="237"/>
      <c r="AF64" s="1183"/>
      <c r="AG64" s="492" t="s">
        <v>2347</v>
      </c>
      <c r="AH64"/>
    </row>
    <row r="65" spans="1:34" ht="13.5" customHeight="1" x14ac:dyDescent="0.2">
      <c r="A65" s="183"/>
      <c r="B65" s="48" t="s">
        <v>2128</v>
      </c>
      <c r="C65" s="226"/>
      <c r="D65" s="212"/>
      <c r="E65" s="12" t="s">
        <v>2129</v>
      </c>
      <c r="F65" s="466" t="s">
        <v>1584</v>
      </c>
      <c r="G65" s="14" t="s">
        <v>22</v>
      </c>
      <c r="H65" s="1029" t="s">
        <v>2130</v>
      </c>
      <c r="I65" s="161"/>
      <c r="J65" s="145"/>
      <c r="K65" s="16" t="s">
        <v>22</v>
      </c>
      <c r="L65" s="244" t="s">
        <v>23</v>
      </c>
      <c r="M65" s="60"/>
      <c r="N65" s="385">
        <f>AVERAGE(N67:N71)</f>
        <v>891.99154301242413</v>
      </c>
      <c r="O65" s="61"/>
      <c r="P65" s="399" t="s">
        <v>2134</v>
      </c>
      <c r="Q65" s="399" t="s">
        <v>92</v>
      </c>
      <c r="R65" s="61"/>
      <c r="S65" s="399" t="s">
        <v>2144</v>
      </c>
      <c r="T65" s="399"/>
      <c r="U65" s="399"/>
      <c r="V65" s="468" t="s">
        <v>2146</v>
      </c>
      <c r="W65" s="61" t="s">
        <v>66</v>
      </c>
      <c r="X65" s="522" t="s">
        <v>158</v>
      </c>
      <c r="Y65" s="80"/>
      <c r="Z65" s="164"/>
      <c r="AA65" s="373"/>
      <c r="AB65" s="92">
        <f>AVERAGE(AB67:AB71)</f>
        <v>555.55555555555554</v>
      </c>
      <c r="AC65" s="98">
        <f>AVERAGE(AC67:AC71)</f>
        <v>11.037037037037038</v>
      </c>
      <c r="AD65" s="109" t="s">
        <v>650</v>
      </c>
      <c r="AG65" s="471" t="s">
        <v>2147</v>
      </c>
      <c r="AH65"/>
    </row>
    <row r="66" spans="1:34" x14ac:dyDescent="0.2">
      <c r="A66" s="182" t="s">
        <v>2407</v>
      </c>
      <c r="B66" s="36" t="s">
        <v>701</v>
      </c>
      <c r="C66" s="227"/>
      <c r="D66" s="470"/>
      <c r="E66" s="1036" t="s">
        <v>2268</v>
      </c>
      <c r="F66" s="45" t="s">
        <v>2131</v>
      </c>
      <c r="G66" s="19"/>
      <c r="H66" s="1538">
        <v>1.8</v>
      </c>
      <c r="I66" s="162">
        <v>11</v>
      </c>
      <c r="J66" s="465" t="s">
        <v>2421</v>
      </c>
      <c r="K66" s="681">
        <v>5.9</v>
      </c>
      <c r="L66" s="1325">
        <v>1152</v>
      </c>
      <c r="M66" s="1326">
        <f>L66</f>
        <v>1152</v>
      </c>
      <c r="N66" s="65"/>
      <c r="O66" s="65"/>
      <c r="P66" s="65"/>
      <c r="Q66" s="65"/>
      <c r="R66" s="469" t="s">
        <v>2155</v>
      </c>
      <c r="S66" s="65"/>
      <c r="T66" s="65">
        <v>25</v>
      </c>
      <c r="U66" s="65"/>
      <c r="V66" s="65">
        <v>4</v>
      </c>
      <c r="W66" s="469" t="s">
        <v>2159</v>
      </c>
      <c r="X66" s="110">
        <f>L66/8</f>
        <v>144</v>
      </c>
      <c r="Y66" s="81"/>
      <c r="Z66" s="141"/>
      <c r="AA66" s="371"/>
      <c r="AB66" s="54"/>
      <c r="AC66" s="99">
        <f>T66/V66</f>
        <v>6.25</v>
      </c>
      <c r="AD66" s="191">
        <f>V66*18*1024/1000000</f>
        <v>7.3728000000000002E-2</v>
      </c>
      <c r="AF66" s="6"/>
      <c r="AG66" s="236" t="s">
        <v>2222</v>
      </c>
      <c r="AH66"/>
    </row>
    <row r="67" spans="1:34" x14ac:dyDescent="0.2">
      <c r="A67" s="182" t="s">
        <v>2407</v>
      </c>
      <c r="B67" s="36" t="s">
        <v>701</v>
      </c>
      <c r="C67" s="296"/>
      <c r="D67" s="470"/>
      <c r="E67" s="1036" t="s">
        <v>2271</v>
      </c>
      <c r="F67" s="45" t="s">
        <v>2136</v>
      </c>
      <c r="G67" s="19"/>
      <c r="H67" s="1538">
        <v>4.5</v>
      </c>
      <c r="I67" s="162">
        <v>68</v>
      </c>
      <c r="J67" s="465" t="s">
        <v>2422</v>
      </c>
      <c r="K67" s="681">
        <v>17.989999999999998</v>
      </c>
      <c r="L67" s="1325">
        <v>4068</v>
      </c>
      <c r="M67" s="1326">
        <f>L67</f>
        <v>4068</v>
      </c>
      <c r="N67" s="65"/>
      <c r="O67" s="65"/>
      <c r="P67" s="65">
        <v>1</v>
      </c>
      <c r="Q67" s="65">
        <v>16</v>
      </c>
      <c r="R67" s="469" t="s">
        <v>2138</v>
      </c>
      <c r="S67" s="65"/>
      <c r="T67" s="65">
        <v>70</v>
      </c>
      <c r="U67" s="65"/>
      <c r="V67" s="65">
        <v>10</v>
      </c>
      <c r="W67" s="469" t="s">
        <v>2137</v>
      </c>
      <c r="X67" s="110">
        <f>L67/8</f>
        <v>508.5</v>
      </c>
      <c r="Y67" s="81"/>
      <c r="Z67" s="141"/>
      <c r="AA67" s="371">
        <f>L67/Q67</f>
        <v>254.25</v>
      </c>
      <c r="AB67" s="54"/>
      <c r="AC67" s="99">
        <f>T67/V67</f>
        <v>7</v>
      </c>
      <c r="AD67" s="191">
        <f>V67*18*1024/1000000</f>
        <v>0.18432000000000001</v>
      </c>
      <c r="AF67" s="6"/>
      <c r="AG67" s="516" t="s">
        <v>2139</v>
      </c>
      <c r="AH67"/>
    </row>
    <row r="68" spans="1:34" ht="13.5" thickBot="1" x14ac:dyDescent="0.25">
      <c r="A68" s="182" t="s">
        <v>2407</v>
      </c>
      <c r="B68" s="36" t="s">
        <v>701</v>
      </c>
      <c r="C68" s="296"/>
      <c r="D68" s="470"/>
      <c r="E68" s="1036" t="s">
        <v>2271</v>
      </c>
      <c r="F68" s="45" t="s">
        <v>2136</v>
      </c>
      <c r="G68" s="19"/>
      <c r="H68" s="1538">
        <v>4.5</v>
      </c>
      <c r="I68" s="162">
        <v>68</v>
      </c>
      <c r="J68" s="465" t="s">
        <v>2593</v>
      </c>
      <c r="K68" s="681">
        <v>29.9</v>
      </c>
      <c r="L68" s="1325">
        <v>4068</v>
      </c>
      <c r="M68" s="1326">
        <f>L68</f>
        <v>4068</v>
      </c>
      <c r="N68" s="65"/>
      <c r="O68" s="65"/>
      <c r="P68" s="65">
        <v>1</v>
      </c>
      <c r="Q68" s="65">
        <v>16</v>
      </c>
      <c r="R68" s="469" t="s">
        <v>2138</v>
      </c>
      <c r="S68" s="65"/>
      <c r="T68" s="65">
        <v>70</v>
      </c>
      <c r="U68" s="65"/>
      <c r="V68" s="65">
        <v>10</v>
      </c>
      <c r="W68" s="469" t="s">
        <v>2137</v>
      </c>
      <c r="X68" s="110">
        <f>L68/8</f>
        <v>508.5</v>
      </c>
      <c r="Y68" s="81"/>
      <c r="Z68" s="141"/>
      <c r="AA68" s="371">
        <f>L68/Q68</f>
        <v>254.25</v>
      </c>
      <c r="AB68" s="54"/>
      <c r="AC68" s="99">
        <f>T68/V68</f>
        <v>7</v>
      </c>
      <c r="AD68" s="191">
        <f>V68*18*1024/1000000</f>
        <v>0.18432000000000001</v>
      </c>
      <c r="AF68" s="6"/>
      <c r="AG68" s="516"/>
      <c r="AH68"/>
    </row>
    <row r="69" spans="1:34" ht="15.75" customHeight="1" x14ac:dyDescent="0.2">
      <c r="A69" s="182"/>
      <c r="B69" s="48" t="s">
        <v>716</v>
      </c>
      <c r="C69" s="226"/>
      <c r="D69" s="212"/>
      <c r="E69" s="12" t="s">
        <v>514</v>
      </c>
      <c r="F69" s="13"/>
      <c r="G69" s="14" t="s">
        <v>22</v>
      </c>
      <c r="H69" s="132" t="s">
        <v>528</v>
      </c>
      <c r="I69" s="161"/>
      <c r="J69" s="145"/>
      <c r="K69" s="412"/>
      <c r="L69" s="411" t="s">
        <v>23</v>
      </c>
      <c r="M69" s="60"/>
      <c r="N69" s="382"/>
      <c r="O69" s="61"/>
      <c r="P69" s="61"/>
      <c r="Q69" s="61"/>
      <c r="R69" s="61"/>
      <c r="S69" s="61"/>
      <c r="T69" s="61"/>
      <c r="U69" s="61"/>
      <c r="V69" s="62" t="s">
        <v>206</v>
      </c>
      <c r="W69" s="61" t="s">
        <v>66</v>
      </c>
      <c r="X69" s="109" t="s">
        <v>158</v>
      </c>
      <c r="Y69" s="80"/>
      <c r="Z69" s="164"/>
      <c r="AA69" s="372"/>
      <c r="AB69" s="92"/>
      <c r="AC69" s="98"/>
      <c r="AD69" s="109" t="s">
        <v>650</v>
      </c>
      <c r="AG69" s="269" t="s">
        <v>329</v>
      </c>
    </row>
    <row r="70" spans="1:34" ht="13.5" thickBot="1" x14ac:dyDescent="0.25">
      <c r="A70" s="182" t="s">
        <v>901</v>
      </c>
      <c r="B70" s="41" t="s">
        <v>701</v>
      </c>
      <c r="C70" s="230" t="s">
        <v>697</v>
      </c>
      <c r="D70" s="213" t="s">
        <v>708</v>
      </c>
      <c r="E70" s="118" t="s">
        <v>515</v>
      </c>
      <c r="F70" s="45" t="s">
        <v>1125</v>
      </c>
      <c r="G70" s="19">
        <v>13.2</v>
      </c>
      <c r="H70" s="124">
        <v>8</v>
      </c>
      <c r="I70" s="409">
        <v>86</v>
      </c>
      <c r="J70" s="487" t="s">
        <v>1011</v>
      </c>
      <c r="K70" s="413">
        <v>29</v>
      </c>
      <c r="L70" s="253">
        <f>8*X70</f>
        <v>5000</v>
      </c>
      <c r="M70" s="151">
        <f>8*X70</f>
        <v>5000</v>
      </c>
      <c r="N70" s="65">
        <f>IF(AND(G70&lt;&gt;"",M70&lt;&gt;""),M70/G70,"")</f>
        <v>378.78787878787881</v>
      </c>
      <c r="O70" s="65">
        <f>IF(AND(G70&lt;&gt;"",L70&lt;&gt;""),L70/G70,"")</f>
        <v>378.78787878787881</v>
      </c>
      <c r="P70" s="65"/>
      <c r="Q70" s="65">
        <v>12</v>
      </c>
      <c r="R70" s="68">
        <v>2</v>
      </c>
      <c r="S70" s="68"/>
      <c r="T70" s="68">
        <v>172</v>
      </c>
      <c r="U70" s="68"/>
      <c r="V70" s="68">
        <v>9</v>
      </c>
      <c r="W70" s="68"/>
      <c r="X70" s="111">
        <v>625</v>
      </c>
      <c r="Y70" s="217"/>
      <c r="Z70" s="142" t="str">
        <f>IF(AND(L70&lt;&gt;"",Y70&lt;&gt;""),L70/Y70,"")</f>
        <v/>
      </c>
      <c r="AA70" s="374">
        <f>L70/Q70</f>
        <v>416.66666666666669</v>
      </c>
      <c r="AB70" s="55">
        <f>L70/V70</f>
        <v>555.55555555555554</v>
      </c>
      <c r="AC70" s="100">
        <f>T70/V70</f>
        <v>19.111111111111111</v>
      </c>
      <c r="AD70" s="192">
        <f>512*36*V70/1000000</f>
        <v>0.16588800000000001</v>
      </c>
      <c r="AF70" s="6"/>
      <c r="AG70" s="236"/>
    </row>
    <row r="71" spans="1:34" ht="13.5" customHeight="1" x14ac:dyDescent="0.2">
      <c r="A71" s="182"/>
      <c r="B71" s="48" t="s">
        <v>716</v>
      </c>
      <c r="C71" s="226"/>
      <c r="D71" s="212"/>
      <c r="E71" s="12" t="s">
        <v>718</v>
      </c>
      <c r="F71" s="466" t="s">
        <v>1015</v>
      </c>
      <c r="G71" s="14" t="s">
        <v>22</v>
      </c>
      <c r="H71" s="132" t="s">
        <v>528</v>
      </c>
      <c r="I71" s="161"/>
      <c r="J71" s="145"/>
      <c r="K71" s="16" t="s">
        <v>22</v>
      </c>
      <c r="L71" s="244" t="s">
        <v>23</v>
      </c>
      <c r="M71" s="60"/>
      <c r="N71" s="380">
        <f>AVERAGE(N72:N94)</f>
        <v>1405.1952072369695</v>
      </c>
      <c r="O71" s="61"/>
      <c r="P71" s="61"/>
      <c r="Q71" s="61"/>
      <c r="R71" s="61"/>
      <c r="S71" s="61"/>
      <c r="T71" s="61"/>
      <c r="U71" s="61"/>
      <c r="V71" s="62" t="s">
        <v>206</v>
      </c>
      <c r="W71" s="61" t="s">
        <v>66</v>
      </c>
      <c r="X71" s="109" t="s">
        <v>158</v>
      </c>
      <c r="Y71" s="80"/>
      <c r="Z71" s="164"/>
      <c r="AA71" s="372"/>
      <c r="AB71" s="92"/>
      <c r="AC71" s="98"/>
      <c r="AD71" s="109" t="s">
        <v>650</v>
      </c>
      <c r="AE71" s="268"/>
      <c r="AF71" s="237"/>
      <c r="AG71" s="269" t="s">
        <v>329</v>
      </c>
      <c r="AH71"/>
    </row>
    <row r="72" spans="1:34" ht="13.5" thickBot="1" x14ac:dyDescent="0.25">
      <c r="A72" s="1031" t="s">
        <v>740</v>
      </c>
      <c r="B72" s="41" t="s">
        <v>702</v>
      </c>
      <c r="C72" s="230" t="s">
        <v>697</v>
      </c>
      <c r="D72" s="213" t="s">
        <v>708</v>
      </c>
      <c r="E72" s="911" t="s">
        <v>719</v>
      </c>
      <c r="F72" s="18" t="s">
        <v>737</v>
      </c>
      <c r="G72" s="19">
        <v>78.64</v>
      </c>
      <c r="H72" s="124">
        <v>17</v>
      </c>
      <c r="I72" s="409">
        <v>133</v>
      </c>
      <c r="J72" s="529" t="s">
        <v>1104</v>
      </c>
      <c r="K72" s="419">
        <v>99</v>
      </c>
      <c r="L72" s="253">
        <v>33000</v>
      </c>
      <c r="M72" s="151">
        <v>33000</v>
      </c>
      <c r="N72" s="65">
        <f>IF(AND(G72&lt;&gt;"",M72&lt;&gt;""),M72/G72,"")</f>
        <v>419.63377416073246</v>
      </c>
      <c r="O72" s="65">
        <f>IF(AND(G72&lt;&gt;"",L72&lt;&gt;""),L72/G72,"")</f>
        <v>419.63377416073246</v>
      </c>
      <c r="P72" s="65"/>
      <c r="Q72" s="65">
        <v>64</v>
      </c>
      <c r="R72" s="65">
        <v>4</v>
      </c>
      <c r="S72" s="65">
        <v>4</v>
      </c>
      <c r="T72" s="65">
        <v>310</v>
      </c>
      <c r="U72" s="65"/>
      <c r="V72" s="65">
        <v>72</v>
      </c>
      <c r="W72" s="65"/>
      <c r="X72" s="110"/>
      <c r="Y72" s="81"/>
      <c r="Z72" s="141" t="str">
        <f>IF(AND(L72&lt;&gt;"",Y72&lt;&gt;""),L72/Y72,"")</f>
        <v/>
      </c>
      <c r="AA72" s="371">
        <f>L72/Q72</f>
        <v>515.625</v>
      </c>
      <c r="AB72" s="54">
        <f>L72/V72</f>
        <v>458.33333333333331</v>
      </c>
      <c r="AC72" s="99">
        <f>T72/V72</f>
        <v>4.3055555555555554</v>
      </c>
      <c r="AD72" s="191">
        <f>512*36*V72/1000000</f>
        <v>1.3271040000000001</v>
      </c>
      <c r="AE72" s="268"/>
      <c r="AF72" s="236"/>
      <c r="AG72" s="6"/>
    </row>
    <row r="73" spans="1:34" ht="13.5" customHeight="1" x14ac:dyDescent="0.2">
      <c r="A73" s="182"/>
      <c r="B73" s="48" t="s">
        <v>716</v>
      </c>
      <c r="C73" s="226"/>
      <c r="D73" s="212"/>
      <c r="E73" s="12" t="s">
        <v>1538</v>
      </c>
      <c r="F73" s="466" t="s">
        <v>1017</v>
      </c>
      <c r="G73" s="14" t="s">
        <v>22</v>
      </c>
      <c r="H73" s="132" t="s">
        <v>528</v>
      </c>
      <c r="I73" s="161"/>
      <c r="J73" s="1307"/>
      <c r="K73" s="412" t="s">
        <v>22</v>
      </c>
      <c r="L73" s="411" t="s">
        <v>23</v>
      </c>
      <c r="M73" s="60"/>
      <c r="N73" s="380">
        <f>AVERAGE(N74:N96)</f>
        <v>1528.3903863714991</v>
      </c>
      <c r="O73" s="61"/>
      <c r="P73" s="61"/>
      <c r="Q73" s="61"/>
      <c r="R73" s="61"/>
      <c r="S73" s="61"/>
      <c r="T73" s="61"/>
      <c r="U73" s="61"/>
      <c r="V73" s="62" t="s">
        <v>206</v>
      </c>
      <c r="W73" s="61"/>
      <c r="X73" s="109" t="s">
        <v>158</v>
      </c>
      <c r="Y73" s="80"/>
      <c r="Z73" s="164"/>
      <c r="AA73" s="372"/>
      <c r="AB73" s="92"/>
      <c r="AC73" s="98"/>
      <c r="AD73" s="109" t="s">
        <v>650</v>
      </c>
      <c r="AE73" s="268"/>
      <c r="AF73" s="237"/>
      <c r="AG73" s="269" t="s">
        <v>329</v>
      </c>
      <c r="AH73"/>
    </row>
    <row r="74" spans="1:34" x14ac:dyDescent="0.2">
      <c r="A74" s="1298" t="s">
        <v>2001</v>
      </c>
      <c r="B74" s="36"/>
      <c r="C74" s="1213"/>
      <c r="D74" s="300"/>
      <c r="E74" s="227" t="s">
        <v>2000</v>
      </c>
      <c r="F74" s="30"/>
      <c r="G74" s="19">
        <v>29.32</v>
      </c>
      <c r="H74" s="124">
        <v>10</v>
      </c>
      <c r="I74" s="162">
        <v>118</v>
      </c>
      <c r="J74" s="1552" t="s">
        <v>2002</v>
      </c>
      <c r="K74" s="1553">
        <v>45</v>
      </c>
      <c r="L74" s="253">
        <v>24000</v>
      </c>
      <c r="M74" s="151">
        <v>24000</v>
      </c>
      <c r="N74" s="65">
        <f t="shared" ref="N74:N79" si="6">IF(AND(G74&lt;&gt;"",M74&lt;&gt;""),M74/G74,"")</f>
        <v>818.55388813096863</v>
      </c>
      <c r="O74" s="65">
        <f>IF(AND(G74&lt;&gt;"",L74&lt;&gt;""),L74/G74,"")</f>
        <v>818.55388813096863</v>
      </c>
      <c r="P74" s="65"/>
      <c r="Q74" s="65">
        <v>28</v>
      </c>
      <c r="R74" s="65">
        <v>2</v>
      </c>
      <c r="S74" s="65">
        <v>2</v>
      </c>
      <c r="T74" s="65">
        <v>197</v>
      </c>
      <c r="U74" s="65"/>
      <c r="V74" s="65">
        <v>56</v>
      </c>
      <c r="W74" s="1385" t="s">
        <v>2240</v>
      </c>
      <c r="X74" s="110">
        <f>L74/8</f>
        <v>3000</v>
      </c>
      <c r="Y74" s="216"/>
      <c r="Z74" s="141" t="str">
        <f>IF(AND(L74&lt;&gt;"",Y74&lt;&gt;""),L74/Y74,"")</f>
        <v/>
      </c>
      <c r="AA74" s="371">
        <f>L74/Q74</f>
        <v>857.14285714285711</v>
      </c>
      <c r="AB74" s="54">
        <f>L74/V74</f>
        <v>428.57142857142856</v>
      </c>
      <c r="AC74" s="99">
        <f>T74/V74</f>
        <v>3.5178571428571428</v>
      </c>
      <c r="AD74" s="191">
        <f>512*36*V74/1000000</f>
        <v>1.032192</v>
      </c>
      <c r="AE74" s="268"/>
      <c r="AF74" s="236"/>
      <c r="AG74" s="6"/>
    </row>
    <row r="75" spans="1:34" x14ac:dyDescent="0.2">
      <c r="A75" s="493" t="s">
        <v>2235</v>
      </c>
      <c r="B75" s="573"/>
      <c r="C75" s="574"/>
      <c r="D75" s="554"/>
      <c r="E75" s="1003" t="s">
        <v>1730</v>
      </c>
      <c r="F75" s="45" t="s">
        <v>1678</v>
      </c>
      <c r="G75" s="1148">
        <v>6.5</v>
      </c>
      <c r="H75" s="1214">
        <v>10</v>
      </c>
      <c r="I75" s="841">
        <v>118</v>
      </c>
      <c r="J75" s="487" t="s">
        <v>2234</v>
      </c>
      <c r="K75" s="681">
        <v>115</v>
      </c>
      <c r="L75" s="1067">
        <v>12000</v>
      </c>
      <c r="M75" s="469">
        <v>12000</v>
      </c>
      <c r="N75" s="65">
        <f t="shared" si="6"/>
        <v>1846.1538461538462</v>
      </c>
      <c r="O75" s="282">
        <f>L75/G75</f>
        <v>1846.1538461538462</v>
      </c>
      <c r="P75" s="287"/>
      <c r="Q75" s="65">
        <v>28</v>
      </c>
      <c r="R75" s="65">
        <v>2</v>
      </c>
      <c r="S75" s="1004"/>
      <c r="T75" s="1004">
        <v>197</v>
      </c>
      <c r="U75" s="1004"/>
      <c r="V75" s="1152">
        <v>32</v>
      </c>
      <c r="W75" s="1004"/>
      <c r="X75" s="110">
        <f>L75/8</f>
        <v>1500</v>
      </c>
      <c r="Y75" s="216"/>
      <c r="Z75" s="141"/>
      <c r="AA75" s="371">
        <f>L75/Q75</f>
        <v>428.57142857142856</v>
      </c>
      <c r="AB75" s="54">
        <f>L75/V75</f>
        <v>375</v>
      </c>
      <c r="AC75" s="281">
        <f>T75/V75</f>
        <v>6.15625</v>
      </c>
      <c r="AD75" s="191">
        <f>512*36*V75/1000000</f>
        <v>0.58982400000000001</v>
      </c>
      <c r="AE75" s="268"/>
      <c r="AF75" s="236"/>
      <c r="AG75" s="492" t="s">
        <v>2236</v>
      </c>
    </row>
    <row r="76" spans="1:34" x14ac:dyDescent="0.2">
      <c r="A76" s="421" t="s">
        <v>2327</v>
      </c>
      <c r="B76" s="36"/>
      <c r="C76" s="1213"/>
      <c r="D76" s="300"/>
      <c r="E76" s="17" t="s">
        <v>2000</v>
      </c>
      <c r="F76" s="18"/>
      <c r="G76" s="19">
        <v>29.32</v>
      </c>
      <c r="H76" s="124">
        <v>10</v>
      </c>
      <c r="I76" s="162">
        <v>118</v>
      </c>
      <c r="J76" s="1283" t="s">
        <v>2326</v>
      </c>
      <c r="K76" s="681">
        <v>119</v>
      </c>
      <c r="L76" s="249">
        <v>24000</v>
      </c>
      <c r="M76" s="151">
        <v>24000</v>
      </c>
      <c r="N76" s="65">
        <f t="shared" si="6"/>
        <v>818.55388813096863</v>
      </c>
      <c r="O76" s="65">
        <f>IF(AND(G76&lt;&gt;"",L76&lt;&gt;""),L76/G76,"")</f>
        <v>818.55388813096863</v>
      </c>
      <c r="P76" s="65"/>
      <c r="Q76" s="65">
        <v>28</v>
      </c>
      <c r="R76" s="65">
        <v>2</v>
      </c>
      <c r="S76" s="65">
        <v>2</v>
      </c>
      <c r="T76" s="65">
        <v>197</v>
      </c>
      <c r="U76" s="65"/>
      <c r="V76" s="65">
        <v>56</v>
      </c>
      <c r="W76" s="1385" t="s">
        <v>2239</v>
      </c>
      <c r="X76" s="110">
        <f>L76/8</f>
        <v>3000</v>
      </c>
      <c r="Y76" s="216"/>
      <c r="Z76" s="141" t="str">
        <f>IF(AND(L76&lt;&gt;"",Y76&lt;&gt;""),L76/Y76,"")</f>
        <v/>
      </c>
      <c r="AA76" s="371">
        <f>L76/Q76</f>
        <v>857.14285714285711</v>
      </c>
      <c r="AB76" s="54">
        <f>L76/V76</f>
        <v>428.57142857142856</v>
      </c>
      <c r="AC76" s="99">
        <f>T76/V76</f>
        <v>3.5178571428571428</v>
      </c>
      <c r="AD76" s="191">
        <f>512*36*V76/1000000</f>
        <v>1.032192</v>
      </c>
      <c r="AE76" s="268"/>
      <c r="AF76" s="236"/>
      <c r="AG76" s="1556" t="s">
        <v>2387</v>
      </c>
    </row>
    <row r="77" spans="1:34" x14ac:dyDescent="0.2">
      <c r="A77" s="237" t="s">
        <v>2053</v>
      </c>
      <c r="B77" s="41"/>
      <c r="C77" s="230"/>
      <c r="D77" s="213"/>
      <c r="E77" s="17" t="s">
        <v>2000</v>
      </c>
      <c r="F77" s="18"/>
      <c r="G77" s="19">
        <v>29.32</v>
      </c>
      <c r="H77" s="124">
        <v>10</v>
      </c>
      <c r="I77" s="162">
        <v>118</v>
      </c>
      <c r="J77" s="1283" t="s">
        <v>2054</v>
      </c>
      <c r="K77" s="681"/>
      <c r="L77" s="249">
        <v>24000</v>
      </c>
      <c r="M77" s="151">
        <v>24000</v>
      </c>
      <c r="N77" s="65">
        <f t="shared" si="6"/>
        <v>818.55388813096863</v>
      </c>
      <c r="O77" s="65">
        <f>IF(AND(G77&lt;&gt;"",L77&lt;&gt;""),L77/G77,"")</f>
        <v>818.55388813096863</v>
      </c>
      <c r="P77" s="65"/>
      <c r="Q77" s="65">
        <v>28</v>
      </c>
      <c r="R77" s="65">
        <v>2</v>
      </c>
      <c r="S77" s="65">
        <v>2</v>
      </c>
      <c r="T77" s="65">
        <v>197</v>
      </c>
      <c r="U77" s="65"/>
      <c r="V77" s="65">
        <v>56</v>
      </c>
      <c r="W77" s="1385" t="s">
        <v>2239</v>
      </c>
      <c r="X77" s="110">
        <f>L77/8</f>
        <v>3000</v>
      </c>
      <c r="Y77" s="216"/>
      <c r="Z77" s="141" t="str">
        <f>IF(AND(L77&lt;&gt;"",Y77&lt;&gt;""),L77/Y77,"")</f>
        <v/>
      </c>
      <c r="AA77" s="371">
        <f>L77/Q77</f>
        <v>857.14285714285711</v>
      </c>
      <c r="AB77" s="54">
        <f>L77/V77</f>
        <v>428.57142857142856</v>
      </c>
      <c r="AC77" s="99">
        <f>T77/V77</f>
        <v>3.5178571428571428</v>
      </c>
      <c r="AD77" s="191">
        <f>512*36*V77/1000000</f>
        <v>1.032192</v>
      </c>
      <c r="AE77" s="268"/>
      <c r="AF77" s="236"/>
      <c r="AG77" s="492" t="s">
        <v>2055</v>
      </c>
    </row>
    <row r="78" spans="1:34" x14ac:dyDescent="0.2">
      <c r="A78" s="493" t="s">
        <v>2235</v>
      </c>
      <c r="B78" s="573"/>
      <c r="C78" s="574"/>
      <c r="D78" s="554"/>
      <c r="E78" s="41" t="s">
        <v>1696</v>
      </c>
      <c r="F78" s="45" t="s">
        <v>1678</v>
      </c>
      <c r="G78" s="19">
        <v>30.95</v>
      </c>
      <c r="H78" s="124">
        <v>10</v>
      </c>
      <c r="I78" s="162">
        <v>118</v>
      </c>
      <c r="J78" s="487" t="s">
        <v>2234</v>
      </c>
      <c r="K78" s="20">
        <v>155</v>
      </c>
      <c r="L78" s="249">
        <v>84000</v>
      </c>
      <c r="M78" s="151">
        <v>84000</v>
      </c>
      <c r="N78" s="65">
        <f t="shared" si="6"/>
        <v>2714.0549273021002</v>
      </c>
      <c r="O78" s="65">
        <f>IF(AND(G78&lt;&gt;"",L78&lt;&gt;""),L78/G78,"")</f>
        <v>2714.0549273021002</v>
      </c>
      <c r="P78" s="65"/>
      <c r="Q78" s="65">
        <v>156</v>
      </c>
      <c r="R78" s="65">
        <v>4</v>
      </c>
      <c r="S78" s="65"/>
      <c r="T78" s="65">
        <v>365</v>
      </c>
      <c r="U78" s="65"/>
      <c r="V78" s="65">
        <v>208</v>
      </c>
      <c r="W78" s="1385" t="s">
        <v>2240</v>
      </c>
      <c r="X78" s="110"/>
      <c r="Y78" s="216"/>
      <c r="Z78" s="141"/>
      <c r="AA78" s="371"/>
      <c r="AB78" s="54"/>
      <c r="AC78" s="99"/>
      <c r="AD78" s="191"/>
      <c r="AE78" s="268"/>
      <c r="AF78" s="236"/>
      <c r="AG78" s="492" t="s">
        <v>2236</v>
      </c>
    </row>
    <row r="79" spans="1:34" ht="13.5" thickBot="1" x14ac:dyDescent="0.25">
      <c r="A79" s="519" t="s">
        <v>901</v>
      </c>
      <c r="B79" s="552"/>
      <c r="C79" s="553"/>
      <c r="D79" s="575"/>
      <c r="E79" s="230" t="s">
        <v>1696</v>
      </c>
      <c r="F79" s="304" t="s">
        <v>1678</v>
      </c>
      <c r="G79" s="19">
        <v>30.95</v>
      </c>
      <c r="H79" s="124">
        <v>10</v>
      </c>
      <c r="I79" s="162">
        <v>118</v>
      </c>
      <c r="J79" s="529" t="s">
        <v>2237</v>
      </c>
      <c r="K79" s="1384">
        <v>99</v>
      </c>
      <c r="L79" s="253">
        <v>84000</v>
      </c>
      <c r="M79" s="151">
        <v>84000</v>
      </c>
      <c r="N79" s="65">
        <f t="shared" si="6"/>
        <v>2714.0549273021002</v>
      </c>
      <c r="O79" s="65">
        <f>IF(AND(G79&lt;&gt;"",L79&lt;&gt;""),L79/G79,"")</f>
        <v>2714.0549273021002</v>
      </c>
      <c r="P79" s="65"/>
      <c r="Q79" s="65">
        <v>156</v>
      </c>
      <c r="R79" s="65">
        <v>4</v>
      </c>
      <c r="S79" s="65"/>
      <c r="T79" s="65">
        <v>365</v>
      </c>
      <c r="U79" s="65"/>
      <c r="V79" s="65">
        <v>208</v>
      </c>
      <c r="W79" s="1385" t="s">
        <v>1800</v>
      </c>
      <c r="X79" s="110"/>
      <c r="Y79" s="216"/>
      <c r="Z79" s="141"/>
      <c r="AA79" s="371"/>
      <c r="AB79" s="54"/>
      <c r="AC79" s="99"/>
      <c r="AD79" s="191"/>
      <c r="AE79" s="268"/>
      <c r="AF79" s="236"/>
      <c r="AG79" s="492" t="s">
        <v>2238</v>
      </c>
    </row>
    <row r="80" spans="1:34" ht="12.75" customHeight="1" x14ac:dyDescent="0.2">
      <c r="A80" s="187"/>
      <c r="B80" s="12" t="s">
        <v>1289</v>
      </c>
      <c r="C80" s="226"/>
      <c r="D80" s="212"/>
      <c r="E80" s="193"/>
      <c r="F80" s="466" t="s">
        <v>1017</v>
      </c>
      <c r="G80" s="49"/>
      <c r="H80" s="131" t="s">
        <v>943</v>
      </c>
      <c r="I80" s="165"/>
      <c r="J80" s="137"/>
      <c r="K80" s="32"/>
      <c r="L80" s="248" t="s">
        <v>23</v>
      </c>
      <c r="M80" s="61"/>
      <c r="N80" s="61"/>
      <c r="O80" s="61"/>
      <c r="P80" s="61"/>
      <c r="Q80" s="61"/>
      <c r="R80" s="61"/>
      <c r="S80" s="61"/>
      <c r="T80" s="61"/>
      <c r="U80" s="61"/>
      <c r="V80" s="61" t="s">
        <v>52</v>
      </c>
      <c r="W80" s="61" t="s">
        <v>598</v>
      </c>
      <c r="X80" s="113" t="s">
        <v>158</v>
      </c>
      <c r="Y80" s="171"/>
      <c r="Z80" s="164"/>
      <c r="AA80" s="373"/>
      <c r="AB80" s="1305"/>
      <c r="AC80" s="105"/>
      <c r="AD80" s="109" t="s">
        <v>650</v>
      </c>
      <c r="AE80" s="1189"/>
      <c r="AF80" s="1183"/>
      <c r="AG80" s="236" t="s">
        <v>653</v>
      </c>
      <c r="AH80"/>
    </row>
    <row r="81" spans="1:34" ht="12.75" customHeight="1" x14ac:dyDescent="0.2">
      <c r="A81" s="519" t="s">
        <v>2049</v>
      </c>
      <c r="B81" s="482"/>
      <c r="C81" s="296"/>
      <c r="D81" s="300"/>
      <c r="E81" s="1304" t="s">
        <v>1819</v>
      </c>
      <c r="F81" s="304"/>
      <c r="G81" s="31"/>
      <c r="H81" s="126"/>
      <c r="I81" s="166"/>
      <c r="J81" s="1302" t="s">
        <v>2048</v>
      </c>
      <c r="K81" s="1303">
        <v>7.95</v>
      </c>
      <c r="L81" s="1067">
        <v>5280</v>
      </c>
      <c r="M81" s="469">
        <f>L81</f>
        <v>5280</v>
      </c>
      <c r="N81" s="469" t="str">
        <f>IF(AND(G81&lt;&gt;"",M81&lt;&gt;""),M81/G81,"")</f>
        <v/>
      </c>
      <c r="O81" s="469"/>
      <c r="P81" s="469"/>
      <c r="Q81" s="469">
        <v>8</v>
      </c>
      <c r="R81" s="469">
        <v>1</v>
      </c>
      <c r="S81" s="469"/>
      <c r="T81" s="469">
        <v>39</v>
      </c>
      <c r="U81" s="469"/>
      <c r="V81" s="469">
        <v>30</v>
      </c>
      <c r="W81" s="536" t="s">
        <v>1820</v>
      </c>
      <c r="X81" s="1131">
        <f t="shared" ref="X81:X86" si="7">L81/8</f>
        <v>660</v>
      </c>
      <c r="Y81" s="83"/>
      <c r="Z81" s="172"/>
      <c r="AA81" s="371">
        <f>L81/Q81</f>
        <v>660</v>
      </c>
      <c r="AB81" s="211"/>
      <c r="AC81" s="103">
        <f t="shared" ref="AC81:AC86" si="8">T81/V81</f>
        <v>1.3</v>
      </c>
      <c r="AD81" s="115"/>
      <c r="AE81" s="1189"/>
      <c r="AF81" s="1183"/>
      <c r="AG81" s="516" t="s">
        <v>1628</v>
      </c>
      <c r="AH81"/>
    </row>
    <row r="82" spans="1:34" ht="12.75" customHeight="1" x14ac:dyDescent="0.2">
      <c r="A82" s="519" t="s">
        <v>2049</v>
      </c>
      <c r="B82" s="482"/>
      <c r="C82" s="296"/>
      <c r="D82" s="300"/>
      <c r="E82" s="910" t="s">
        <v>1819</v>
      </c>
      <c r="F82" s="45"/>
      <c r="G82" s="19"/>
      <c r="H82" s="124"/>
      <c r="I82" s="162"/>
      <c r="J82" s="1302" t="s">
        <v>2047</v>
      </c>
      <c r="K82" s="1303">
        <v>13.99</v>
      </c>
      <c r="L82" s="1067">
        <v>5280</v>
      </c>
      <c r="M82" s="469">
        <f>L82</f>
        <v>5280</v>
      </c>
      <c r="N82" s="469" t="str">
        <f>IF(AND(G82&lt;&gt;"",M82&lt;&gt;""),M82/G82,"")</f>
        <v/>
      </c>
      <c r="O82" s="469"/>
      <c r="P82" s="469"/>
      <c r="Q82" s="469">
        <v>8</v>
      </c>
      <c r="R82" s="469">
        <v>1</v>
      </c>
      <c r="S82" s="469"/>
      <c r="T82" s="469">
        <v>39</v>
      </c>
      <c r="U82" s="469"/>
      <c r="V82" s="469">
        <v>30</v>
      </c>
      <c r="W82" s="536" t="s">
        <v>1820</v>
      </c>
      <c r="X82" s="1131">
        <f t="shared" si="7"/>
        <v>660</v>
      </c>
      <c r="Y82" s="83"/>
      <c r="Z82" s="172"/>
      <c r="AA82" s="371">
        <f>L82/Q82</f>
        <v>660</v>
      </c>
      <c r="AB82" s="211"/>
      <c r="AC82" s="103">
        <f t="shared" si="8"/>
        <v>1.3</v>
      </c>
      <c r="AD82" s="115"/>
      <c r="AE82" s="1189"/>
      <c r="AF82" s="1183"/>
      <c r="AG82" s="516" t="s">
        <v>2050</v>
      </c>
      <c r="AH82"/>
    </row>
    <row r="83" spans="1:34" ht="12.75" customHeight="1" x14ac:dyDescent="0.2">
      <c r="A83" s="519" t="s">
        <v>2344</v>
      </c>
      <c r="B83" s="482"/>
      <c r="C83" s="296"/>
      <c r="D83" s="300"/>
      <c r="E83" s="910" t="s">
        <v>1819</v>
      </c>
      <c r="F83" s="45"/>
      <c r="G83" s="19"/>
      <c r="H83" s="124"/>
      <c r="I83" s="162"/>
      <c r="J83" s="1302" t="s">
        <v>2345</v>
      </c>
      <c r="K83" s="1303">
        <v>24</v>
      </c>
      <c r="L83" s="1067">
        <v>5280</v>
      </c>
      <c r="M83" s="469">
        <f>L83</f>
        <v>5280</v>
      </c>
      <c r="N83" s="469" t="str">
        <f>IF(AND(G83&lt;&gt;"",M83&lt;&gt;""),M83/G83,"")</f>
        <v/>
      </c>
      <c r="O83" s="469"/>
      <c r="P83" s="469"/>
      <c r="Q83" s="469">
        <v>8</v>
      </c>
      <c r="R83" s="469">
        <v>1</v>
      </c>
      <c r="S83" s="469"/>
      <c r="T83" s="469">
        <v>39</v>
      </c>
      <c r="U83" s="469"/>
      <c r="V83" s="469">
        <v>30</v>
      </c>
      <c r="W83" s="536" t="s">
        <v>1820</v>
      </c>
      <c r="X83" s="1131">
        <f t="shared" si="7"/>
        <v>660</v>
      </c>
      <c r="Y83" s="83"/>
      <c r="Z83" s="172"/>
      <c r="AA83" s="371">
        <f>L83/Q83</f>
        <v>660</v>
      </c>
      <c r="AB83" s="211"/>
      <c r="AC83" s="103">
        <f t="shared" si="8"/>
        <v>1.3</v>
      </c>
      <c r="AD83" s="115"/>
      <c r="AE83" s="1189"/>
      <c r="AF83" s="1183"/>
      <c r="AG83" s="516"/>
      <c r="AH83"/>
    </row>
    <row r="84" spans="1:34" ht="12.75" customHeight="1" x14ac:dyDescent="0.2">
      <c r="A84" s="519" t="s">
        <v>2425</v>
      </c>
      <c r="B84" s="482"/>
      <c r="C84" s="296"/>
      <c r="D84" s="300"/>
      <c r="E84" s="910" t="s">
        <v>1819</v>
      </c>
      <c r="F84" s="45"/>
      <c r="G84" s="19"/>
      <c r="H84" s="124"/>
      <c r="I84" s="162"/>
      <c r="J84" s="1302" t="s">
        <v>2426</v>
      </c>
      <c r="K84" s="1303">
        <v>25</v>
      </c>
      <c r="L84" s="1067">
        <v>5280</v>
      </c>
      <c r="M84" s="469">
        <f>L84</f>
        <v>5280</v>
      </c>
      <c r="N84" s="469" t="str">
        <f>IF(AND(G84&lt;&gt;"",M84&lt;&gt;""),M84/G84,"")</f>
        <v/>
      </c>
      <c r="O84" s="469"/>
      <c r="P84" s="469"/>
      <c r="Q84" s="469">
        <v>8</v>
      </c>
      <c r="R84" s="469">
        <v>1</v>
      </c>
      <c r="S84" s="469"/>
      <c r="T84" s="469">
        <v>39</v>
      </c>
      <c r="U84" s="469"/>
      <c r="V84" s="469">
        <v>30</v>
      </c>
      <c r="W84" s="536" t="s">
        <v>1820</v>
      </c>
      <c r="X84" s="1131">
        <f t="shared" si="7"/>
        <v>660</v>
      </c>
      <c r="Y84" s="83"/>
      <c r="Z84" s="172"/>
      <c r="AA84" s="371">
        <f>L84/Q84</f>
        <v>660</v>
      </c>
      <c r="AB84" s="211"/>
      <c r="AC84" s="103">
        <f t="shared" si="8"/>
        <v>1.3</v>
      </c>
      <c r="AD84" s="115"/>
      <c r="AE84" s="1189"/>
      <c r="AF84" s="1183"/>
      <c r="AG84" s="516" t="s">
        <v>2050</v>
      </c>
      <c r="AH84"/>
    </row>
    <row r="85" spans="1:34" ht="12.75" customHeight="1" x14ac:dyDescent="0.2">
      <c r="A85" s="519" t="s">
        <v>1032</v>
      </c>
      <c r="B85" s="36" t="s">
        <v>701</v>
      </c>
      <c r="C85" s="296"/>
      <c r="D85" s="300" t="s">
        <v>705</v>
      </c>
      <c r="E85" s="910" t="s">
        <v>1093</v>
      </c>
      <c r="F85" s="45"/>
      <c r="G85" s="19"/>
      <c r="H85" s="462">
        <v>2.5</v>
      </c>
      <c r="I85" s="409">
        <v>25</v>
      </c>
      <c r="J85" s="487" t="s">
        <v>2051</v>
      </c>
      <c r="K85" s="1303">
        <v>25</v>
      </c>
      <c r="L85" s="249">
        <v>1280</v>
      </c>
      <c r="M85" s="65"/>
      <c r="N85" s="65"/>
      <c r="O85" s="65"/>
      <c r="P85" s="65"/>
      <c r="Q85" s="65"/>
      <c r="R85" s="65">
        <v>1</v>
      </c>
      <c r="S85" s="65"/>
      <c r="T85" s="65">
        <v>95</v>
      </c>
      <c r="U85" s="65"/>
      <c r="V85" s="65">
        <v>16</v>
      </c>
      <c r="W85" s="154"/>
      <c r="X85" s="110">
        <f t="shared" si="7"/>
        <v>160</v>
      </c>
      <c r="Y85" s="83"/>
      <c r="Z85" s="172"/>
      <c r="AA85" s="371"/>
      <c r="AB85" s="211"/>
      <c r="AC85" s="99">
        <f t="shared" si="8"/>
        <v>5.9375</v>
      </c>
      <c r="AD85" s="191">
        <v>6.4000000000000001E-2</v>
      </c>
      <c r="AE85" s="1189"/>
      <c r="AG85" s="1306" t="s">
        <v>2052</v>
      </c>
      <c r="AH85"/>
    </row>
    <row r="86" spans="1:34" ht="12.75" customHeight="1" x14ac:dyDescent="0.2">
      <c r="A86" s="519"/>
      <c r="B86" s="36" t="s">
        <v>701</v>
      </c>
      <c r="C86" s="296"/>
      <c r="D86" s="300"/>
      <c r="E86" s="910" t="s">
        <v>2292</v>
      </c>
      <c r="F86" s="45"/>
      <c r="G86" s="1064">
        <v>5.45</v>
      </c>
      <c r="H86" s="1543">
        <v>2.34</v>
      </c>
      <c r="I86" s="1065">
        <v>21</v>
      </c>
      <c r="J86" s="1533" t="s">
        <v>2433</v>
      </c>
      <c r="K86" s="1303">
        <v>30</v>
      </c>
      <c r="L86" s="1056">
        <v>5280</v>
      </c>
      <c r="M86" s="1057">
        <f>L86</f>
        <v>5280</v>
      </c>
      <c r="N86" s="1004">
        <f>IF(AND(G86&lt;&gt;"",M86&lt;&gt;""),M86/G86,"")</f>
        <v>968.80733944954125</v>
      </c>
      <c r="O86" s="1004"/>
      <c r="P86" s="1004"/>
      <c r="Q86" s="1004">
        <v>8</v>
      </c>
      <c r="R86" s="1004">
        <v>1</v>
      </c>
      <c r="S86" s="1004"/>
      <c r="T86" s="1004">
        <v>39</v>
      </c>
      <c r="U86" s="1004"/>
      <c r="V86" s="1004">
        <v>30</v>
      </c>
      <c r="W86" s="1058" t="s">
        <v>1820</v>
      </c>
      <c r="X86" s="1059">
        <f t="shared" si="7"/>
        <v>660</v>
      </c>
      <c r="Y86" s="83"/>
      <c r="Z86" s="172"/>
      <c r="AA86" s="375">
        <f>L86/Q86</f>
        <v>660</v>
      </c>
      <c r="AB86" s="1621"/>
      <c r="AC86" s="103">
        <f t="shared" si="8"/>
        <v>1.3</v>
      </c>
      <c r="AD86" s="1047">
        <f>V86*256*16/1000000</f>
        <v>0.12288</v>
      </c>
      <c r="AE86" s="1189"/>
      <c r="AG86" s="1306" t="s">
        <v>2300</v>
      </c>
      <c r="AH86"/>
    </row>
    <row r="87" spans="1:34" ht="12.75" customHeight="1" x14ac:dyDescent="0.2">
      <c r="A87" s="519" t="s">
        <v>2485</v>
      </c>
      <c r="B87" s="482"/>
      <c r="C87" s="296"/>
      <c r="D87" s="300"/>
      <c r="E87" s="910" t="s">
        <v>2030</v>
      </c>
      <c r="F87" s="45"/>
      <c r="G87" s="19"/>
      <c r="H87" s="124"/>
      <c r="I87" s="409"/>
      <c r="J87" s="1684" t="s">
        <v>2484</v>
      </c>
      <c r="K87" s="1303">
        <v>31.46</v>
      </c>
      <c r="L87" s="1300">
        <v>7680</v>
      </c>
      <c r="M87" s="1301"/>
      <c r="N87" s="71"/>
      <c r="O87" s="71"/>
      <c r="P87" s="71"/>
      <c r="Q87" s="71"/>
      <c r="R87" s="71">
        <v>1</v>
      </c>
      <c r="S87" s="71"/>
      <c r="T87" s="71">
        <v>41</v>
      </c>
      <c r="U87" s="71"/>
      <c r="V87" s="71"/>
      <c r="W87" s="71"/>
      <c r="X87" s="114"/>
      <c r="Y87" s="83"/>
      <c r="Z87" s="172"/>
      <c r="AA87" s="375"/>
      <c r="AB87" s="211"/>
      <c r="AC87" s="99"/>
      <c r="AD87" s="115"/>
      <c r="AE87" s="1189"/>
      <c r="AF87" s="1183"/>
      <c r="AG87" s="516" t="s">
        <v>2486</v>
      </c>
      <c r="AH87"/>
    </row>
    <row r="88" spans="1:34" ht="12.75" customHeight="1" x14ac:dyDescent="0.2">
      <c r="A88" s="186" t="s">
        <v>2053</v>
      </c>
      <c r="B88" s="1617"/>
      <c r="C88" s="227"/>
      <c r="D88" s="213"/>
      <c r="E88" s="910" t="s">
        <v>2030</v>
      </c>
      <c r="F88" s="45"/>
      <c r="G88" s="19"/>
      <c r="H88" s="124"/>
      <c r="I88" s="409"/>
      <c r="J88" s="1283" t="s">
        <v>2031</v>
      </c>
      <c r="K88" s="681">
        <v>38</v>
      </c>
      <c r="L88" s="249">
        <v>7680</v>
      </c>
      <c r="M88" s="515"/>
      <c r="N88" s="65"/>
      <c r="O88" s="65"/>
      <c r="P88" s="65"/>
      <c r="Q88" s="65"/>
      <c r="R88" s="65">
        <v>1</v>
      </c>
      <c r="S88" s="65"/>
      <c r="T88" s="65">
        <v>41</v>
      </c>
      <c r="U88" s="65"/>
      <c r="V88" s="65"/>
      <c r="W88" s="65"/>
      <c r="X88" s="114"/>
      <c r="Y88" s="81"/>
      <c r="Z88" s="141"/>
      <c r="AA88" s="371"/>
      <c r="AB88" s="211"/>
      <c r="AC88" s="99"/>
      <c r="AD88" s="115"/>
      <c r="AE88" s="1189"/>
      <c r="AF88" s="1183"/>
      <c r="AG88" s="516" t="s">
        <v>2032</v>
      </c>
      <c r="AH88"/>
    </row>
    <row r="89" spans="1:34" ht="12.75" customHeight="1" x14ac:dyDescent="0.2">
      <c r="A89" s="519" t="s">
        <v>2423</v>
      </c>
      <c r="B89" s="1617"/>
      <c r="C89" s="227"/>
      <c r="D89" s="213"/>
      <c r="E89" s="910" t="s">
        <v>1819</v>
      </c>
      <c r="F89" s="45"/>
      <c r="G89" s="19"/>
      <c r="H89" s="124"/>
      <c r="I89" s="409"/>
      <c r="J89" s="1283" t="s">
        <v>2424</v>
      </c>
      <c r="K89" s="681">
        <v>39</v>
      </c>
      <c r="L89" s="1067">
        <v>5280</v>
      </c>
      <c r="M89" s="1130">
        <f>L89</f>
        <v>5280</v>
      </c>
      <c r="N89" s="469" t="str">
        <f>IF(AND(G89&lt;&gt;"",M89&lt;&gt;""),M89/G89,"")</f>
        <v/>
      </c>
      <c r="O89" s="469"/>
      <c r="P89" s="469"/>
      <c r="Q89" s="469">
        <v>8</v>
      </c>
      <c r="R89" s="469">
        <v>1</v>
      </c>
      <c r="S89" s="469"/>
      <c r="T89" s="469">
        <v>39</v>
      </c>
      <c r="U89" s="469"/>
      <c r="V89" s="469">
        <v>30</v>
      </c>
      <c r="W89" s="536" t="s">
        <v>1820</v>
      </c>
      <c r="X89" s="1059">
        <f>L89/8</f>
        <v>660</v>
      </c>
      <c r="Y89" s="81"/>
      <c r="Z89" s="141"/>
      <c r="AA89" s="371">
        <f>L89/Q89</f>
        <v>660</v>
      </c>
      <c r="AB89" s="211"/>
      <c r="AC89" s="103">
        <f>T89/V89</f>
        <v>1.3</v>
      </c>
      <c r="AD89" s="115"/>
      <c r="AE89" s="1189"/>
      <c r="AF89" s="1183"/>
      <c r="AG89" s="516" t="s">
        <v>2050</v>
      </c>
      <c r="AH89"/>
    </row>
    <row r="90" spans="1:34" ht="12.75" customHeight="1" x14ac:dyDescent="0.2">
      <c r="A90" s="519" t="s">
        <v>1092</v>
      </c>
      <c r="B90" s="41" t="s">
        <v>701</v>
      </c>
      <c r="C90" s="227"/>
      <c r="D90" s="213" t="s">
        <v>705</v>
      </c>
      <c r="E90" s="1313" t="s">
        <v>1093</v>
      </c>
      <c r="F90" s="1082" t="s">
        <v>1096</v>
      </c>
      <c r="G90" s="27"/>
      <c r="H90" s="1430">
        <v>2.5</v>
      </c>
      <c r="I90" s="1618">
        <v>25</v>
      </c>
      <c r="J90" s="487" t="s">
        <v>1288</v>
      </c>
      <c r="K90" s="681">
        <v>39</v>
      </c>
      <c r="L90" s="249">
        <v>1280</v>
      </c>
      <c r="M90" s="65"/>
      <c r="N90" s="65"/>
      <c r="O90" s="65"/>
      <c r="P90" s="65"/>
      <c r="Q90" s="65"/>
      <c r="R90" s="65">
        <v>1</v>
      </c>
      <c r="S90" s="65"/>
      <c r="T90" s="65">
        <v>95</v>
      </c>
      <c r="U90" s="65"/>
      <c r="V90" s="65">
        <v>16</v>
      </c>
      <c r="W90" s="154"/>
      <c r="X90" s="110">
        <f>L90/8</f>
        <v>160</v>
      </c>
      <c r="Y90" s="81"/>
      <c r="Z90" s="141"/>
      <c r="AA90" s="371"/>
      <c r="AB90" s="57"/>
      <c r="AC90" s="101">
        <f>T90/V90</f>
        <v>5.9375</v>
      </c>
      <c r="AD90" s="478">
        <v>6.4000000000000001E-2</v>
      </c>
      <c r="AE90" s="1189"/>
      <c r="AH90"/>
    </row>
    <row r="91" spans="1:34" ht="12.75" customHeight="1" x14ac:dyDescent="0.2">
      <c r="A91" s="519" t="s">
        <v>1701</v>
      </c>
      <c r="B91" s="41" t="s">
        <v>701</v>
      </c>
      <c r="C91" s="227"/>
      <c r="D91" s="213"/>
      <c r="E91" s="1313" t="s">
        <v>2292</v>
      </c>
      <c r="F91" s="1082"/>
      <c r="G91" s="27"/>
      <c r="H91" s="1430"/>
      <c r="I91" s="1618"/>
      <c r="J91" s="487" t="s">
        <v>2299</v>
      </c>
      <c r="K91" s="1620">
        <v>50</v>
      </c>
      <c r="L91" s="1067">
        <v>5280</v>
      </c>
      <c r="M91" s="469">
        <f>L91</f>
        <v>5280</v>
      </c>
      <c r="N91" s="469" t="str">
        <f>IF(AND(G91&lt;&gt;"",M91&lt;&gt;""),M91/G91,"")</f>
        <v/>
      </c>
      <c r="O91" s="469"/>
      <c r="P91" s="469"/>
      <c r="Q91" s="469">
        <v>8</v>
      </c>
      <c r="R91" s="469">
        <v>1</v>
      </c>
      <c r="S91" s="469"/>
      <c r="T91" s="469">
        <v>39</v>
      </c>
      <c r="U91" s="469"/>
      <c r="V91" s="469">
        <v>30</v>
      </c>
      <c r="W91" s="536" t="s">
        <v>1820</v>
      </c>
      <c r="X91" s="1131">
        <f>L91/8</f>
        <v>660</v>
      </c>
      <c r="Y91" s="81"/>
      <c r="Z91" s="141"/>
      <c r="AA91" s="371">
        <f>L91/Q91</f>
        <v>660</v>
      </c>
      <c r="AB91" s="901"/>
      <c r="AC91" s="902">
        <f>T91/V91</f>
        <v>1.3</v>
      </c>
      <c r="AD91" s="903">
        <f>V91*256*16/1000000</f>
        <v>0.12288</v>
      </c>
      <c r="AE91" s="1189"/>
      <c r="AG91" s="1306" t="s">
        <v>2300</v>
      </c>
      <c r="AH91"/>
    </row>
    <row r="92" spans="1:34" ht="12.75" customHeight="1" thickBot="1" x14ac:dyDescent="0.25">
      <c r="A92" s="186" t="s">
        <v>2025</v>
      </c>
      <c r="B92" s="41" t="s">
        <v>701</v>
      </c>
      <c r="C92" s="227"/>
      <c r="D92" s="213" t="s">
        <v>705</v>
      </c>
      <c r="E92" s="1112" t="s">
        <v>1093</v>
      </c>
      <c r="F92" s="133" t="s">
        <v>1096</v>
      </c>
      <c r="G92" s="23"/>
      <c r="H92" s="467">
        <v>2.5</v>
      </c>
      <c r="I92" s="163">
        <v>25</v>
      </c>
      <c r="J92" s="465" t="s">
        <v>2026</v>
      </c>
      <c r="K92" s="681">
        <v>65</v>
      </c>
      <c r="L92" s="249">
        <v>1280</v>
      </c>
      <c r="M92" s="515"/>
      <c r="N92" s="65"/>
      <c r="O92" s="65"/>
      <c r="P92" s="65"/>
      <c r="Q92" s="65"/>
      <c r="R92" s="65">
        <v>1</v>
      </c>
      <c r="S92" s="65"/>
      <c r="T92" s="65">
        <v>95</v>
      </c>
      <c r="U92" s="65"/>
      <c r="V92" s="65">
        <v>16</v>
      </c>
      <c r="W92" s="154"/>
      <c r="X92" s="114">
        <f>L92/8</f>
        <v>160</v>
      </c>
      <c r="Y92" s="81"/>
      <c r="Z92" s="141"/>
      <c r="AA92" s="371"/>
      <c r="AB92" s="202"/>
      <c r="AC92" s="100">
        <f>T92/V92</f>
        <v>5.9375</v>
      </c>
      <c r="AD92" s="192">
        <v>6.4000000000000001E-2</v>
      </c>
      <c r="AE92" s="1189"/>
      <c r="AF92" s="1183"/>
      <c r="AG92" s="236" t="s">
        <v>2027</v>
      </c>
      <c r="AH92"/>
    </row>
    <row r="93" spans="1:34" ht="13.5" customHeight="1" x14ac:dyDescent="0.2">
      <c r="A93" s="213"/>
      <c r="B93" s="48" t="s">
        <v>716</v>
      </c>
      <c r="C93" s="226"/>
      <c r="D93" s="212"/>
      <c r="E93" s="12" t="s">
        <v>330</v>
      </c>
      <c r="F93" s="13"/>
      <c r="G93" s="14" t="s">
        <v>22</v>
      </c>
      <c r="H93" s="132" t="s">
        <v>529</v>
      </c>
      <c r="I93" s="408"/>
      <c r="J93" s="425"/>
      <c r="K93" s="414"/>
      <c r="L93" s="411" t="s">
        <v>23</v>
      </c>
      <c r="M93" s="383" t="s">
        <v>696</v>
      </c>
      <c r="N93" s="385"/>
      <c r="O93" s="61"/>
      <c r="P93" s="61"/>
      <c r="Q93" s="61"/>
      <c r="R93" s="61"/>
      <c r="S93" s="61"/>
      <c r="T93" s="61"/>
      <c r="U93" s="61"/>
      <c r="V93" s="62" t="s">
        <v>157</v>
      </c>
      <c r="W93" s="61" t="s">
        <v>66</v>
      </c>
      <c r="X93" s="109" t="s">
        <v>158</v>
      </c>
      <c r="Y93" s="80"/>
      <c r="Z93" s="164"/>
      <c r="AA93" s="373"/>
      <c r="AB93" s="92"/>
      <c r="AC93" s="98"/>
      <c r="AD93" s="109"/>
      <c r="AE93" s="268"/>
      <c r="AF93" s="237"/>
      <c r="AG93" s="269" t="s">
        <v>329</v>
      </c>
    </row>
    <row r="94" spans="1:34" ht="13.5" thickBot="1" x14ac:dyDescent="0.25">
      <c r="A94" s="182"/>
      <c r="B94" s="36" t="s">
        <v>701</v>
      </c>
      <c r="C94" s="227"/>
      <c r="D94" s="470" t="s">
        <v>708</v>
      </c>
      <c r="E94" s="134" t="s">
        <v>1023</v>
      </c>
      <c r="F94" s="45" t="s">
        <v>1134</v>
      </c>
      <c r="G94" s="19">
        <v>7.3</v>
      </c>
      <c r="H94" s="462">
        <v>2.5</v>
      </c>
      <c r="I94" s="162">
        <v>18</v>
      </c>
      <c r="J94" s="487" t="s">
        <v>1105</v>
      </c>
      <c r="K94" s="429">
        <v>29</v>
      </c>
      <c r="L94" s="521">
        <v>1.28</v>
      </c>
      <c r="M94" s="64"/>
      <c r="N94" s="64"/>
      <c r="O94" s="65"/>
      <c r="P94" s="65"/>
      <c r="Q94" s="65">
        <v>4</v>
      </c>
      <c r="R94" s="65">
        <v>1</v>
      </c>
      <c r="S94" s="65"/>
      <c r="T94" s="65">
        <v>108</v>
      </c>
      <c r="U94" s="65"/>
      <c r="V94" s="65">
        <v>7</v>
      </c>
      <c r="W94" s="65">
        <v>64</v>
      </c>
      <c r="X94" s="110">
        <f>125*L94</f>
        <v>160</v>
      </c>
      <c r="Y94" s="81">
        <v>2</v>
      </c>
      <c r="Z94" s="141">
        <f>IF(AND(L94&lt;&gt;"",Y94&lt;&gt;""),1000*L94/Y94,"")</f>
        <v>640</v>
      </c>
      <c r="AA94" s="371"/>
      <c r="AB94" s="54"/>
      <c r="AC94" s="99">
        <f>T94/V94</f>
        <v>15.428571428571429</v>
      </c>
      <c r="AD94" s="191">
        <f>V94*512*18/1000000</f>
        <v>6.4512E-2</v>
      </c>
      <c r="AE94" s="268"/>
      <c r="AF94" s="236"/>
      <c r="AG94" s="236"/>
    </row>
    <row r="95" spans="1:34" ht="13.5" customHeight="1" x14ac:dyDescent="0.2">
      <c r="A95" s="213"/>
      <c r="B95" s="48" t="s">
        <v>716</v>
      </c>
      <c r="C95" s="226"/>
      <c r="D95" s="212"/>
      <c r="E95" s="12" t="s">
        <v>1020</v>
      </c>
      <c r="F95" s="13"/>
      <c r="G95" s="14" t="s">
        <v>22</v>
      </c>
      <c r="H95" s="132" t="s">
        <v>529</v>
      </c>
      <c r="I95" s="408"/>
      <c r="J95" s="425"/>
      <c r="K95" s="414"/>
      <c r="L95" s="411" t="s">
        <v>23</v>
      </c>
      <c r="M95" s="383" t="s">
        <v>696</v>
      </c>
      <c r="N95" s="385"/>
      <c r="O95" s="61"/>
      <c r="P95" s="61"/>
      <c r="Q95" s="399" t="s">
        <v>1529</v>
      </c>
      <c r="R95" s="61"/>
      <c r="S95" s="61"/>
      <c r="T95" s="61"/>
      <c r="U95" s="61"/>
      <c r="V95" s="62" t="s">
        <v>157</v>
      </c>
      <c r="W95" s="61" t="s">
        <v>66</v>
      </c>
      <c r="X95" s="109" t="s">
        <v>158</v>
      </c>
      <c r="Y95" s="80"/>
      <c r="Z95" s="164"/>
      <c r="AA95" s="373"/>
      <c r="AB95" s="92"/>
      <c r="AC95" s="98"/>
      <c r="AD95" s="109"/>
      <c r="AE95" s="268"/>
      <c r="AF95" s="237"/>
      <c r="AG95" s="269" t="s">
        <v>329</v>
      </c>
    </row>
    <row r="96" spans="1:34" ht="13.5" customHeight="1" x14ac:dyDescent="0.2">
      <c r="A96" s="188" t="s">
        <v>2053</v>
      </c>
      <c r="B96" s="482"/>
      <c r="C96" s="296"/>
      <c r="D96" s="300"/>
      <c r="E96" s="1003" t="s">
        <v>2035</v>
      </c>
      <c r="F96" s="304"/>
      <c r="G96" s="31"/>
      <c r="H96" s="126"/>
      <c r="I96" s="1614"/>
      <c r="J96" s="1283" t="s">
        <v>2033</v>
      </c>
      <c r="K96" s="413">
        <v>12</v>
      </c>
      <c r="L96" s="438">
        <v>256</v>
      </c>
      <c r="M96" s="70"/>
      <c r="N96" s="71"/>
      <c r="O96" s="71"/>
      <c r="P96" s="71"/>
      <c r="Q96" s="71"/>
      <c r="R96" s="71"/>
      <c r="S96" s="71"/>
      <c r="T96" s="71">
        <v>21</v>
      </c>
      <c r="U96" s="71"/>
      <c r="V96" s="71"/>
      <c r="W96" s="71"/>
      <c r="X96" s="114"/>
      <c r="Y96" s="83"/>
      <c r="Z96" s="172"/>
      <c r="AA96" s="375"/>
      <c r="AB96" s="56"/>
      <c r="AC96" s="102"/>
      <c r="AD96" s="117"/>
      <c r="AE96" s="1183"/>
      <c r="AF96" s="1183"/>
      <c r="AG96" s="516" t="s">
        <v>2034</v>
      </c>
      <c r="AH96"/>
    </row>
    <row r="97" spans="1:35" ht="12.75" customHeight="1" x14ac:dyDescent="0.2">
      <c r="A97" s="186" t="s">
        <v>2053</v>
      </c>
      <c r="B97" s="482"/>
      <c r="C97" s="296"/>
      <c r="D97" s="300"/>
      <c r="E97" s="910" t="s">
        <v>2036</v>
      </c>
      <c r="F97" s="45"/>
      <c r="G97" s="19"/>
      <c r="H97" s="124"/>
      <c r="I97" s="162"/>
      <c r="J97" s="1283" t="s">
        <v>2037</v>
      </c>
      <c r="K97" s="413">
        <v>18</v>
      </c>
      <c r="L97" s="1300">
        <v>1200</v>
      </c>
      <c r="M97" s="1301"/>
      <c r="N97" s="71"/>
      <c r="O97" s="71"/>
      <c r="P97" s="71"/>
      <c r="Q97" s="71"/>
      <c r="R97" s="71">
        <v>1</v>
      </c>
      <c r="S97" s="71"/>
      <c r="T97" s="71">
        <v>21</v>
      </c>
      <c r="U97" s="71"/>
      <c r="V97" s="71"/>
      <c r="W97" s="71"/>
      <c r="X97" s="114"/>
      <c r="Y97" s="83"/>
      <c r="Z97" s="172"/>
      <c r="AA97" s="375"/>
      <c r="AB97" s="211"/>
      <c r="AC97" s="99"/>
      <c r="AD97" s="115"/>
      <c r="AE97" s="1189"/>
      <c r="AF97" s="1183"/>
      <c r="AG97" s="516" t="s">
        <v>2034</v>
      </c>
      <c r="AH97"/>
    </row>
    <row r="98" spans="1:35" ht="12.75" customHeight="1" x14ac:dyDescent="0.2">
      <c r="A98" s="186" t="s">
        <v>1611</v>
      </c>
      <c r="B98" s="448" t="s">
        <v>701</v>
      </c>
      <c r="C98" s="296"/>
      <c r="D98" s="470" t="s">
        <v>708</v>
      </c>
      <c r="E98" s="1622" t="s">
        <v>1612</v>
      </c>
      <c r="F98" s="45"/>
      <c r="G98" s="43"/>
      <c r="H98" s="285"/>
      <c r="I98" s="167"/>
      <c r="J98" s="1619" t="s">
        <v>1613</v>
      </c>
      <c r="K98" s="1147">
        <v>24.99</v>
      </c>
      <c r="L98" s="1300">
        <v>1200</v>
      </c>
      <c r="M98" s="1301"/>
      <c r="N98" s="305"/>
      <c r="O98" s="71"/>
      <c r="P98" s="71"/>
      <c r="Q98" s="71"/>
      <c r="R98" s="71"/>
      <c r="S98" s="71"/>
      <c r="T98" s="71"/>
      <c r="U98" s="71"/>
      <c r="V98" s="77"/>
      <c r="W98" s="71"/>
      <c r="X98" s="117"/>
      <c r="Y98" s="89"/>
      <c r="Z98" s="172"/>
      <c r="AA98" s="983"/>
      <c r="AB98" s="1623"/>
      <c r="AC98" s="271"/>
      <c r="AD98" s="115"/>
      <c r="AE98" s="268"/>
      <c r="AG98" s="471" t="s">
        <v>1614</v>
      </c>
      <c r="AH98"/>
    </row>
    <row r="99" spans="1:35" ht="13.5" thickBot="1" x14ac:dyDescent="0.25">
      <c r="A99" s="182"/>
      <c r="B99" s="36" t="s">
        <v>701</v>
      </c>
      <c r="C99" s="227"/>
      <c r="D99" s="470" t="s">
        <v>708</v>
      </c>
      <c r="E99" s="910" t="s">
        <v>1408</v>
      </c>
      <c r="F99" s="45" t="s">
        <v>1286</v>
      </c>
      <c r="G99" s="19">
        <v>14.45</v>
      </c>
      <c r="H99" s="462">
        <v>14</v>
      </c>
      <c r="I99" s="409">
        <v>115</v>
      </c>
      <c r="J99" s="529" t="s">
        <v>1407</v>
      </c>
      <c r="K99" s="419">
        <v>29.99</v>
      </c>
      <c r="L99" s="521">
        <v>6.8639999999999999</v>
      </c>
      <c r="M99" s="64"/>
      <c r="N99" s="64"/>
      <c r="O99" s="65"/>
      <c r="P99" s="65"/>
      <c r="Q99" s="65">
        <v>4</v>
      </c>
      <c r="R99" s="65">
        <v>2</v>
      </c>
      <c r="S99" s="65"/>
      <c r="T99" s="65">
        <v>335</v>
      </c>
      <c r="U99" s="65"/>
      <c r="V99" s="65">
        <v>26</v>
      </c>
      <c r="W99" s="65">
        <v>256</v>
      </c>
      <c r="X99" s="110">
        <f>125*L99</f>
        <v>858</v>
      </c>
      <c r="Y99" s="81">
        <v>2</v>
      </c>
      <c r="Z99" s="141">
        <f>IF(AND(L99&lt;&gt;"",Y99&lt;&gt;""),1000*L99/Y99,"")</f>
        <v>3432</v>
      </c>
      <c r="AA99" s="371"/>
      <c r="AB99" s="54"/>
      <c r="AC99" s="99">
        <f>T99/V99</f>
        <v>12.884615384615385</v>
      </c>
      <c r="AD99" s="191">
        <f>V99*512*18/1000000</f>
        <v>0.239616</v>
      </c>
      <c r="AF99" s="6"/>
      <c r="AG99" s="236"/>
    </row>
    <row r="100" spans="1:35" ht="13.5" customHeight="1" x14ac:dyDescent="0.2">
      <c r="A100" s="213"/>
      <c r="B100" s="48" t="s">
        <v>716</v>
      </c>
      <c r="C100" s="226"/>
      <c r="D100" s="212"/>
      <c r="E100" s="12" t="s">
        <v>1525</v>
      </c>
      <c r="F100" s="13"/>
      <c r="G100" s="14" t="s">
        <v>22</v>
      </c>
      <c r="H100" s="132" t="s">
        <v>529</v>
      </c>
      <c r="I100" s="408"/>
      <c r="J100" s="425"/>
      <c r="K100" s="414"/>
      <c r="L100" s="411" t="s">
        <v>23</v>
      </c>
      <c r="M100" s="383" t="s">
        <v>696</v>
      </c>
      <c r="N100" s="385"/>
      <c r="O100" s="61"/>
      <c r="P100" s="61"/>
      <c r="Q100" s="399" t="s">
        <v>1529</v>
      </c>
      <c r="R100" s="61"/>
      <c r="S100" s="61"/>
      <c r="T100" s="61"/>
      <c r="U100" s="61"/>
      <c r="V100" s="468" t="s">
        <v>1027</v>
      </c>
      <c r="W100" s="61" t="s">
        <v>66</v>
      </c>
      <c r="X100" s="109" t="s">
        <v>158</v>
      </c>
      <c r="Y100" s="80"/>
      <c r="Z100" s="164"/>
      <c r="AA100" s="373"/>
      <c r="AB100" s="92"/>
      <c r="AC100" s="98"/>
      <c r="AD100" s="109"/>
      <c r="AE100" s="268"/>
      <c r="AF100" s="237"/>
      <c r="AG100" s="471" t="s">
        <v>1527</v>
      </c>
    </row>
    <row r="101" spans="1:35" ht="13.5" customHeight="1" thickBot="1" x14ac:dyDescent="0.25">
      <c r="A101" s="494" t="s">
        <v>901</v>
      </c>
      <c r="B101" s="41" t="s">
        <v>701</v>
      </c>
      <c r="C101" s="227"/>
      <c r="D101" s="229" t="s">
        <v>708</v>
      </c>
      <c r="E101" s="134" t="s">
        <v>1536</v>
      </c>
      <c r="F101" s="45" t="s">
        <v>1530</v>
      </c>
      <c r="G101" s="19">
        <v>10.961</v>
      </c>
      <c r="H101" s="462">
        <v>9</v>
      </c>
      <c r="I101" s="162">
        <v>206</v>
      </c>
      <c r="J101" s="1309" t="s">
        <v>2057</v>
      </c>
      <c r="K101" s="415">
        <v>24.95</v>
      </c>
      <c r="L101" s="521">
        <v>6.8639999999999999</v>
      </c>
      <c r="M101" s="64">
        <f>1000*L101</f>
        <v>6864</v>
      </c>
      <c r="N101" s="65">
        <f>IF(AND(G101&lt;&gt;"",M101&lt;&gt;""),M101/G101,"")</f>
        <v>626.22023537998359</v>
      </c>
      <c r="O101" s="65"/>
      <c r="P101" s="65"/>
      <c r="Q101" s="65">
        <v>5</v>
      </c>
      <c r="R101" s="65">
        <v>2</v>
      </c>
      <c r="S101" s="65"/>
      <c r="T101" s="65">
        <v>325</v>
      </c>
      <c r="U101" s="65"/>
      <c r="V101" s="65">
        <v>26</v>
      </c>
      <c r="W101" s="65">
        <v>256</v>
      </c>
      <c r="X101" s="110">
        <f>125*L101</f>
        <v>858</v>
      </c>
      <c r="Y101" s="81"/>
      <c r="Z101" s="141"/>
      <c r="AA101" s="371"/>
      <c r="AB101" s="54"/>
      <c r="AC101" s="889">
        <f>T101/V101</f>
        <v>12.5</v>
      </c>
      <c r="AD101" s="191">
        <f>V101*512*18/1000000</f>
        <v>0.239616</v>
      </c>
      <c r="AG101" s="236" t="s">
        <v>1526</v>
      </c>
      <c r="AH101"/>
    </row>
    <row r="102" spans="1:35" x14ac:dyDescent="0.2">
      <c r="A102" s="213"/>
      <c r="B102" s="48" t="s">
        <v>715</v>
      </c>
      <c r="C102" s="226"/>
      <c r="D102" s="212"/>
      <c r="E102" s="12" t="s">
        <v>205</v>
      </c>
      <c r="F102" s="13"/>
      <c r="G102" s="14" t="s">
        <v>21</v>
      </c>
      <c r="H102" s="132" t="s">
        <v>530</v>
      </c>
      <c r="I102" s="408"/>
      <c r="J102" s="425"/>
      <c r="K102" s="414"/>
      <c r="L102" s="411" t="s">
        <v>23</v>
      </c>
      <c r="M102" s="383" t="s">
        <v>696</v>
      </c>
      <c r="N102" s="380"/>
      <c r="O102" s="382"/>
      <c r="P102" s="61"/>
      <c r="Q102" s="61" t="s">
        <v>92</v>
      </c>
      <c r="R102" s="61"/>
      <c r="S102" s="61"/>
      <c r="T102" s="61"/>
      <c r="U102" s="399" t="s">
        <v>1183</v>
      </c>
      <c r="V102" s="62" t="s">
        <v>206</v>
      </c>
      <c r="W102" s="399" t="s">
        <v>1184</v>
      </c>
      <c r="X102" s="109" t="s">
        <v>207</v>
      </c>
      <c r="Y102" s="215" t="s">
        <v>65</v>
      </c>
      <c r="Z102" s="164"/>
      <c r="AA102" s="372"/>
      <c r="AB102" s="92"/>
      <c r="AC102" s="98"/>
      <c r="AD102" s="109" t="s">
        <v>650</v>
      </c>
      <c r="AE102" s="201"/>
      <c r="AF102" s="196"/>
      <c r="AG102" s="237" t="s">
        <v>208</v>
      </c>
      <c r="AH102" s="538"/>
    </row>
    <row r="103" spans="1:35" x14ac:dyDescent="0.2">
      <c r="A103" s="188" t="s">
        <v>2533</v>
      </c>
      <c r="B103" s="448"/>
      <c r="C103" s="296"/>
      <c r="D103" s="300"/>
      <c r="E103" s="118" t="s">
        <v>213</v>
      </c>
      <c r="F103" s="45" t="s">
        <v>210</v>
      </c>
      <c r="G103" s="19">
        <v>11.22</v>
      </c>
      <c r="H103" s="124">
        <v>16</v>
      </c>
      <c r="I103" s="162">
        <v>32</v>
      </c>
      <c r="J103" s="465" t="s">
        <v>2535</v>
      </c>
      <c r="K103" s="413">
        <v>22.46</v>
      </c>
      <c r="L103" s="253">
        <f>8*X103</f>
        <v>3840</v>
      </c>
      <c r="M103" s="64">
        <f>9*X103</f>
        <v>4320</v>
      </c>
      <c r="N103" s="65">
        <f>IF(AND(G103&lt;&gt;"",M103&lt;&gt;""),M103/G103,"")</f>
        <v>385.02673796791441</v>
      </c>
      <c r="O103" s="65">
        <f>IF(AND(G103&lt;&gt;"",L103&lt;&gt;""),L103/G103,"")</f>
        <v>342.24598930481284</v>
      </c>
      <c r="P103" s="65"/>
      <c r="Q103" s="65">
        <v>12</v>
      </c>
      <c r="R103" s="65">
        <v>4</v>
      </c>
      <c r="S103" s="65"/>
      <c r="T103" s="65">
        <v>173</v>
      </c>
      <c r="U103" s="469"/>
      <c r="V103" s="65">
        <v>12</v>
      </c>
      <c r="W103" s="536"/>
      <c r="X103" s="110">
        <v>480</v>
      </c>
      <c r="Y103" s="216">
        <v>4</v>
      </c>
      <c r="Z103" s="141">
        <f>IF(AND(L103&lt;&gt;"",Y103&lt;&gt;""),L103/Y103,"")</f>
        <v>960</v>
      </c>
      <c r="AA103" s="371">
        <f>M103/Q103</f>
        <v>360</v>
      </c>
      <c r="AB103" s="54">
        <f>L103/V103</f>
        <v>320</v>
      </c>
      <c r="AC103" s="99">
        <f>T103/V103</f>
        <v>14.416666666666666</v>
      </c>
      <c r="AD103" s="191">
        <f>512*36*V103/1000000</f>
        <v>0.22118399999999999</v>
      </c>
      <c r="AE103" s="197">
        <v>1.0469999999999999</v>
      </c>
      <c r="AF103" s="198">
        <f>(AE103*1000000-V103*36*512)/(4*L103)</f>
        <v>53.764062499999994</v>
      </c>
      <c r="AG103" s="1191" t="s">
        <v>2228</v>
      </c>
      <c r="AH103" s="539" t="s">
        <v>2534</v>
      </c>
      <c r="AI103" s="493" t="s">
        <v>2536</v>
      </c>
    </row>
    <row r="104" spans="1:35" x14ac:dyDescent="0.2">
      <c r="A104" s="188" t="s">
        <v>1621</v>
      </c>
      <c r="B104" s="448"/>
      <c r="C104" s="296"/>
      <c r="D104" s="300"/>
      <c r="E104" s="118" t="s">
        <v>213</v>
      </c>
      <c r="F104" s="18" t="s">
        <v>1620</v>
      </c>
      <c r="G104" s="19">
        <v>11.22</v>
      </c>
      <c r="H104" s="124">
        <v>16</v>
      </c>
      <c r="I104" s="162">
        <v>32</v>
      </c>
      <c r="J104" s="465" t="s">
        <v>1619</v>
      </c>
      <c r="K104" s="413">
        <v>50</v>
      </c>
      <c r="L104" s="253">
        <f>8*X104</f>
        <v>3840</v>
      </c>
      <c r="M104" s="64">
        <f>9*X104</f>
        <v>4320</v>
      </c>
      <c r="N104" s="65">
        <f>IF(AND(G104&lt;&gt;"",M104&lt;&gt;""),M104/G104,"")</f>
        <v>385.02673796791441</v>
      </c>
      <c r="O104" s="65">
        <f>IF(AND(G104&lt;&gt;"",L104&lt;&gt;""),L104/G104,"")</f>
        <v>342.24598930481284</v>
      </c>
      <c r="P104" s="65"/>
      <c r="Q104" s="65">
        <v>12</v>
      </c>
      <c r="R104" s="65">
        <v>4</v>
      </c>
      <c r="S104" s="65"/>
      <c r="T104" s="65">
        <v>173</v>
      </c>
      <c r="U104" s="469"/>
      <c r="V104" s="65">
        <v>12</v>
      </c>
      <c r="W104" s="536"/>
      <c r="X104" s="110">
        <v>480</v>
      </c>
      <c r="Y104" s="216">
        <v>4</v>
      </c>
      <c r="Z104" s="141">
        <f>IF(AND(L104&lt;&gt;"",Y104&lt;&gt;""),L104/Y104,"")</f>
        <v>960</v>
      </c>
      <c r="AA104" s="371">
        <f>M104/Q104</f>
        <v>360</v>
      </c>
      <c r="AB104" s="54">
        <f>L104/V104</f>
        <v>320</v>
      </c>
      <c r="AC104" s="99">
        <f>T104/V104</f>
        <v>14.416666666666666</v>
      </c>
      <c r="AD104" s="191">
        <f>512*36*V104/1000000</f>
        <v>0.22118399999999999</v>
      </c>
      <c r="AE104" s="197">
        <v>1.0469999999999999</v>
      </c>
      <c r="AF104" s="198">
        <f>(AE104*1000000-V104*36*512)/(4*L104)</f>
        <v>53.764062499999994</v>
      </c>
      <c r="AG104" s="492" t="s">
        <v>1618</v>
      </c>
      <c r="AH104" s="539"/>
    </row>
    <row r="105" spans="1:35" x14ac:dyDescent="0.2">
      <c r="A105" s="188" t="s">
        <v>1377</v>
      </c>
      <c r="B105" s="448"/>
      <c r="C105" s="296"/>
      <c r="D105" s="300"/>
      <c r="E105" s="118" t="s">
        <v>213</v>
      </c>
      <c r="F105" s="18" t="s">
        <v>214</v>
      </c>
      <c r="G105" s="19">
        <v>11.22</v>
      </c>
      <c r="H105" s="124">
        <v>16</v>
      </c>
      <c r="I105" s="162">
        <v>32</v>
      </c>
      <c r="J105" s="465" t="s">
        <v>1674</v>
      </c>
      <c r="K105" s="413">
        <v>55</v>
      </c>
      <c r="L105" s="253">
        <f>8*X105</f>
        <v>3840</v>
      </c>
      <c r="M105" s="64">
        <f>9*X105</f>
        <v>4320</v>
      </c>
      <c r="N105" s="65">
        <f>IF(AND(G105&lt;&gt;"",M105&lt;&gt;""),M105/G105,"")</f>
        <v>385.02673796791441</v>
      </c>
      <c r="O105" s="65">
        <f>IF(AND(G105&lt;&gt;"",L105&lt;&gt;""),L105/G105,"")</f>
        <v>342.24598930481284</v>
      </c>
      <c r="P105" s="65"/>
      <c r="Q105" s="65">
        <v>12</v>
      </c>
      <c r="R105" s="65">
        <v>4</v>
      </c>
      <c r="S105" s="65"/>
      <c r="T105" s="65">
        <v>173</v>
      </c>
      <c r="U105" s="469" t="s">
        <v>1204</v>
      </c>
      <c r="V105" s="65">
        <v>12</v>
      </c>
      <c r="W105" s="536" t="s">
        <v>1191</v>
      </c>
      <c r="X105" s="110">
        <v>480</v>
      </c>
      <c r="Y105" s="216">
        <v>4</v>
      </c>
      <c r="Z105" s="141">
        <f>IF(AND(L105&lt;&gt;"",Y105&lt;&gt;""),L105/Y105,"")</f>
        <v>960</v>
      </c>
      <c r="AA105" s="371">
        <f>M105/Q105</f>
        <v>360</v>
      </c>
      <c r="AB105" s="54">
        <f>L105/V105</f>
        <v>320</v>
      </c>
      <c r="AC105" s="99">
        <f>T105/V105</f>
        <v>14.416666666666666</v>
      </c>
      <c r="AD105" s="191">
        <f>512*36*V105/1000000</f>
        <v>0.22118399999999999</v>
      </c>
      <c r="AE105" s="197">
        <v>1.0469999999999999</v>
      </c>
      <c r="AF105" s="198">
        <f>(AE105*1000000-V105*36*512)/(4*L105)</f>
        <v>53.764062499999994</v>
      </c>
      <c r="AG105" s="492" t="s">
        <v>1185</v>
      </c>
      <c r="AH105" s="539" t="s">
        <v>1205</v>
      </c>
    </row>
    <row r="106" spans="1:35" x14ac:dyDescent="0.2">
      <c r="A106" s="213" t="s">
        <v>903</v>
      </c>
      <c r="B106" s="17"/>
      <c r="C106" s="227"/>
      <c r="D106" s="213"/>
      <c r="E106" s="118" t="s">
        <v>212</v>
      </c>
      <c r="F106" s="45" t="s">
        <v>210</v>
      </c>
      <c r="G106" s="19">
        <v>9.8800000000000008</v>
      </c>
      <c r="H106" s="124">
        <v>8</v>
      </c>
      <c r="I106" s="409">
        <v>83</v>
      </c>
      <c r="J106" s="424" t="s">
        <v>898</v>
      </c>
      <c r="K106" s="413">
        <v>79</v>
      </c>
      <c r="L106" s="253">
        <f t="shared" ref="L106:L111" si="9">8*X106</f>
        <v>1920</v>
      </c>
      <c r="M106" s="64">
        <f t="shared" ref="M106:M111" si="10">9*X106</f>
        <v>2160</v>
      </c>
      <c r="N106" s="65">
        <f t="shared" ref="N106:N111" si="11">IF(AND(G106&lt;&gt;"",M106&lt;&gt;""),M106/G106,"")</f>
        <v>218.62348178137651</v>
      </c>
      <c r="O106" s="65">
        <f t="shared" ref="O106:O111" si="12">IF(AND(G106&lt;&gt;"",L106&lt;&gt;""),L106/G106,"")</f>
        <v>194.33198380566799</v>
      </c>
      <c r="P106" s="65"/>
      <c r="Q106" s="65">
        <v>4</v>
      </c>
      <c r="R106" s="65"/>
      <c r="S106" s="65"/>
      <c r="T106" s="65">
        <v>108</v>
      </c>
      <c r="U106" s="65"/>
      <c r="V106" s="65">
        <v>4</v>
      </c>
      <c r="W106" s="154"/>
      <c r="X106" s="110">
        <v>240</v>
      </c>
      <c r="Y106" s="216">
        <v>2</v>
      </c>
      <c r="Z106" s="141">
        <f>IF(AND(L106&lt;&gt;"",Y106&lt;&gt;""),L106/Y106,"")</f>
        <v>960</v>
      </c>
      <c r="AA106" s="371">
        <f t="shared" ref="AA106:AA111" si="13">M106/Q106</f>
        <v>540</v>
      </c>
      <c r="AB106" s="54">
        <f t="shared" ref="AB106:AB111" si="14">L106/V106</f>
        <v>480</v>
      </c>
      <c r="AC106" s="99">
        <f t="shared" ref="AC106:AC111" si="15">T106/V106</f>
        <v>27</v>
      </c>
      <c r="AD106" s="191">
        <f t="shared" ref="AD106:AD111" si="16">512*36*V106/1000000</f>
        <v>7.3728000000000002E-2</v>
      </c>
      <c r="AE106" s="197">
        <v>0.58099999999999996</v>
      </c>
      <c r="AF106" s="198">
        <f t="shared" ref="AF106:AF111" si="17">(AE106*1000000-V106*36*512)/(4*L106)</f>
        <v>66.051041666666663</v>
      </c>
      <c r="AG106" s="236"/>
    </row>
    <row r="107" spans="1:35" x14ac:dyDescent="0.2">
      <c r="A107" s="213" t="s">
        <v>924</v>
      </c>
      <c r="B107" s="17"/>
      <c r="C107" s="227"/>
      <c r="D107" s="213"/>
      <c r="E107" s="118" t="s">
        <v>217</v>
      </c>
      <c r="F107" s="18" t="s">
        <v>218</v>
      </c>
      <c r="G107" s="19">
        <v>18.260000000000002</v>
      </c>
      <c r="H107" s="124">
        <v>17</v>
      </c>
      <c r="I107" s="409">
        <v>173</v>
      </c>
      <c r="J107" s="416" t="s">
        <v>925</v>
      </c>
      <c r="K107" s="537">
        <v>109</v>
      </c>
      <c r="L107" s="253">
        <f>8*X107</f>
        <v>7168</v>
      </c>
      <c r="M107" s="64">
        <f>9*X107</f>
        <v>8064</v>
      </c>
      <c r="N107" s="65">
        <f>IF(AND(G107&lt;&gt;"",M107&lt;&gt;""),M107/G107,"")</f>
        <v>441.62102957283679</v>
      </c>
      <c r="O107" s="65">
        <f>IF(AND(G107&lt;&gt;"",L107&lt;&gt;""),L107/G107,"")</f>
        <v>392.552026286966</v>
      </c>
      <c r="P107" s="65"/>
      <c r="Q107" s="65">
        <v>16</v>
      </c>
      <c r="R107" s="65">
        <v>4</v>
      </c>
      <c r="S107" s="65"/>
      <c r="T107" s="65">
        <v>264</v>
      </c>
      <c r="U107" s="65"/>
      <c r="V107" s="65">
        <v>16</v>
      </c>
      <c r="W107" s="154"/>
      <c r="X107" s="110">
        <v>896</v>
      </c>
      <c r="Y107" s="216">
        <v>6.5</v>
      </c>
      <c r="Z107" s="141">
        <f>IF(AND(L107&lt;&gt;"",Y107&lt;&gt;""),L107/Y107,"")</f>
        <v>1102.7692307692307</v>
      </c>
      <c r="AA107" s="371">
        <f>M107/Q107</f>
        <v>504</v>
      </c>
      <c r="AB107" s="54">
        <f>L107/V107</f>
        <v>448</v>
      </c>
      <c r="AC107" s="99">
        <f>T107/V107</f>
        <v>16.5</v>
      </c>
      <c r="AD107" s="191">
        <f>512*36*V107/1000000</f>
        <v>0.29491200000000001</v>
      </c>
      <c r="AE107" s="197">
        <v>1.6990000000000001</v>
      </c>
      <c r="AF107" s="198">
        <f>(AE107*1000000-V107*36*512)/(4*L107)</f>
        <v>48.970703125</v>
      </c>
      <c r="AG107" s="236"/>
    </row>
    <row r="108" spans="1:35" x14ac:dyDescent="0.2">
      <c r="A108" s="213" t="s">
        <v>903</v>
      </c>
      <c r="B108" s="17"/>
      <c r="C108" s="227"/>
      <c r="D108" s="213"/>
      <c r="E108" s="118" t="s">
        <v>220</v>
      </c>
      <c r="F108" s="18" t="s">
        <v>453</v>
      </c>
      <c r="G108" s="19">
        <v>21.63</v>
      </c>
      <c r="H108" s="124">
        <v>8</v>
      </c>
      <c r="I108" s="409">
        <v>92</v>
      </c>
      <c r="J108" s="424" t="s">
        <v>904</v>
      </c>
      <c r="K108" s="413">
        <v>129</v>
      </c>
      <c r="L108" s="253">
        <f t="shared" si="9"/>
        <v>9312</v>
      </c>
      <c r="M108" s="64">
        <f t="shared" si="10"/>
        <v>10476</v>
      </c>
      <c r="N108" s="65">
        <f t="shared" si="11"/>
        <v>484.32732316227464</v>
      </c>
      <c r="O108" s="65">
        <f t="shared" si="12"/>
        <v>430.51317614424414</v>
      </c>
      <c r="P108" s="65"/>
      <c r="Q108" s="65">
        <v>20</v>
      </c>
      <c r="R108" s="65"/>
      <c r="S108" s="65"/>
      <c r="T108" s="65">
        <v>232</v>
      </c>
      <c r="U108" s="65"/>
      <c r="V108" s="65">
        <v>20</v>
      </c>
      <c r="W108" s="154"/>
      <c r="X108" s="110">
        <v>1164</v>
      </c>
      <c r="Y108" s="216"/>
      <c r="Z108" s="141"/>
      <c r="AA108" s="371">
        <f t="shared" si="13"/>
        <v>523.79999999999995</v>
      </c>
      <c r="AB108" s="54">
        <f t="shared" si="14"/>
        <v>465.6</v>
      </c>
      <c r="AC108" s="99">
        <f t="shared" si="15"/>
        <v>11.6</v>
      </c>
      <c r="AD108" s="191">
        <f t="shared" si="16"/>
        <v>0.36864000000000002</v>
      </c>
      <c r="AE108" s="197">
        <v>2.27</v>
      </c>
      <c r="AF108" s="198">
        <f t="shared" si="17"/>
        <v>51.045962199312712</v>
      </c>
      <c r="AG108" s="236"/>
    </row>
    <row r="109" spans="1:35" x14ac:dyDescent="0.2">
      <c r="A109" s="213" t="s">
        <v>912</v>
      </c>
      <c r="B109" s="17"/>
      <c r="C109" s="227"/>
      <c r="D109" s="213"/>
      <c r="E109" s="118" t="s">
        <v>217</v>
      </c>
      <c r="F109" s="18" t="s">
        <v>218</v>
      </c>
      <c r="G109" s="19">
        <v>18.260000000000002</v>
      </c>
      <c r="H109" s="124">
        <v>17</v>
      </c>
      <c r="I109" s="409">
        <v>173</v>
      </c>
      <c r="J109" s="416" t="s">
        <v>907</v>
      </c>
      <c r="K109" s="428">
        <v>174.95</v>
      </c>
      <c r="L109" s="253">
        <f t="shared" si="9"/>
        <v>7168</v>
      </c>
      <c r="M109" s="64">
        <f t="shared" si="10"/>
        <v>8064</v>
      </c>
      <c r="N109" s="65">
        <f t="shared" si="11"/>
        <v>441.62102957283679</v>
      </c>
      <c r="O109" s="65">
        <f t="shared" si="12"/>
        <v>392.552026286966</v>
      </c>
      <c r="P109" s="65"/>
      <c r="Q109" s="65">
        <v>16</v>
      </c>
      <c r="R109" s="65">
        <v>4</v>
      </c>
      <c r="S109" s="65"/>
      <c r="T109" s="65">
        <v>264</v>
      </c>
      <c r="U109" s="65"/>
      <c r="V109" s="65">
        <v>16</v>
      </c>
      <c r="W109" s="154"/>
      <c r="X109" s="110">
        <v>896</v>
      </c>
      <c r="Y109" s="216">
        <v>6.5</v>
      </c>
      <c r="Z109" s="141">
        <f>IF(AND(L109&lt;&gt;"",Y109&lt;&gt;""),L109/Y109,"")</f>
        <v>1102.7692307692307</v>
      </c>
      <c r="AA109" s="371">
        <f t="shared" si="13"/>
        <v>504</v>
      </c>
      <c r="AB109" s="54">
        <f t="shared" si="14"/>
        <v>448</v>
      </c>
      <c r="AC109" s="99">
        <f t="shared" si="15"/>
        <v>16.5</v>
      </c>
      <c r="AD109" s="191">
        <f t="shared" si="16"/>
        <v>0.29491200000000001</v>
      </c>
      <c r="AE109" s="197">
        <v>1.6990000000000001</v>
      </c>
      <c r="AF109" s="198">
        <f t="shared" si="17"/>
        <v>48.970703125</v>
      </c>
      <c r="AG109" s="236"/>
    </row>
    <row r="110" spans="1:35" x14ac:dyDescent="0.2">
      <c r="A110" s="213" t="s">
        <v>922</v>
      </c>
      <c r="B110" s="17"/>
      <c r="C110" s="227"/>
      <c r="D110" s="213"/>
      <c r="E110" s="118" t="s">
        <v>221</v>
      </c>
      <c r="F110" s="18" t="s">
        <v>222</v>
      </c>
      <c r="G110" s="19">
        <v>38.774999999999999</v>
      </c>
      <c r="H110" s="124">
        <v>17</v>
      </c>
      <c r="I110" s="162">
        <v>173</v>
      </c>
      <c r="J110" s="427" t="s">
        <v>923</v>
      </c>
      <c r="K110" s="413">
        <v>199</v>
      </c>
      <c r="L110" s="253">
        <f t="shared" si="9"/>
        <v>15360</v>
      </c>
      <c r="M110" s="64">
        <f t="shared" si="10"/>
        <v>17280</v>
      </c>
      <c r="N110" s="65">
        <f t="shared" si="11"/>
        <v>445.64796905222437</v>
      </c>
      <c r="O110" s="65">
        <f t="shared" si="12"/>
        <v>396.13152804642169</v>
      </c>
      <c r="P110" s="65"/>
      <c r="Q110" s="65">
        <v>24</v>
      </c>
      <c r="R110" s="65">
        <v>4</v>
      </c>
      <c r="S110" s="65"/>
      <c r="T110" s="65">
        <v>391</v>
      </c>
      <c r="U110" s="65"/>
      <c r="V110" s="65">
        <v>24</v>
      </c>
      <c r="W110" s="154"/>
      <c r="X110" s="110">
        <v>1920</v>
      </c>
      <c r="Y110" s="216">
        <v>12</v>
      </c>
      <c r="Z110" s="141">
        <f>IF(AND(L110&lt;&gt;"",Y110&lt;&gt;""),L110/Y110,"")</f>
        <v>1280</v>
      </c>
      <c r="AA110" s="371">
        <f t="shared" si="13"/>
        <v>720</v>
      </c>
      <c r="AB110" s="54">
        <f t="shared" si="14"/>
        <v>640</v>
      </c>
      <c r="AC110" s="99">
        <f t="shared" si="15"/>
        <v>16.291666666666668</v>
      </c>
      <c r="AD110" s="191">
        <f t="shared" si="16"/>
        <v>0.44236799999999998</v>
      </c>
      <c r="AE110" s="197">
        <v>3.2229999999999999</v>
      </c>
      <c r="AF110" s="198">
        <f t="shared" si="17"/>
        <v>45.257682291666669</v>
      </c>
      <c r="AG110" s="236"/>
    </row>
    <row r="111" spans="1:35" ht="13.5" thickBot="1" x14ac:dyDescent="0.25">
      <c r="A111" s="213" t="s">
        <v>911</v>
      </c>
      <c r="B111" s="17"/>
      <c r="C111" s="227"/>
      <c r="D111" s="213"/>
      <c r="E111" s="118" t="s">
        <v>538</v>
      </c>
      <c r="F111" s="18" t="s">
        <v>604</v>
      </c>
      <c r="G111" s="19">
        <v>70.8125</v>
      </c>
      <c r="H111" s="124">
        <v>23</v>
      </c>
      <c r="I111" s="409">
        <v>375</v>
      </c>
      <c r="J111" s="416" t="s">
        <v>910</v>
      </c>
      <c r="K111" s="428">
        <v>395</v>
      </c>
      <c r="L111" s="253">
        <f t="shared" si="9"/>
        <v>22528</v>
      </c>
      <c r="M111" s="64">
        <f t="shared" si="10"/>
        <v>25344</v>
      </c>
      <c r="N111" s="65">
        <f t="shared" si="11"/>
        <v>357.90291262135923</v>
      </c>
      <c r="O111" s="65">
        <f t="shared" si="12"/>
        <v>318.13592233009706</v>
      </c>
      <c r="P111" s="65"/>
      <c r="Q111" s="65">
        <v>32</v>
      </c>
      <c r="R111" s="65">
        <v>8</v>
      </c>
      <c r="S111" s="65"/>
      <c r="T111" s="65">
        <v>502</v>
      </c>
      <c r="U111" s="65"/>
      <c r="V111" s="65">
        <v>32</v>
      </c>
      <c r="W111" s="154">
        <v>1.7301504000000001</v>
      </c>
      <c r="X111" s="110">
        <v>2816</v>
      </c>
      <c r="Y111" s="216">
        <v>9</v>
      </c>
      <c r="Z111" s="141">
        <f>IF(AND(L111&lt;&gt;"",Y111&lt;&gt;""),L111/Y111,"")</f>
        <v>2503.1111111111113</v>
      </c>
      <c r="AA111" s="371">
        <f t="shared" si="13"/>
        <v>792</v>
      </c>
      <c r="AB111" s="54">
        <f t="shared" si="14"/>
        <v>704</v>
      </c>
      <c r="AC111" s="99">
        <f t="shared" si="15"/>
        <v>15.6875</v>
      </c>
      <c r="AD111" s="191">
        <f t="shared" si="16"/>
        <v>0.58982400000000001</v>
      </c>
      <c r="AE111" s="197">
        <v>4.7549999999999999</v>
      </c>
      <c r="AF111" s="198">
        <f t="shared" si="17"/>
        <v>46.222212357954547</v>
      </c>
      <c r="AG111" s="236" t="s">
        <v>793</v>
      </c>
    </row>
    <row r="112" spans="1:35" x14ac:dyDescent="0.2">
      <c r="A112" s="213"/>
      <c r="B112" s="48" t="s">
        <v>715</v>
      </c>
      <c r="C112" s="226"/>
      <c r="D112" s="212"/>
      <c r="E112" s="12" t="s">
        <v>664</v>
      </c>
      <c r="F112" s="13"/>
      <c r="G112" s="14" t="s">
        <v>22</v>
      </c>
      <c r="H112" s="40" t="s">
        <v>531</v>
      </c>
      <c r="I112" s="408"/>
      <c r="J112" s="425"/>
      <c r="K112" s="414"/>
      <c r="L112" s="411" t="s">
        <v>665</v>
      </c>
      <c r="M112" s="383" t="s">
        <v>696</v>
      </c>
      <c r="N112" s="380"/>
      <c r="O112" s="382"/>
      <c r="P112" s="60"/>
      <c r="Q112" s="61" t="s">
        <v>92</v>
      </c>
      <c r="R112" s="61"/>
      <c r="S112" s="61" t="s">
        <v>833</v>
      </c>
      <c r="T112" s="61"/>
      <c r="U112" s="399" t="s">
        <v>1183</v>
      </c>
      <c r="V112" s="74" t="s">
        <v>677</v>
      </c>
      <c r="W112" s="399" t="s">
        <v>1184</v>
      </c>
      <c r="X112" s="109" t="s">
        <v>188</v>
      </c>
      <c r="Y112" s="80" t="s">
        <v>695</v>
      </c>
      <c r="Z112" s="206"/>
      <c r="AA112" s="370"/>
      <c r="AB112" s="92"/>
      <c r="AC112" s="98"/>
      <c r="AD112" s="109" t="s">
        <v>650</v>
      </c>
      <c r="AE112" s="207"/>
      <c r="AF112" s="196"/>
      <c r="AG112" t="s">
        <v>261</v>
      </c>
      <c r="AH112" s="538"/>
    </row>
    <row r="113" spans="1:35" x14ac:dyDescent="0.2">
      <c r="A113" s="494" t="s">
        <v>2225</v>
      </c>
      <c r="B113" s="17" t="s">
        <v>702</v>
      </c>
      <c r="C113" s="227" t="s">
        <v>697</v>
      </c>
      <c r="D113" s="213"/>
      <c r="E113" s="134" t="s">
        <v>667</v>
      </c>
      <c r="F113" s="143" t="s">
        <v>1196</v>
      </c>
      <c r="G113" s="43">
        <v>18.309999999999999</v>
      </c>
      <c r="H113" s="128">
        <v>8</v>
      </c>
      <c r="I113" s="430">
        <v>16</v>
      </c>
      <c r="J113" s="1145" t="s">
        <v>2229</v>
      </c>
      <c r="K113" s="1291">
        <v>28</v>
      </c>
      <c r="L113" s="456">
        <f t="shared" ref="L113:L144" si="18">4*X113/1000</f>
        <v>5.72</v>
      </c>
      <c r="M113" s="457">
        <f t="shared" ref="M113:M144" si="19">6.4*X113/1000</f>
        <v>9.1519999999999992</v>
      </c>
      <c r="N113" s="65">
        <f t="shared" ref="N113:N144" si="20">IF(AND(G113&lt;&gt;"",M113&lt;&gt;""),1000*M113/G113,"")</f>
        <v>499.83615510649923</v>
      </c>
      <c r="O113" s="65">
        <f t="shared" ref="O113:O144" si="21">IF(AND(G113&lt;&gt;"",L113&lt;&gt;""),1000*L113/G113,"")</f>
        <v>312.39759694156203</v>
      </c>
      <c r="P113" s="65"/>
      <c r="Q113" s="65">
        <v>16</v>
      </c>
      <c r="R113" s="65">
        <v>2</v>
      </c>
      <c r="S113" s="65"/>
      <c r="T113" s="65">
        <v>200</v>
      </c>
      <c r="U113" s="469" t="s">
        <v>1189</v>
      </c>
      <c r="V113" s="65">
        <v>32</v>
      </c>
      <c r="W113" s="469" t="s">
        <v>1188</v>
      </c>
      <c r="X113" s="115">
        <v>1430</v>
      </c>
      <c r="Y113" s="87"/>
      <c r="Z113" s="141" t="str">
        <f>IF(AND(L113&lt;&gt;"",Y113&lt;&gt;""),L113/Y113,"")</f>
        <v/>
      </c>
      <c r="AA113" s="371">
        <f t="shared" ref="AA113:AA144" si="22">1000*M113/Q113</f>
        <v>572</v>
      </c>
      <c r="AB113" s="54">
        <f>1000*L113/V113</f>
        <v>178.75</v>
      </c>
      <c r="AC113" s="99">
        <f t="shared" ref="AC113:AC144" si="23">T113/V113</f>
        <v>6.25</v>
      </c>
      <c r="AD113" s="191">
        <f t="shared" ref="AD113:AD144" si="24">256*72*V113/1000000</f>
        <v>0.58982400000000001</v>
      </c>
      <c r="AE113" s="208">
        <v>2.7</v>
      </c>
      <c r="AF113" s="198">
        <f t="shared" ref="AF113:AF144" si="25">(AE113*1000000-V113*36*512)/(6000*L113)</f>
        <v>61.485314685314684</v>
      </c>
      <c r="AG113" s="493" t="s">
        <v>2228</v>
      </c>
      <c r="AH113" s="539" t="s">
        <v>2226</v>
      </c>
      <c r="AI113" s="493" t="s">
        <v>2227</v>
      </c>
    </row>
    <row r="114" spans="1:35" x14ac:dyDescent="0.2">
      <c r="A114" s="494" t="s">
        <v>2099</v>
      </c>
      <c r="B114" s="17" t="s">
        <v>702</v>
      </c>
      <c r="C114" s="227" t="s">
        <v>697</v>
      </c>
      <c r="D114" s="213"/>
      <c r="E114" s="134" t="s">
        <v>668</v>
      </c>
      <c r="F114" s="143" t="s">
        <v>1151</v>
      </c>
      <c r="G114" s="43">
        <v>26.84</v>
      </c>
      <c r="H114" s="128">
        <v>8</v>
      </c>
      <c r="I114" s="430">
        <v>72</v>
      </c>
      <c r="J114" s="1624" t="s">
        <v>2098</v>
      </c>
      <c r="K114" s="1041">
        <v>34.9</v>
      </c>
      <c r="L114" s="456">
        <f t="shared" si="18"/>
        <v>9.1120000000000001</v>
      </c>
      <c r="M114" s="457">
        <f t="shared" si="19"/>
        <v>14.5792</v>
      </c>
      <c r="N114" s="65">
        <f t="shared" si="20"/>
        <v>543.1892697466468</v>
      </c>
      <c r="O114" s="65">
        <f t="shared" si="21"/>
        <v>339.49329359165426</v>
      </c>
      <c r="P114" s="65"/>
      <c r="Q114" s="65">
        <v>32</v>
      </c>
      <c r="R114" s="65">
        <v>2</v>
      </c>
      <c r="S114" s="65"/>
      <c r="T114" s="65">
        <v>232</v>
      </c>
      <c r="U114" s="469" t="s">
        <v>1181</v>
      </c>
      <c r="V114" s="65">
        <v>32</v>
      </c>
      <c r="W114" s="1311" t="s">
        <v>1195</v>
      </c>
      <c r="X114" s="115">
        <v>2278</v>
      </c>
      <c r="Y114" s="87"/>
      <c r="Z114" s="141" t="str">
        <f>IF(AND(L114&lt;&gt;"",Y114&lt;&gt;""),L114/Y114,"")</f>
        <v/>
      </c>
      <c r="AA114" s="371">
        <f t="shared" si="22"/>
        <v>455.6</v>
      </c>
      <c r="AB114" s="54">
        <f t="shared" ref="AB114:AB144" si="26">1000*L114/V114</f>
        <v>284.75</v>
      </c>
      <c r="AC114" s="99">
        <f t="shared" si="23"/>
        <v>7.25</v>
      </c>
      <c r="AD114" s="191">
        <f t="shared" si="24"/>
        <v>0.58982400000000001</v>
      </c>
      <c r="AE114" s="208">
        <v>3.7</v>
      </c>
      <c r="AF114" s="198">
        <f t="shared" si="25"/>
        <v>56.887913374304944</v>
      </c>
      <c r="AG114" s="493" t="s">
        <v>1221</v>
      </c>
      <c r="AH114" s="539" t="s">
        <v>2101</v>
      </c>
      <c r="AI114" s="493" t="s">
        <v>2100</v>
      </c>
    </row>
    <row r="115" spans="1:35" x14ac:dyDescent="0.2">
      <c r="A115" s="494" t="s">
        <v>1219</v>
      </c>
      <c r="B115" s="17" t="s">
        <v>702</v>
      </c>
      <c r="C115" s="227" t="s">
        <v>697</v>
      </c>
      <c r="D115" s="213"/>
      <c r="E115" s="134" t="s">
        <v>667</v>
      </c>
      <c r="F115" s="143" t="s">
        <v>1196</v>
      </c>
      <c r="G115" s="43">
        <v>18.309999999999999</v>
      </c>
      <c r="H115" s="128">
        <v>8</v>
      </c>
      <c r="I115" s="430">
        <v>16</v>
      </c>
      <c r="J115" s="487" t="s">
        <v>1246</v>
      </c>
      <c r="K115" s="488">
        <v>61.95</v>
      </c>
      <c r="L115" s="456">
        <f t="shared" si="18"/>
        <v>5.72</v>
      </c>
      <c r="M115" s="457">
        <f t="shared" si="19"/>
        <v>9.1519999999999992</v>
      </c>
      <c r="N115" s="65">
        <f t="shared" si="20"/>
        <v>499.83615510649923</v>
      </c>
      <c r="O115" s="65">
        <f t="shared" si="21"/>
        <v>312.39759694156203</v>
      </c>
      <c r="P115" s="65"/>
      <c r="Q115" s="65">
        <v>16</v>
      </c>
      <c r="R115" s="65">
        <v>2</v>
      </c>
      <c r="S115" s="65"/>
      <c r="T115" s="65">
        <v>200</v>
      </c>
      <c r="U115" s="469" t="s">
        <v>1194</v>
      </c>
      <c r="V115" s="65">
        <v>32</v>
      </c>
      <c r="W115" s="469" t="s">
        <v>1188</v>
      </c>
      <c r="X115" s="115">
        <v>1430</v>
      </c>
      <c r="Y115" s="87"/>
      <c r="Z115" s="141" t="str">
        <f>IF(AND(L115&lt;&gt;"",Y115&lt;&gt;""),L115/Y115,"")</f>
        <v/>
      </c>
      <c r="AA115" s="371">
        <f t="shared" si="22"/>
        <v>572</v>
      </c>
      <c r="AB115" s="54">
        <f t="shared" si="26"/>
        <v>178.75</v>
      </c>
      <c r="AC115" s="99">
        <f t="shared" si="23"/>
        <v>6.25</v>
      </c>
      <c r="AD115" s="191">
        <f t="shared" si="24"/>
        <v>0.58982400000000001</v>
      </c>
      <c r="AE115" s="208">
        <v>2.7</v>
      </c>
      <c r="AF115" s="198">
        <f t="shared" si="25"/>
        <v>61.485314685314684</v>
      </c>
      <c r="AG115" s="493" t="s">
        <v>1221</v>
      </c>
      <c r="AH115" s="539" t="s">
        <v>1220</v>
      </c>
      <c r="AI115" s="493" t="s">
        <v>1249</v>
      </c>
    </row>
    <row r="116" spans="1:35" x14ac:dyDescent="0.2">
      <c r="A116" s="188" t="s">
        <v>903</v>
      </c>
      <c r="B116" s="17" t="s">
        <v>702</v>
      </c>
      <c r="C116" s="227" t="s">
        <v>697</v>
      </c>
      <c r="D116" s="213"/>
      <c r="E116" s="134" t="s">
        <v>666</v>
      </c>
      <c r="F116" s="143" t="s">
        <v>867</v>
      </c>
      <c r="G116" s="43">
        <v>10.81</v>
      </c>
      <c r="H116" s="128">
        <v>8</v>
      </c>
      <c r="I116" s="430">
        <v>100</v>
      </c>
      <c r="J116" s="487" t="s">
        <v>1519</v>
      </c>
      <c r="K116" s="488">
        <v>69</v>
      </c>
      <c r="L116" s="456">
        <f t="shared" si="18"/>
        <v>2.4</v>
      </c>
      <c r="M116" s="457">
        <f t="shared" si="19"/>
        <v>3.84</v>
      </c>
      <c r="N116" s="65">
        <f t="shared" si="20"/>
        <v>355.22664199814983</v>
      </c>
      <c r="O116" s="65">
        <f t="shared" si="21"/>
        <v>222.01665124884366</v>
      </c>
      <c r="P116" s="65"/>
      <c r="Q116" s="65">
        <v>4</v>
      </c>
      <c r="R116" s="65">
        <v>1</v>
      </c>
      <c r="S116" s="65"/>
      <c r="T116" s="65">
        <v>120</v>
      </c>
      <c r="U116" s="65"/>
      <c r="V116" s="65">
        <v>8</v>
      </c>
      <c r="W116" s="65"/>
      <c r="X116" s="115">
        <v>600</v>
      </c>
      <c r="Y116" s="87">
        <v>3</v>
      </c>
      <c r="Z116" s="141">
        <f>IF(AND(L116&lt;&gt;"",Y116&lt;&gt;""),1000*L116/Y116,"")</f>
        <v>800</v>
      </c>
      <c r="AA116" s="371">
        <f t="shared" si="22"/>
        <v>960</v>
      </c>
      <c r="AB116" s="54">
        <f t="shared" si="26"/>
        <v>300</v>
      </c>
      <c r="AC116" s="99">
        <f t="shared" si="23"/>
        <v>15</v>
      </c>
      <c r="AD116" s="191">
        <f t="shared" si="24"/>
        <v>0.147456</v>
      </c>
      <c r="AE116" s="208">
        <v>2.7</v>
      </c>
      <c r="AF116" s="198">
        <f t="shared" si="25"/>
        <v>177.26</v>
      </c>
      <c r="AG116" s="493" t="s">
        <v>1520</v>
      </c>
      <c r="AH116" s="538"/>
    </row>
    <row r="117" spans="1:35" x14ac:dyDescent="0.2">
      <c r="A117" s="494" t="s">
        <v>1377</v>
      </c>
      <c r="B117" s="17" t="s">
        <v>702</v>
      </c>
      <c r="C117" s="227" t="s">
        <v>697</v>
      </c>
      <c r="D117" s="213"/>
      <c r="E117" s="134" t="s">
        <v>667</v>
      </c>
      <c r="F117" s="143" t="s">
        <v>1196</v>
      </c>
      <c r="G117" s="43">
        <v>18.309999999999999</v>
      </c>
      <c r="H117" s="128">
        <v>8</v>
      </c>
      <c r="I117" s="430">
        <v>16</v>
      </c>
      <c r="J117" s="487" t="s">
        <v>1655</v>
      </c>
      <c r="K117" s="429">
        <v>69</v>
      </c>
      <c r="L117" s="456">
        <f t="shared" si="18"/>
        <v>5.72</v>
      </c>
      <c r="M117" s="457">
        <f t="shared" si="19"/>
        <v>9.1519999999999992</v>
      </c>
      <c r="N117" s="65">
        <f t="shared" si="20"/>
        <v>499.83615510649923</v>
      </c>
      <c r="O117" s="65">
        <f t="shared" si="21"/>
        <v>312.39759694156203</v>
      </c>
      <c r="P117" s="65"/>
      <c r="Q117" s="65">
        <v>16</v>
      </c>
      <c r="R117" s="65">
        <v>2</v>
      </c>
      <c r="S117" s="65"/>
      <c r="T117" s="65">
        <v>200</v>
      </c>
      <c r="U117" s="469" t="s">
        <v>1194</v>
      </c>
      <c r="V117" s="65">
        <v>32</v>
      </c>
      <c r="W117" s="469" t="s">
        <v>1188</v>
      </c>
      <c r="X117" s="115">
        <v>1430</v>
      </c>
      <c r="Y117" s="87"/>
      <c r="Z117" s="141" t="str">
        <f t="shared" ref="Z117:Z144" si="27">IF(AND(L117&lt;&gt;"",Y117&lt;&gt;""),L117/Y117,"")</f>
        <v/>
      </c>
      <c r="AA117" s="371">
        <f t="shared" si="22"/>
        <v>572</v>
      </c>
      <c r="AB117" s="54">
        <f t="shared" si="26"/>
        <v>178.75</v>
      </c>
      <c r="AC117" s="99">
        <f t="shared" si="23"/>
        <v>6.25</v>
      </c>
      <c r="AD117" s="191">
        <f t="shared" si="24"/>
        <v>0.58982400000000001</v>
      </c>
      <c r="AE117" s="208">
        <v>2.7</v>
      </c>
      <c r="AF117" s="198">
        <f t="shared" si="25"/>
        <v>61.485314685314684</v>
      </c>
      <c r="AG117" s="492" t="s">
        <v>1656</v>
      </c>
      <c r="AH117" s="539"/>
      <c r="AI117" s="493"/>
    </row>
    <row r="118" spans="1:35" x14ac:dyDescent="0.2">
      <c r="A118" s="494" t="s">
        <v>1706</v>
      </c>
      <c r="B118" s="17" t="s">
        <v>702</v>
      </c>
      <c r="C118" s="227" t="s">
        <v>697</v>
      </c>
      <c r="D118" s="213"/>
      <c r="E118" s="134" t="s">
        <v>667</v>
      </c>
      <c r="F118" s="143" t="s">
        <v>1196</v>
      </c>
      <c r="G118" s="43">
        <v>18.309999999999999</v>
      </c>
      <c r="H118" s="128">
        <v>8</v>
      </c>
      <c r="I118" s="430">
        <v>16</v>
      </c>
      <c r="J118" s="487" t="s">
        <v>1707</v>
      </c>
      <c r="K118" s="488">
        <v>69.97</v>
      </c>
      <c r="L118" s="456">
        <f t="shared" si="18"/>
        <v>5.72</v>
      </c>
      <c r="M118" s="457">
        <f t="shared" si="19"/>
        <v>9.1519999999999992</v>
      </c>
      <c r="N118" s="65">
        <f t="shared" si="20"/>
        <v>499.83615510649923</v>
      </c>
      <c r="O118" s="65">
        <f t="shared" si="21"/>
        <v>312.39759694156203</v>
      </c>
      <c r="P118" s="65"/>
      <c r="Q118" s="65">
        <v>16</v>
      </c>
      <c r="R118" s="65">
        <v>2</v>
      </c>
      <c r="S118" s="65"/>
      <c r="T118" s="65">
        <v>200</v>
      </c>
      <c r="U118" s="469" t="s">
        <v>1194</v>
      </c>
      <c r="V118" s="65">
        <v>32</v>
      </c>
      <c r="W118" s="469" t="s">
        <v>1188</v>
      </c>
      <c r="X118" s="115">
        <v>1430</v>
      </c>
      <c r="Y118" s="87"/>
      <c r="Z118" s="141" t="str">
        <f t="shared" si="27"/>
        <v/>
      </c>
      <c r="AA118" s="371">
        <f t="shared" si="22"/>
        <v>572</v>
      </c>
      <c r="AB118" s="54">
        <f t="shared" si="26"/>
        <v>178.75</v>
      </c>
      <c r="AC118" s="99">
        <f t="shared" si="23"/>
        <v>6.25</v>
      </c>
      <c r="AD118" s="191">
        <f t="shared" si="24"/>
        <v>0.58982400000000001</v>
      </c>
      <c r="AE118" s="208">
        <v>2.7</v>
      </c>
      <c r="AF118" s="198">
        <f t="shared" si="25"/>
        <v>61.485314685314684</v>
      </c>
      <c r="AG118" s="1197" t="s">
        <v>1221</v>
      </c>
      <c r="AH118" s="539" t="s">
        <v>1708</v>
      </c>
      <c r="AI118" s="493" t="s">
        <v>2343</v>
      </c>
    </row>
    <row r="119" spans="1:35" x14ac:dyDescent="0.2">
      <c r="A119" s="494" t="s">
        <v>2610</v>
      </c>
      <c r="B119" s="17" t="s">
        <v>702</v>
      </c>
      <c r="C119" s="227" t="s">
        <v>697</v>
      </c>
      <c r="D119" s="213"/>
      <c r="E119" s="134" t="s">
        <v>667</v>
      </c>
      <c r="F119" s="143" t="s">
        <v>1106</v>
      </c>
      <c r="G119" s="43">
        <v>14.75</v>
      </c>
      <c r="H119" s="128">
        <v>8</v>
      </c>
      <c r="I119" s="128">
        <v>100</v>
      </c>
      <c r="J119" s="487" t="s">
        <v>2611</v>
      </c>
      <c r="K119" s="488">
        <v>71.989999999999995</v>
      </c>
      <c r="L119" s="456">
        <f t="shared" si="18"/>
        <v>5.72</v>
      </c>
      <c r="M119" s="457">
        <f t="shared" si="19"/>
        <v>9.1519999999999992</v>
      </c>
      <c r="N119" s="65">
        <f t="shared" si="20"/>
        <v>620.47457627118649</v>
      </c>
      <c r="O119" s="65">
        <f t="shared" si="21"/>
        <v>387.79661016949154</v>
      </c>
      <c r="P119" s="65"/>
      <c r="Q119" s="65">
        <v>16</v>
      </c>
      <c r="R119" s="65">
        <v>2</v>
      </c>
      <c r="S119" s="65"/>
      <c r="T119" s="65">
        <v>200</v>
      </c>
      <c r="U119" s="469" t="s">
        <v>1189</v>
      </c>
      <c r="V119" s="65">
        <v>32</v>
      </c>
      <c r="W119" s="65"/>
      <c r="X119" s="115">
        <v>1430</v>
      </c>
      <c r="Y119" s="87"/>
      <c r="Z119" s="141" t="str">
        <f>IF(AND(L119&lt;&gt;"",Y119&lt;&gt;""),L119/Y119,"")</f>
        <v/>
      </c>
      <c r="AA119" s="371">
        <f t="shared" si="22"/>
        <v>572</v>
      </c>
      <c r="AB119" s="54">
        <f>L119/V119</f>
        <v>0.17874999999999999</v>
      </c>
      <c r="AC119" s="99">
        <f t="shared" si="23"/>
        <v>6.25</v>
      </c>
      <c r="AD119" s="191">
        <f t="shared" si="24"/>
        <v>0.58982400000000001</v>
      </c>
      <c r="AE119" s="208">
        <v>2.7</v>
      </c>
      <c r="AF119" s="198">
        <f t="shared" si="25"/>
        <v>61.485314685314684</v>
      </c>
      <c r="AG119" s="493" t="s">
        <v>2228</v>
      </c>
      <c r="AH119" s="524" t="s">
        <v>2629</v>
      </c>
      <c r="AI119" s="493"/>
    </row>
    <row r="120" spans="1:35" x14ac:dyDescent="0.2">
      <c r="A120" s="494" t="s">
        <v>1615</v>
      </c>
      <c r="B120" s="17" t="s">
        <v>702</v>
      </c>
      <c r="C120" s="227" t="s">
        <v>697</v>
      </c>
      <c r="D120" s="213"/>
      <c r="E120" s="134" t="s">
        <v>667</v>
      </c>
      <c r="F120" s="143" t="s">
        <v>569</v>
      </c>
      <c r="G120" s="43">
        <v>18.309999999999999</v>
      </c>
      <c r="H120" s="128">
        <v>8</v>
      </c>
      <c r="I120" s="430">
        <v>16</v>
      </c>
      <c r="J120" s="487" t="s">
        <v>1616</v>
      </c>
      <c r="K120" s="488">
        <v>75</v>
      </c>
      <c r="L120" s="456">
        <f t="shared" si="18"/>
        <v>5.72</v>
      </c>
      <c r="M120" s="457">
        <f t="shared" si="19"/>
        <v>9.1519999999999992</v>
      </c>
      <c r="N120" s="65">
        <f t="shared" si="20"/>
        <v>499.83615510649923</v>
      </c>
      <c r="O120" s="65">
        <f t="shared" si="21"/>
        <v>312.39759694156203</v>
      </c>
      <c r="P120" s="65"/>
      <c r="Q120" s="65">
        <v>16</v>
      </c>
      <c r="R120" s="65">
        <v>2</v>
      </c>
      <c r="S120" s="65"/>
      <c r="T120" s="65">
        <v>200</v>
      </c>
      <c r="U120" s="469" t="s">
        <v>1194</v>
      </c>
      <c r="V120" s="65">
        <v>32</v>
      </c>
      <c r="W120" s="469" t="s">
        <v>1188</v>
      </c>
      <c r="X120" s="115">
        <v>1430</v>
      </c>
      <c r="Y120" s="87"/>
      <c r="Z120" s="141" t="str">
        <f t="shared" si="27"/>
        <v/>
      </c>
      <c r="AA120" s="371">
        <f t="shared" si="22"/>
        <v>572</v>
      </c>
      <c r="AB120" s="54">
        <f t="shared" si="26"/>
        <v>178.75</v>
      </c>
      <c r="AC120" s="99">
        <f t="shared" si="23"/>
        <v>6.25</v>
      </c>
      <c r="AD120" s="191">
        <f t="shared" si="24"/>
        <v>0.58982400000000001</v>
      </c>
      <c r="AE120" s="208">
        <v>2.7</v>
      </c>
      <c r="AF120" s="198">
        <f t="shared" si="25"/>
        <v>61.485314685314684</v>
      </c>
      <c r="AG120" s="493" t="s">
        <v>1617</v>
      </c>
      <c r="AH120" s="493" t="s">
        <v>1623</v>
      </c>
    </row>
    <row r="121" spans="1:35" x14ac:dyDescent="0.2">
      <c r="A121" s="494" t="s">
        <v>1423</v>
      </c>
      <c r="B121" s="17" t="s">
        <v>702</v>
      </c>
      <c r="C121" s="227" t="s">
        <v>697</v>
      </c>
      <c r="D121" s="213"/>
      <c r="E121" s="134" t="s">
        <v>667</v>
      </c>
      <c r="F121" s="143" t="s">
        <v>1426</v>
      </c>
      <c r="G121" s="43">
        <v>18.309999999999999</v>
      </c>
      <c r="H121" s="128">
        <v>8</v>
      </c>
      <c r="I121" s="430">
        <v>16</v>
      </c>
      <c r="J121" s="487" t="s">
        <v>1622</v>
      </c>
      <c r="K121" s="488">
        <v>75</v>
      </c>
      <c r="L121" s="456">
        <f t="shared" si="18"/>
        <v>5.72</v>
      </c>
      <c r="M121" s="457">
        <f t="shared" si="19"/>
        <v>9.1519999999999992</v>
      </c>
      <c r="N121" s="65">
        <f t="shared" si="20"/>
        <v>499.83615510649923</v>
      </c>
      <c r="O121" s="65">
        <f t="shared" si="21"/>
        <v>312.39759694156203</v>
      </c>
      <c r="P121" s="65"/>
      <c r="Q121" s="65">
        <v>16</v>
      </c>
      <c r="R121" s="65">
        <v>2</v>
      </c>
      <c r="S121" s="65"/>
      <c r="T121" s="65">
        <v>200</v>
      </c>
      <c r="U121" s="469" t="s">
        <v>1194</v>
      </c>
      <c r="V121" s="65">
        <v>32</v>
      </c>
      <c r="W121" s="469" t="s">
        <v>1188</v>
      </c>
      <c r="X121" s="115">
        <v>1430</v>
      </c>
      <c r="Y121" s="87"/>
      <c r="Z121" s="141" t="str">
        <f t="shared" si="27"/>
        <v/>
      </c>
      <c r="AA121" s="371">
        <f t="shared" si="22"/>
        <v>572</v>
      </c>
      <c r="AB121" s="54">
        <f t="shared" si="26"/>
        <v>178.75</v>
      </c>
      <c r="AC121" s="99">
        <f t="shared" si="23"/>
        <v>6.25</v>
      </c>
      <c r="AD121" s="191">
        <f t="shared" si="24"/>
        <v>0.58982400000000001</v>
      </c>
      <c r="AE121" s="208">
        <v>2.7</v>
      </c>
      <c r="AF121" s="198">
        <f t="shared" si="25"/>
        <v>61.485314685314684</v>
      </c>
      <c r="AG121" s="493" t="s">
        <v>1221</v>
      </c>
      <c r="AH121" s="539" t="s">
        <v>1424</v>
      </c>
      <c r="AI121" s="493" t="s">
        <v>1425</v>
      </c>
    </row>
    <row r="122" spans="1:35" x14ac:dyDescent="0.2">
      <c r="A122" s="229" t="s">
        <v>924</v>
      </c>
      <c r="B122" s="17" t="s">
        <v>702</v>
      </c>
      <c r="C122" s="227" t="s">
        <v>697</v>
      </c>
      <c r="D122" s="213"/>
      <c r="E122" s="134" t="s">
        <v>668</v>
      </c>
      <c r="F122" s="143" t="s">
        <v>1151</v>
      </c>
      <c r="G122" s="43">
        <v>26.84</v>
      </c>
      <c r="H122" s="128">
        <v>8</v>
      </c>
      <c r="I122" s="430">
        <v>72</v>
      </c>
      <c r="J122" s="487" t="s">
        <v>1774</v>
      </c>
      <c r="K122" s="429">
        <v>75.900000000000006</v>
      </c>
      <c r="L122" s="456">
        <f t="shared" si="18"/>
        <v>9.1120000000000001</v>
      </c>
      <c r="M122" s="457">
        <f t="shared" si="19"/>
        <v>14.5792</v>
      </c>
      <c r="N122" s="65">
        <f t="shared" si="20"/>
        <v>543.1892697466468</v>
      </c>
      <c r="O122" s="65">
        <f t="shared" si="21"/>
        <v>339.49329359165426</v>
      </c>
      <c r="P122" s="65"/>
      <c r="Q122" s="65">
        <v>32</v>
      </c>
      <c r="R122" s="65">
        <v>2</v>
      </c>
      <c r="S122" s="65"/>
      <c r="T122" s="65">
        <v>232</v>
      </c>
      <c r="U122" s="469" t="s">
        <v>1181</v>
      </c>
      <c r="V122" s="65">
        <v>32</v>
      </c>
      <c r="W122" s="65">
        <v>0</v>
      </c>
      <c r="X122" s="115">
        <v>2278</v>
      </c>
      <c r="Y122" s="87"/>
      <c r="Z122" s="141" t="str">
        <f t="shared" si="27"/>
        <v/>
      </c>
      <c r="AA122" s="371">
        <f t="shared" si="22"/>
        <v>455.6</v>
      </c>
      <c r="AB122" s="54">
        <f t="shared" si="26"/>
        <v>284.75</v>
      </c>
      <c r="AC122" s="99">
        <f t="shared" si="23"/>
        <v>7.25</v>
      </c>
      <c r="AD122" s="191">
        <f t="shared" si="24"/>
        <v>0.58982400000000001</v>
      </c>
      <c r="AE122" s="208">
        <v>3.7</v>
      </c>
      <c r="AF122" s="198">
        <f t="shared" si="25"/>
        <v>56.887913374304944</v>
      </c>
      <c r="AG122" s="492" t="s">
        <v>1775</v>
      </c>
    </row>
    <row r="123" spans="1:35" x14ac:dyDescent="0.2">
      <c r="A123" s="188" t="s">
        <v>189</v>
      </c>
      <c r="B123" s="17" t="s">
        <v>702</v>
      </c>
      <c r="C123" s="227" t="s">
        <v>697</v>
      </c>
      <c r="D123" s="213"/>
      <c r="E123" s="134" t="s">
        <v>667</v>
      </c>
      <c r="F123" s="143" t="s">
        <v>1196</v>
      </c>
      <c r="G123" s="43">
        <v>18.309999999999999</v>
      </c>
      <c r="H123" s="128">
        <v>8</v>
      </c>
      <c r="I123" s="430">
        <v>16</v>
      </c>
      <c r="J123" s="487" t="s">
        <v>1071</v>
      </c>
      <c r="K123" s="488">
        <v>89</v>
      </c>
      <c r="L123" s="456">
        <f t="shared" si="18"/>
        <v>5.72</v>
      </c>
      <c r="M123" s="457">
        <f t="shared" si="19"/>
        <v>9.1519999999999992</v>
      </c>
      <c r="N123" s="65">
        <f t="shared" si="20"/>
        <v>499.83615510649923</v>
      </c>
      <c r="O123" s="65">
        <f t="shared" si="21"/>
        <v>312.39759694156203</v>
      </c>
      <c r="P123" s="65"/>
      <c r="Q123" s="65">
        <v>16</v>
      </c>
      <c r="R123" s="65">
        <v>2</v>
      </c>
      <c r="S123" s="65"/>
      <c r="T123" s="65">
        <v>200</v>
      </c>
      <c r="U123" s="469" t="s">
        <v>1194</v>
      </c>
      <c r="V123" s="65">
        <v>32</v>
      </c>
      <c r="W123" s="469" t="s">
        <v>1188</v>
      </c>
      <c r="X123" s="115">
        <v>1430</v>
      </c>
      <c r="Y123" s="87"/>
      <c r="Z123" s="141" t="str">
        <f t="shared" si="27"/>
        <v/>
      </c>
      <c r="AA123" s="371">
        <f t="shared" si="22"/>
        <v>572</v>
      </c>
      <c r="AB123" s="54">
        <f t="shared" si="26"/>
        <v>178.75</v>
      </c>
      <c r="AC123" s="99">
        <f t="shared" si="23"/>
        <v>6.25</v>
      </c>
      <c r="AD123" s="191">
        <f t="shared" si="24"/>
        <v>0.58982400000000001</v>
      </c>
      <c r="AE123" s="208">
        <v>2.7</v>
      </c>
      <c r="AF123" s="198">
        <f t="shared" si="25"/>
        <v>61.485314685314684</v>
      </c>
      <c r="AG123" s="492" t="s">
        <v>941</v>
      </c>
    </row>
    <row r="124" spans="1:35" x14ac:dyDescent="0.2">
      <c r="A124" s="188" t="s">
        <v>1389</v>
      </c>
      <c r="B124" s="17" t="s">
        <v>702</v>
      </c>
      <c r="C124" s="227" t="s">
        <v>697</v>
      </c>
      <c r="D124" s="213"/>
      <c r="E124" s="134" t="s">
        <v>667</v>
      </c>
      <c r="F124" s="143" t="s">
        <v>1196</v>
      </c>
      <c r="G124" s="43">
        <v>18.309999999999999</v>
      </c>
      <c r="H124" s="128">
        <v>8</v>
      </c>
      <c r="I124" s="430">
        <v>16</v>
      </c>
      <c r="J124" s="487" t="s">
        <v>1390</v>
      </c>
      <c r="K124" s="488">
        <v>89</v>
      </c>
      <c r="L124" s="456">
        <f t="shared" si="18"/>
        <v>5.72</v>
      </c>
      <c r="M124" s="457">
        <f t="shared" si="19"/>
        <v>9.1519999999999992</v>
      </c>
      <c r="N124" s="65">
        <f t="shared" si="20"/>
        <v>499.83615510649923</v>
      </c>
      <c r="O124" s="65">
        <f t="shared" si="21"/>
        <v>312.39759694156203</v>
      </c>
      <c r="P124" s="65"/>
      <c r="Q124" s="65">
        <v>16</v>
      </c>
      <c r="R124" s="65">
        <v>2</v>
      </c>
      <c r="S124" s="65"/>
      <c r="T124" s="65">
        <v>200</v>
      </c>
      <c r="U124" s="469" t="s">
        <v>1194</v>
      </c>
      <c r="V124" s="65">
        <v>32</v>
      </c>
      <c r="W124" s="469" t="s">
        <v>1188</v>
      </c>
      <c r="X124" s="115">
        <v>1430</v>
      </c>
      <c r="Y124" s="87"/>
      <c r="Z124" s="141" t="str">
        <f t="shared" si="27"/>
        <v/>
      </c>
      <c r="AA124" s="371">
        <f t="shared" si="22"/>
        <v>572</v>
      </c>
      <c r="AB124" s="54">
        <f t="shared" si="26"/>
        <v>178.75</v>
      </c>
      <c r="AC124" s="99">
        <f t="shared" si="23"/>
        <v>6.25</v>
      </c>
      <c r="AD124" s="191">
        <f t="shared" si="24"/>
        <v>0.58982400000000001</v>
      </c>
      <c r="AE124" s="208">
        <v>2.7</v>
      </c>
      <c r="AF124" s="198">
        <f t="shared" si="25"/>
        <v>61.485314685314684</v>
      </c>
      <c r="AG124" s="492" t="s">
        <v>1656</v>
      </c>
    </row>
    <row r="125" spans="1:35" x14ac:dyDescent="0.2">
      <c r="A125" s="229" t="s">
        <v>1512</v>
      </c>
      <c r="B125" s="17" t="s">
        <v>702</v>
      </c>
      <c r="C125" s="227" t="s">
        <v>697</v>
      </c>
      <c r="D125" s="213"/>
      <c r="E125" s="134" t="s">
        <v>667</v>
      </c>
      <c r="F125" s="143" t="s">
        <v>1196</v>
      </c>
      <c r="G125" s="43">
        <v>18.309999999999999</v>
      </c>
      <c r="H125" s="128">
        <v>8</v>
      </c>
      <c r="I125" s="430">
        <v>16</v>
      </c>
      <c r="J125" s="487" t="s">
        <v>1779</v>
      </c>
      <c r="K125" s="488">
        <v>100</v>
      </c>
      <c r="L125" s="456">
        <f t="shared" si="18"/>
        <v>5.72</v>
      </c>
      <c r="M125" s="457">
        <f t="shared" si="19"/>
        <v>9.1519999999999992</v>
      </c>
      <c r="N125" s="65">
        <f t="shared" si="20"/>
        <v>499.83615510649923</v>
      </c>
      <c r="O125" s="65">
        <f t="shared" si="21"/>
        <v>312.39759694156203</v>
      </c>
      <c r="P125" s="65"/>
      <c r="Q125" s="65">
        <v>16</v>
      </c>
      <c r="R125" s="65">
        <v>2</v>
      </c>
      <c r="S125" s="65"/>
      <c r="T125" s="65">
        <v>200</v>
      </c>
      <c r="U125" s="469" t="s">
        <v>1194</v>
      </c>
      <c r="V125" s="65">
        <v>32</v>
      </c>
      <c r="W125" s="469" t="s">
        <v>1188</v>
      </c>
      <c r="X125" s="115">
        <v>1430</v>
      </c>
      <c r="Y125" s="87"/>
      <c r="Z125" s="141" t="str">
        <f t="shared" si="27"/>
        <v/>
      </c>
      <c r="AA125" s="371">
        <f t="shared" si="22"/>
        <v>572</v>
      </c>
      <c r="AB125" s="54">
        <f t="shared" si="26"/>
        <v>178.75</v>
      </c>
      <c r="AC125" s="99">
        <f t="shared" si="23"/>
        <v>6.25</v>
      </c>
      <c r="AD125" s="191">
        <f t="shared" si="24"/>
        <v>0.58982400000000001</v>
      </c>
      <c r="AE125" s="208">
        <v>2.7</v>
      </c>
      <c r="AF125" s="198">
        <f t="shared" si="25"/>
        <v>61.485314685314684</v>
      </c>
      <c r="AG125" s="492" t="s">
        <v>1780</v>
      </c>
    </row>
    <row r="126" spans="1:35" x14ac:dyDescent="0.2">
      <c r="A126" s="494" t="s">
        <v>2627</v>
      </c>
      <c r="B126" s="17" t="s">
        <v>702</v>
      </c>
      <c r="C126" s="227" t="s">
        <v>697</v>
      </c>
      <c r="D126" s="213"/>
      <c r="E126" s="134" t="s">
        <v>667</v>
      </c>
      <c r="F126" s="143" t="s">
        <v>1196</v>
      </c>
      <c r="G126" s="43">
        <v>18.309999999999999</v>
      </c>
      <c r="H126" s="128">
        <v>8</v>
      </c>
      <c r="I126" s="430">
        <v>90</v>
      </c>
      <c r="J126" s="487" t="s">
        <v>2626</v>
      </c>
      <c r="K126" s="488">
        <v>119</v>
      </c>
      <c r="L126" s="456">
        <f>4*X126/1000</f>
        <v>5.72</v>
      </c>
      <c r="M126" s="457">
        <f>6.4*X126/1000</f>
        <v>9.1519999999999992</v>
      </c>
      <c r="N126" s="65">
        <f>IF(AND(G126&lt;&gt;"",M126&lt;&gt;""),1000*M126/G126,"")</f>
        <v>499.83615510649923</v>
      </c>
      <c r="O126" s="65">
        <f>IF(AND(G126&lt;&gt;"",L126&lt;&gt;""),1000*L126/G126,"")</f>
        <v>312.39759694156203</v>
      </c>
      <c r="P126" s="65"/>
      <c r="Q126" s="65">
        <v>16</v>
      </c>
      <c r="R126" s="65">
        <v>2</v>
      </c>
      <c r="S126" s="65"/>
      <c r="T126" s="65">
        <v>200</v>
      </c>
      <c r="U126" s="469" t="s">
        <v>1194</v>
      </c>
      <c r="V126" s="65">
        <v>32</v>
      </c>
      <c r="W126" s="469" t="s">
        <v>1188</v>
      </c>
      <c r="X126" s="115">
        <v>1430</v>
      </c>
      <c r="Y126" s="87"/>
      <c r="Z126" s="141" t="str">
        <f>IF(AND(L126&lt;&gt;"",Y126&lt;&gt;""),L126/Y126,"")</f>
        <v/>
      </c>
      <c r="AA126" s="371">
        <f>1000*M126/Q126</f>
        <v>572</v>
      </c>
      <c r="AB126" s="54">
        <f>1000*L126/V126</f>
        <v>178.75</v>
      </c>
      <c r="AC126" s="99">
        <f>T126/V126</f>
        <v>6.25</v>
      </c>
      <c r="AD126" s="191">
        <f>256*72*V126/1000000</f>
        <v>0.58982400000000001</v>
      </c>
      <c r="AE126" s="208">
        <v>2.7</v>
      </c>
      <c r="AF126" s="198">
        <f>(AE126*1000000-V126*36*512)/(6000*L126)</f>
        <v>61.485314685314684</v>
      </c>
      <c r="AG126" s="492"/>
      <c r="AI126" t="s">
        <v>2628</v>
      </c>
    </row>
    <row r="127" spans="1:35" x14ac:dyDescent="0.2">
      <c r="A127" s="188" t="s">
        <v>1377</v>
      </c>
      <c r="B127" s="17" t="s">
        <v>702</v>
      </c>
      <c r="C127" s="227" t="s">
        <v>697</v>
      </c>
      <c r="D127" s="213"/>
      <c r="E127" s="134" t="s">
        <v>669</v>
      </c>
      <c r="F127" s="143" t="s">
        <v>1107</v>
      </c>
      <c r="G127" s="43">
        <v>32.19</v>
      </c>
      <c r="H127" s="128">
        <v>15</v>
      </c>
      <c r="I127" s="128">
        <v>180</v>
      </c>
      <c r="J127" s="487" t="s">
        <v>1457</v>
      </c>
      <c r="K127" s="488">
        <v>119</v>
      </c>
      <c r="L127" s="456">
        <f t="shared" si="18"/>
        <v>15</v>
      </c>
      <c r="M127" s="457">
        <f t="shared" si="19"/>
        <v>24</v>
      </c>
      <c r="N127" s="65">
        <f t="shared" si="20"/>
        <v>745.57315936626287</v>
      </c>
      <c r="O127" s="65">
        <f t="shared" si="21"/>
        <v>465.98322460391427</v>
      </c>
      <c r="P127" s="65"/>
      <c r="Q127" s="65">
        <v>38</v>
      </c>
      <c r="R127" s="65">
        <v>2</v>
      </c>
      <c r="S127" s="65"/>
      <c r="T127" s="65">
        <v>264</v>
      </c>
      <c r="U127" s="65"/>
      <c r="V127" s="65">
        <v>52</v>
      </c>
      <c r="W127" s="65"/>
      <c r="X127" s="115">
        <v>3750</v>
      </c>
      <c r="Y127" s="87"/>
      <c r="Z127" s="141" t="str">
        <f t="shared" si="27"/>
        <v/>
      </c>
      <c r="AA127" s="371">
        <f t="shared" si="22"/>
        <v>631.57894736842104</v>
      </c>
      <c r="AB127" s="54">
        <f t="shared" si="26"/>
        <v>288.46153846153845</v>
      </c>
      <c r="AC127" s="99">
        <f t="shared" si="23"/>
        <v>5.0769230769230766</v>
      </c>
      <c r="AD127" s="191">
        <f t="shared" si="24"/>
        <v>0.95846399999999998</v>
      </c>
      <c r="AE127" s="208">
        <v>6.4</v>
      </c>
      <c r="AF127" s="198">
        <f t="shared" si="25"/>
        <v>60.461511111111108</v>
      </c>
      <c r="AG127" s="492" t="s">
        <v>1378</v>
      </c>
    </row>
    <row r="128" spans="1:35" x14ac:dyDescent="0.2">
      <c r="A128" s="229" t="s">
        <v>924</v>
      </c>
      <c r="B128" s="17" t="s">
        <v>702</v>
      </c>
      <c r="C128" s="227" t="s">
        <v>697</v>
      </c>
      <c r="D128" s="213"/>
      <c r="E128" s="134" t="s">
        <v>667</v>
      </c>
      <c r="F128" s="143" t="s">
        <v>1196</v>
      </c>
      <c r="G128" s="43">
        <v>18.309999999999999</v>
      </c>
      <c r="H128" s="128">
        <v>8</v>
      </c>
      <c r="I128" s="430">
        <v>90</v>
      </c>
      <c r="J128" s="487" t="s">
        <v>1199</v>
      </c>
      <c r="K128" s="429">
        <v>139</v>
      </c>
      <c r="L128" s="456">
        <f t="shared" si="18"/>
        <v>5.72</v>
      </c>
      <c r="M128" s="457">
        <f t="shared" si="19"/>
        <v>9.1519999999999992</v>
      </c>
      <c r="N128" s="65">
        <f t="shared" si="20"/>
        <v>499.83615510649923</v>
      </c>
      <c r="O128" s="65">
        <f t="shared" si="21"/>
        <v>312.39759694156203</v>
      </c>
      <c r="P128" s="65"/>
      <c r="Q128" s="65">
        <v>16</v>
      </c>
      <c r="R128" s="65">
        <v>2</v>
      </c>
      <c r="S128" s="65"/>
      <c r="T128" s="65">
        <v>200</v>
      </c>
      <c r="U128" s="469" t="s">
        <v>1194</v>
      </c>
      <c r="V128" s="65">
        <v>32</v>
      </c>
      <c r="W128" s="469" t="s">
        <v>1188</v>
      </c>
      <c r="X128" s="115">
        <v>1430</v>
      </c>
      <c r="Y128" s="87"/>
      <c r="Z128" s="141" t="str">
        <f t="shared" si="27"/>
        <v/>
      </c>
      <c r="AA128" s="371">
        <f t="shared" si="22"/>
        <v>572</v>
      </c>
      <c r="AB128" s="54">
        <f t="shared" si="26"/>
        <v>178.75</v>
      </c>
      <c r="AC128" s="99">
        <f t="shared" si="23"/>
        <v>6.25</v>
      </c>
      <c r="AD128" s="191">
        <f t="shared" si="24"/>
        <v>0.58982400000000001</v>
      </c>
      <c r="AE128" s="208">
        <v>2.7</v>
      </c>
      <c r="AF128" s="198">
        <f t="shared" si="25"/>
        <v>61.485314685314684</v>
      </c>
      <c r="AG128" s="492" t="s">
        <v>1185</v>
      </c>
    </row>
    <row r="129" spans="1:35" x14ac:dyDescent="0.2">
      <c r="A129" s="229" t="s">
        <v>1512</v>
      </c>
      <c r="B129" s="17" t="s">
        <v>702</v>
      </c>
      <c r="C129" s="227" t="s">
        <v>697</v>
      </c>
      <c r="D129" s="213"/>
      <c r="E129" s="134" t="s">
        <v>670</v>
      </c>
      <c r="F129" s="143" t="s">
        <v>1196</v>
      </c>
      <c r="G129" s="43">
        <v>48.88</v>
      </c>
      <c r="H129" s="128">
        <v>15</v>
      </c>
      <c r="I129" s="430">
        <v>109</v>
      </c>
      <c r="J129" s="487" t="s">
        <v>1513</v>
      </c>
      <c r="K129" s="488">
        <v>149.94999999999999</v>
      </c>
      <c r="L129" s="456">
        <f t="shared" si="18"/>
        <v>27.527999999999999</v>
      </c>
      <c r="M129" s="457">
        <f t="shared" si="19"/>
        <v>44.044800000000002</v>
      </c>
      <c r="N129" s="65">
        <f t="shared" si="20"/>
        <v>901.08019639934537</v>
      </c>
      <c r="O129" s="65">
        <f t="shared" si="21"/>
        <v>563.17512274959086</v>
      </c>
      <c r="P129" s="65"/>
      <c r="Q129" s="65">
        <v>58</v>
      </c>
      <c r="R129" s="65">
        <v>4</v>
      </c>
      <c r="S129" s="65"/>
      <c r="T129" s="65">
        <v>370</v>
      </c>
      <c r="U129" s="469" t="s">
        <v>1191</v>
      </c>
      <c r="V129" s="65">
        <v>116</v>
      </c>
      <c r="W129" s="469" t="s">
        <v>1193</v>
      </c>
      <c r="X129" s="115">
        <v>6882</v>
      </c>
      <c r="Y129" s="87"/>
      <c r="Z129" s="141" t="str">
        <f t="shared" si="27"/>
        <v/>
      </c>
      <c r="AA129" s="371">
        <f t="shared" si="22"/>
        <v>759.39310344827595</v>
      </c>
      <c r="AB129" s="54">
        <f t="shared" si="26"/>
        <v>237.31034482758622</v>
      </c>
      <c r="AC129" s="99">
        <f t="shared" si="23"/>
        <v>3.1896551724137931</v>
      </c>
      <c r="AD129" s="191">
        <f t="shared" si="24"/>
        <v>2.138112</v>
      </c>
      <c r="AE129" s="208">
        <v>11.9</v>
      </c>
      <c r="AF129" s="198">
        <f t="shared" si="25"/>
        <v>59.102780199554395</v>
      </c>
      <c r="AG129" s="492" t="s">
        <v>1185</v>
      </c>
      <c r="AH129" s="406" t="s">
        <v>1514</v>
      </c>
    </row>
    <row r="130" spans="1:35" x14ac:dyDescent="0.2">
      <c r="A130" s="229" t="s">
        <v>912</v>
      </c>
      <c r="B130" s="17" t="s">
        <v>702</v>
      </c>
      <c r="C130" s="227" t="s">
        <v>697</v>
      </c>
      <c r="D130" s="213"/>
      <c r="E130" s="134" t="s">
        <v>668</v>
      </c>
      <c r="F130" s="143" t="s">
        <v>870</v>
      </c>
      <c r="G130" s="43">
        <v>20.94</v>
      </c>
      <c r="H130" s="128">
        <v>8</v>
      </c>
      <c r="I130" s="430">
        <v>90</v>
      </c>
      <c r="J130" s="487" t="s">
        <v>1177</v>
      </c>
      <c r="K130" s="429">
        <v>174.95</v>
      </c>
      <c r="L130" s="456">
        <f t="shared" si="18"/>
        <v>9.1120000000000001</v>
      </c>
      <c r="M130" s="457">
        <f t="shared" si="19"/>
        <v>14.5792</v>
      </c>
      <c r="N130" s="65">
        <f t="shared" si="20"/>
        <v>696.23686723973253</v>
      </c>
      <c r="O130" s="65">
        <f t="shared" si="21"/>
        <v>435.14804202483282</v>
      </c>
      <c r="P130" s="65"/>
      <c r="Q130" s="65">
        <v>32</v>
      </c>
      <c r="R130" s="65">
        <v>2</v>
      </c>
      <c r="S130" s="65"/>
      <c r="T130" s="65">
        <v>232</v>
      </c>
      <c r="U130" s="469" t="s">
        <v>1181</v>
      </c>
      <c r="V130" s="65">
        <v>32</v>
      </c>
      <c r="W130" s="65">
        <v>0</v>
      </c>
      <c r="X130" s="115">
        <v>2278</v>
      </c>
      <c r="Y130" s="87"/>
      <c r="Z130" s="141" t="str">
        <f t="shared" si="27"/>
        <v/>
      </c>
      <c r="AA130" s="371">
        <f t="shared" si="22"/>
        <v>455.6</v>
      </c>
      <c r="AB130" s="54">
        <f t="shared" si="26"/>
        <v>284.75</v>
      </c>
      <c r="AC130" s="99">
        <f t="shared" si="23"/>
        <v>7.25</v>
      </c>
      <c r="AD130" s="191">
        <f t="shared" si="24"/>
        <v>0.58982400000000001</v>
      </c>
      <c r="AE130" s="208">
        <v>3.7</v>
      </c>
      <c r="AF130" s="198">
        <f t="shared" si="25"/>
        <v>56.887913374304944</v>
      </c>
      <c r="AG130" s="492" t="s">
        <v>1185</v>
      </c>
      <c r="AH130" s="539" t="s">
        <v>1209</v>
      </c>
    </row>
    <row r="131" spans="1:35" x14ac:dyDescent="0.2">
      <c r="A131" s="229" t="s">
        <v>903</v>
      </c>
      <c r="B131" s="17" t="s">
        <v>702</v>
      </c>
      <c r="C131" s="227" t="s">
        <v>697</v>
      </c>
      <c r="D131" s="213"/>
      <c r="E131" s="134" t="s">
        <v>668</v>
      </c>
      <c r="F131" s="143" t="s">
        <v>1151</v>
      </c>
      <c r="G131" s="43">
        <v>26.84</v>
      </c>
      <c r="H131" s="128">
        <v>8</v>
      </c>
      <c r="I131" s="430">
        <v>72</v>
      </c>
      <c r="J131" s="487" t="s">
        <v>934</v>
      </c>
      <c r="K131" s="429">
        <v>199</v>
      </c>
      <c r="L131" s="456">
        <f t="shared" si="18"/>
        <v>9.1120000000000001</v>
      </c>
      <c r="M131" s="457">
        <f t="shared" si="19"/>
        <v>14.5792</v>
      </c>
      <c r="N131" s="65">
        <f t="shared" si="20"/>
        <v>543.1892697466468</v>
      </c>
      <c r="O131" s="65">
        <f t="shared" si="21"/>
        <v>339.49329359165426</v>
      </c>
      <c r="P131" s="65"/>
      <c r="Q131" s="65">
        <v>32</v>
      </c>
      <c r="R131" s="65">
        <v>2</v>
      </c>
      <c r="S131" s="65"/>
      <c r="T131" s="65">
        <v>232</v>
      </c>
      <c r="U131" s="469" t="s">
        <v>1195</v>
      </c>
      <c r="V131" s="65">
        <v>32</v>
      </c>
      <c r="W131" s="469" t="s">
        <v>1182</v>
      </c>
      <c r="X131" s="115">
        <v>2278</v>
      </c>
      <c r="Y131" s="87"/>
      <c r="Z131" s="141" t="str">
        <f t="shared" si="27"/>
        <v/>
      </c>
      <c r="AA131" s="371">
        <f t="shared" si="22"/>
        <v>455.6</v>
      </c>
      <c r="AB131" s="54">
        <f t="shared" si="26"/>
        <v>284.75</v>
      </c>
      <c r="AC131" s="99">
        <f t="shared" si="23"/>
        <v>7.25</v>
      </c>
      <c r="AD131" s="191">
        <f t="shared" si="24"/>
        <v>0.58982400000000001</v>
      </c>
      <c r="AE131" s="208">
        <v>3.7</v>
      </c>
      <c r="AF131" s="198">
        <f t="shared" si="25"/>
        <v>56.887913374304944</v>
      </c>
      <c r="AG131" s="492" t="s">
        <v>1185</v>
      </c>
    </row>
    <row r="132" spans="1:35" x14ac:dyDescent="0.2">
      <c r="A132" s="213" t="s">
        <v>189</v>
      </c>
      <c r="B132" s="25" t="s">
        <v>702</v>
      </c>
      <c r="C132" s="227" t="s">
        <v>697</v>
      </c>
      <c r="D132" s="240"/>
      <c r="E132" s="526" t="s">
        <v>668</v>
      </c>
      <c r="F132" s="143" t="s">
        <v>1196</v>
      </c>
      <c r="G132" s="275">
        <v>26.84</v>
      </c>
      <c r="H132" s="158">
        <v>8</v>
      </c>
      <c r="I132" s="473">
        <v>132</v>
      </c>
      <c r="J132" s="535" t="s">
        <v>934</v>
      </c>
      <c r="K132" s="527">
        <v>225</v>
      </c>
      <c r="L132" s="456">
        <f t="shared" si="18"/>
        <v>9.1120000000000001</v>
      </c>
      <c r="M132" s="457">
        <f t="shared" si="19"/>
        <v>14.5792</v>
      </c>
      <c r="N132" s="65">
        <f t="shared" si="20"/>
        <v>543.1892697466468</v>
      </c>
      <c r="O132" s="65">
        <f t="shared" si="21"/>
        <v>339.49329359165426</v>
      </c>
      <c r="P132" s="65"/>
      <c r="Q132" s="65">
        <v>32</v>
      </c>
      <c r="R132" s="65">
        <v>2</v>
      </c>
      <c r="S132" s="65"/>
      <c r="T132" s="65">
        <v>232</v>
      </c>
      <c r="U132" s="469" t="s">
        <v>1194</v>
      </c>
      <c r="V132" s="65">
        <v>32</v>
      </c>
      <c r="W132" s="469" t="s">
        <v>1188</v>
      </c>
      <c r="X132" s="115">
        <v>2278</v>
      </c>
      <c r="Y132" s="87"/>
      <c r="Z132" s="141" t="str">
        <f t="shared" si="27"/>
        <v/>
      </c>
      <c r="AA132" s="371">
        <f t="shared" si="22"/>
        <v>455.6</v>
      </c>
      <c r="AB132" s="54">
        <f t="shared" si="26"/>
        <v>284.75</v>
      </c>
      <c r="AC132" s="99">
        <f t="shared" si="23"/>
        <v>7.25</v>
      </c>
      <c r="AD132" s="191">
        <f t="shared" si="24"/>
        <v>0.58982400000000001</v>
      </c>
      <c r="AE132" s="208">
        <v>3.7</v>
      </c>
      <c r="AF132" s="198">
        <f t="shared" si="25"/>
        <v>56.887913374304944</v>
      </c>
      <c r="AG132" s="6"/>
    </row>
    <row r="133" spans="1:35" x14ac:dyDescent="0.2">
      <c r="A133" s="229" t="s">
        <v>924</v>
      </c>
      <c r="B133" s="17" t="s">
        <v>702</v>
      </c>
      <c r="C133" s="227" t="s">
        <v>697</v>
      </c>
      <c r="D133" s="213"/>
      <c r="E133" s="134" t="s">
        <v>670</v>
      </c>
      <c r="F133" s="143" t="s">
        <v>868</v>
      </c>
      <c r="G133" s="43">
        <v>57.5</v>
      </c>
      <c r="H133" s="128">
        <v>15</v>
      </c>
      <c r="I133" s="430">
        <v>99</v>
      </c>
      <c r="J133" s="487" t="s">
        <v>1200</v>
      </c>
      <c r="K133" s="488">
        <v>243.44</v>
      </c>
      <c r="L133" s="456">
        <f t="shared" si="18"/>
        <v>27.527999999999999</v>
      </c>
      <c r="M133" s="457">
        <f t="shared" si="19"/>
        <v>44.044800000000002</v>
      </c>
      <c r="N133" s="65">
        <f t="shared" si="20"/>
        <v>765.99652173913046</v>
      </c>
      <c r="O133" s="65">
        <f t="shared" si="21"/>
        <v>478.74782608695654</v>
      </c>
      <c r="P133" s="65"/>
      <c r="Q133" s="65">
        <v>58</v>
      </c>
      <c r="R133" s="65">
        <v>4</v>
      </c>
      <c r="S133" s="65"/>
      <c r="T133" s="65">
        <v>370</v>
      </c>
      <c r="U133" s="469" t="s">
        <v>1201</v>
      </c>
      <c r="V133" s="65">
        <v>116</v>
      </c>
      <c r="W133" s="469" t="s">
        <v>1182</v>
      </c>
      <c r="X133" s="115">
        <v>6882</v>
      </c>
      <c r="Y133" s="87"/>
      <c r="Z133" s="141" t="str">
        <f t="shared" si="27"/>
        <v/>
      </c>
      <c r="AA133" s="371">
        <f t="shared" si="22"/>
        <v>759.39310344827595</v>
      </c>
      <c r="AB133" s="54">
        <f t="shared" si="26"/>
        <v>237.31034482758622</v>
      </c>
      <c r="AC133" s="99">
        <f t="shared" si="23"/>
        <v>3.1896551724137931</v>
      </c>
      <c r="AD133" s="191">
        <f t="shared" si="24"/>
        <v>2.138112</v>
      </c>
      <c r="AE133" s="208">
        <v>11.9</v>
      </c>
      <c r="AF133" s="198">
        <f t="shared" si="25"/>
        <v>59.102780199554395</v>
      </c>
      <c r="AG133" s="492" t="s">
        <v>1185</v>
      </c>
    </row>
    <row r="134" spans="1:35" x14ac:dyDescent="0.2">
      <c r="A134" s="229" t="s">
        <v>1186</v>
      </c>
      <c r="B134" s="17" t="s">
        <v>702</v>
      </c>
      <c r="C134" s="227" t="s">
        <v>697</v>
      </c>
      <c r="D134" s="213"/>
      <c r="E134" s="134" t="s">
        <v>670</v>
      </c>
      <c r="F134" s="143" t="s">
        <v>1179</v>
      </c>
      <c r="G134" s="43">
        <v>48.88</v>
      </c>
      <c r="H134" s="128">
        <v>15</v>
      </c>
      <c r="I134" s="430">
        <v>109</v>
      </c>
      <c r="J134" s="487" t="s">
        <v>1192</v>
      </c>
      <c r="K134" s="488">
        <v>253</v>
      </c>
      <c r="L134" s="456">
        <f t="shared" si="18"/>
        <v>27.527999999999999</v>
      </c>
      <c r="M134" s="457">
        <f t="shared" si="19"/>
        <v>44.044800000000002</v>
      </c>
      <c r="N134" s="65">
        <f t="shared" si="20"/>
        <v>901.08019639934537</v>
      </c>
      <c r="O134" s="65">
        <f t="shared" si="21"/>
        <v>563.17512274959086</v>
      </c>
      <c r="P134" s="65"/>
      <c r="Q134" s="65">
        <v>58</v>
      </c>
      <c r="R134" s="65">
        <v>4</v>
      </c>
      <c r="S134" s="65"/>
      <c r="T134" s="65">
        <v>370</v>
      </c>
      <c r="U134" s="469" t="s">
        <v>1191</v>
      </c>
      <c r="V134" s="65">
        <v>116</v>
      </c>
      <c r="W134" s="469" t="s">
        <v>1193</v>
      </c>
      <c r="X134" s="115">
        <v>6882</v>
      </c>
      <c r="Y134" s="87"/>
      <c r="Z134" s="141" t="str">
        <f t="shared" si="27"/>
        <v/>
      </c>
      <c r="AA134" s="371">
        <f t="shared" si="22"/>
        <v>759.39310344827595</v>
      </c>
      <c r="AB134" s="54">
        <f t="shared" si="26"/>
        <v>237.31034482758622</v>
      </c>
      <c r="AC134" s="99">
        <f t="shared" si="23"/>
        <v>3.1896551724137931</v>
      </c>
      <c r="AD134" s="191">
        <f t="shared" si="24"/>
        <v>2.138112</v>
      </c>
      <c r="AE134" s="208">
        <v>11.9</v>
      </c>
      <c r="AF134" s="198">
        <f t="shared" si="25"/>
        <v>59.102780199554395</v>
      </c>
      <c r="AG134" s="492" t="s">
        <v>1185</v>
      </c>
      <c r="AH134" s="539" t="s">
        <v>1207</v>
      </c>
    </row>
    <row r="135" spans="1:35" x14ac:dyDescent="0.2">
      <c r="A135" s="229" t="s">
        <v>1197</v>
      </c>
      <c r="B135" s="17" t="s">
        <v>702</v>
      </c>
      <c r="C135" s="227" t="s">
        <v>697</v>
      </c>
      <c r="D135" s="213"/>
      <c r="E135" s="134" t="s">
        <v>668</v>
      </c>
      <c r="F135" s="143" t="s">
        <v>1151</v>
      </c>
      <c r="G135" s="43">
        <v>26.84</v>
      </c>
      <c r="H135" s="128">
        <v>8</v>
      </c>
      <c r="I135" s="430">
        <v>100</v>
      </c>
      <c r="J135" s="487" t="s">
        <v>1198</v>
      </c>
      <c r="K135" s="488">
        <v>253.45</v>
      </c>
      <c r="L135" s="456">
        <f t="shared" si="18"/>
        <v>9.1120000000000001</v>
      </c>
      <c r="M135" s="457">
        <f t="shared" si="19"/>
        <v>14.5792</v>
      </c>
      <c r="N135" s="65">
        <f t="shared" si="20"/>
        <v>543.1892697466468</v>
      </c>
      <c r="O135" s="65">
        <f t="shared" si="21"/>
        <v>339.49329359165426</v>
      </c>
      <c r="P135" s="65"/>
      <c r="Q135" s="65">
        <v>32</v>
      </c>
      <c r="R135" s="65">
        <v>2</v>
      </c>
      <c r="S135" s="65"/>
      <c r="T135" s="65">
        <v>232</v>
      </c>
      <c r="U135" s="469" t="s">
        <v>1194</v>
      </c>
      <c r="V135" s="65">
        <v>32</v>
      </c>
      <c r="W135" s="469" t="s">
        <v>1182</v>
      </c>
      <c r="X135" s="115">
        <v>2278</v>
      </c>
      <c r="Y135" s="87"/>
      <c r="Z135" s="141" t="str">
        <f t="shared" si="27"/>
        <v/>
      </c>
      <c r="AA135" s="371">
        <f t="shared" si="22"/>
        <v>455.6</v>
      </c>
      <c r="AB135" s="54">
        <f t="shared" si="26"/>
        <v>284.75</v>
      </c>
      <c r="AC135" s="99">
        <f t="shared" si="23"/>
        <v>7.25</v>
      </c>
      <c r="AD135" s="191">
        <f t="shared" si="24"/>
        <v>0.58982400000000001</v>
      </c>
      <c r="AE135" s="208">
        <v>3.7</v>
      </c>
      <c r="AF135" s="198">
        <f t="shared" si="25"/>
        <v>56.887913374304944</v>
      </c>
      <c r="AG135" s="492" t="s">
        <v>1185</v>
      </c>
      <c r="AH135" s="539" t="s">
        <v>1248</v>
      </c>
      <c r="AI135" s="493" t="s">
        <v>1247</v>
      </c>
    </row>
    <row r="136" spans="1:35" x14ac:dyDescent="0.2">
      <c r="A136" s="213" t="s">
        <v>936</v>
      </c>
      <c r="B136" s="17" t="s">
        <v>702</v>
      </c>
      <c r="C136" s="227" t="s">
        <v>697</v>
      </c>
      <c r="D136" s="213"/>
      <c r="E136" s="134" t="s">
        <v>668</v>
      </c>
      <c r="F136" s="143" t="s">
        <v>1151</v>
      </c>
      <c r="G136" s="43">
        <v>26.84</v>
      </c>
      <c r="H136" s="128">
        <v>8</v>
      </c>
      <c r="I136" s="430">
        <v>60</v>
      </c>
      <c r="J136" s="487" t="s">
        <v>935</v>
      </c>
      <c r="K136" s="488">
        <v>270</v>
      </c>
      <c r="L136" s="456">
        <f t="shared" si="18"/>
        <v>9.1120000000000001</v>
      </c>
      <c r="M136" s="457">
        <f t="shared" si="19"/>
        <v>14.5792</v>
      </c>
      <c r="N136" s="65">
        <f t="shared" si="20"/>
        <v>543.1892697466468</v>
      </c>
      <c r="O136" s="65">
        <f t="shared" si="21"/>
        <v>339.49329359165426</v>
      </c>
      <c r="P136" s="65"/>
      <c r="Q136" s="65">
        <v>32</v>
      </c>
      <c r="R136" s="65">
        <v>2</v>
      </c>
      <c r="S136" s="65"/>
      <c r="T136" s="65">
        <v>232</v>
      </c>
      <c r="U136" s="469" t="s">
        <v>1194</v>
      </c>
      <c r="V136" s="65">
        <v>32</v>
      </c>
      <c r="W136" s="469" t="s">
        <v>1182</v>
      </c>
      <c r="X136" s="115">
        <v>2278</v>
      </c>
      <c r="Y136" s="87"/>
      <c r="Z136" s="141" t="str">
        <f t="shared" si="27"/>
        <v/>
      </c>
      <c r="AA136" s="371">
        <f t="shared" si="22"/>
        <v>455.6</v>
      </c>
      <c r="AB136" s="54">
        <f t="shared" si="26"/>
        <v>284.75</v>
      </c>
      <c r="AC136" s="99">
        <f t="shared" si="23"/>
        <v>7.25</v>
      </c>
      <c r="AD136" s="191">
        <f t="shared" si="24"/>
        <v>0.58982400000000001</v>
      </c>
      <c r="AE136" s="208">
        <v>3.7</v>
      </c>
      <c r="AF136" s="198">
        <f t="shared" si="25"/>
        <v>56.887913374304944</v>
      </c>
      <c r="AG136" s="6"/>
    </row>
    <row r="137" spans="1:35" x14ac:dyDescent="0.2">
      <c r="A137" s="213" t="s">
        <v>912</v>
      </c>
      <c r="B137" s="25" t="s">
        <v>702</v>
      </c>
      <c r="C137" s="227" t="s">
        <v>697</v>
      </c>
      <c r="D137" s="240"/>
      <c r="E137" s="526" t="s">
        <v>668</v>
      </c>
      <c r="F137" s="179" t="s">
        <v>1151</v>
      </c>
      <c r="G137" s="275">
        <v>26.84</v>
      </c>
      <c r="H137" s="158">
        <v>8</v>
      </c>
      <c r="I137" s="473">
        <v>78</v>
      </c>
      <c r="J137" s="487" t="s">
        <v>1213</v>
      </c>
      <c r="K137" s="527">
        <v>279.95</v>
      </c>
      <c r="L137" s="534">
        <f t="shared" si="18"/>
        <v>9.1120000000000001</v>
      </c>
      <c r="M137" s="474">
        <f t="shared" si="19"/>
        <v>14.5792</v>
      </c>
      <c r="N137" s="73">
        <f t="shared" si="20"/>
        <v>543.1892697466468</v>
      </c>
      <c r="O137" s="65">
        <f t="shared" si="21"/>
        <v>339.49329359165426</v>
      </c>
      <c r="P137" s="73"/>
      <c r="Q137" s="73">
        <v>32</v>
      </c>
      <c r="R137" s="73">
        <v>2</v>
      </c>
      <c r="S137" s="73"/>
      <c r="T137" s="73">
        <v>232</v>
      </c>
      <c r="U137" s="496" t="s">
        <v>1194</v>
      </c>
      <c r="V137" s="73">
        <v>32</v>
      </c>
      <c r="W137" s="496" t="s">
        <v>1182</v>
      </c>
      <c r="X137" s="475">
        <v>2278</v>
      </c>
      <c r="Y137" s="476"/>
      <c r="Z137" s="173" t="str">
        <f t="shared" si="27"/>
        <v/>
      </c>
      <c r="AA137" s="376">
        <f t="shared" si="22"/>
        <v>455.6</v>
      </c>
      <c r="AB137" s="54">
        <f t="shared" si="26"/>
        <v>284.75</v>
      </c>
      <c r="AC137" s="101">
        <f t="shared" si="23"/>
        <v>7.25</v>
      </c>
      <c r="AD137" s="478">
        <f t="shared" si="24"/>
        <v>0.58982400000000001</v>
      </c>
      <c r="AE137" s="528">
        <v>3.7</v>
      </c>
      <c r="AF137" s="220">
        <f t="shared" si="25"/>
        <v>56.887913374304944</v>
      </c>
      <c r="AG137" s="6" t="s">
        <v>1215</v>
      </c>
      <c r="AH137" s="406" t="s">
        <v>1214</v>
      </c>
    </row>
    <row r="138" spans="1:35" x14ac:dyDescent="0.2">
      <c r="A138" s="213" t="s">
        <v>189</v>
      </c>
      <c r="B138" s="17" t="s">
        <v>702</v>
      </c>
      <c r="C138" s="227" t="s">
        <v>697</v>
      </c>
      <c r="D138" s="213"/>
      <c r="E138" s="134" t="s">
        <v>668</v>
      </c>
      <c r="F138" s="179" t="s">
        <v>1151</v>
      </c>
      <c r="G138" s="43">
        <v>26.84</v>
      </c>
      <c r="H138" s="128">
        <v>8</v>
      </c>
      <c r="I138" s="430">
        <v>68</v>
      </c>
      <c r="J138" s="487" t="s">
        <v>916</v>
      </c>
      <c r="K138" s="488">
        <v>295</v>
      </c>
      <c r="L138" s="456">
        <f t="shared" si="18"/>
        <v>9.1120000000000001</v>
      </c>
      <c r="M138" s="457">
        <f t="shared" si="19"/>
        <v>14.5792</v>
      </c>
      <c r="N138" s="65">
        <f t="shared" si="20"/>
        <v>543.1892697466468</v>
      </c>
      <c r="O138" s="65">
        <f t="shared" si="21"/>
        <v>339.49329359165426</v>
      </c>
      <c r="P138" s="65"/>
      <c r="Q138" s="65">
        <v>32</v>
      </c>
      <c r="R138" s="65">
        <v>2</v>
      </c>
      <c r="S138" s="65"/>
      <c r="T138" s="65">
        <v>232</v>
      </c>
      <c r="U138" s="469" t="s">
        <v>1194</v>
      </c>
      <c r="V138" s="65">
        <v>32</v>
      </c>
      <c r="W138" s="469" t="s">
        <v>1188</v>
      </c>
      <c r="X138" s="115">
        <v>2278</v>
      </c>
      <c r="Y138" s="87"/>
      <c r="Z138" s="141" t="str">
        <f t="shared" si="27"/>
        <v/>
      </c>
      <c r="AA138" s="371">
        <f t="shared" si="22"/>
        <v>455.6</v>
      </c>
      <c r="AB138" s="54">
        <f t="shared" si="26"/>
        <v>284.75</v>
      </c>
      <c r="AC138" s="99">
        <f t="shared" si="23"/>
        <v>7.25</v>
      </c>
      <c r="AD138" s="191">
        <f t="shared" si="24"/>
        <v>0.58982400000000001</v>
      </c>
      <c r="AE138" s="208">
        <v>3.7</v>
      </c>
      <c r="AF138" s="198">
        <f t="shared" si="25"/>
        <v>56.887913374304944</v>
      </c>
      <c r="AG138" s="492" t="s">
        <v>1185</v>
      </c>
    </row>
    <row r="139" spans="1:35" x14ac:dyDescent="0.2">
      <c r="A139" s="213" t="s">
        <v>903</v>
      </c>
      <c r="B139" s="17" t="s">
        <v>702</v>
      </c>
      <c r="C139" s="227" t="s">
        <v>697</v>
      </c>
      <c r="D139" s="213"/>
      <c r="E139" s="134" t="s">
        <v>670</v>
      </c>
      <c r="F139" s="179" t="s">
        <v>868</v>
      </c>
      <c r="G139" s="43">
        <v>57.5</v>
      </c>
      <c r="H139" s="128">
        <v>15</v>
      </c>
      <c r="I139" s="430">
        <v>354</v>
      </c>
      <c r="J139" s="487" t="s">
        <v>1033</v>
      </c>
      <c r="K139" s="488">
        <v>349</v>
      </c>
      <c r="L139" s="456">
        <f t="shared" si="18"/>
        <v>27.527999999999999</v>
      </c>
      <c r="M139" s="457">
        <f t="shared" si="19"/>
        <v>44.044800000000002</v>
      </c>
      <c r="N139" s="65">
        <f t="shared" si="20"/>
        <v>765.99652173913046</v>
      </c>
      <c r="O139" s="65">
        <f t="shared" si="21"/>
        <v>478.74782608695654</v>
      </c>
      <c r="P139" s="65"/>
      <c r="Q139" s="65">
        <v>58</v>
      </c>
      <c r="R139" s="65">
        <v>4</v>
      </c>
      <c r="S139" s="65"/>
      <c r="T139" s="65">
        <v>370</v>
      </c>
      <c r="U139" s="469" t="s">
        <v>1194</v>
      </c>
      <c r="V139" s="65">
        <v>116</v>
      </c>
      <c r="W139" s="496" t="s">
        <v>1182</v>
      </c>
      <c r="X139" s="115">
        <v>6882</v>
      </c>
      <c r="Y139" s="87"/>
      <c r="Z139" s="141" t="str">
        <f t="shared" si="27"/>
        <v/>
      </c>
      <c r="AA139" s="371">
        <f t="shared" si="22"/>
        <v>759.39310344827595</v>
      </c>
      <c r="AB139" s="54">
        <f t="shared" si="26"/>
        <v>237.31034482758622</v>
      </c>
      <c r="AC139" s="99">
        <f t="shared" si="23"/>
        <v>3.1896551724137931</v>
      </c>
      <c r="AD139" s="191">
        <f t="shared" si="24"/>
        <v>2.138112</v>
      </c>
      <c r="AE139" s="208">
        <v>11.9</v>
      </c>
      <c r="AF139" s="198">
        <f t="shared" si="25"/>
        <v>59.102780199554395</v>
      </c>
      <c r="AG139" s="492" t="s">
        <v>1185</v>
      </c>
    </row>
    <row r="140" spans="1:35" x14ac:dyDescent="0.2">
      <c r="A140" s="213" t="s">
        <v>1333</v>
      </c>
      <c r="B140" s="17" t="s">
        <v>702</v>
      </c>
      <c r="C140" s="227" t="s">
        <v>697</v>
      </c>
      <c r="D140" s="213"/>
      <c r="E140" s="134" t="s">
        <v>669</v>
      </c>
      <c r="F140" s="143" t="s">
        <v>1107</v>
      </c>
      <c r="G140" s="43">
        <v>32.19</v>
      </c>
      <c r="H140" s="128">
        <v>15</v>
      </c>
      <c r="I140" s="128">
        <v>180</v>
      </c>
      <c r="J140" s="487" t="s">
        <v>1335</v>
      </c>
      <c r="K140" s="488">
        <v>395</v>
      </c>
      <c r="L140" s="456">
        <f t="shared" si="18"/>
        <v>15</v>
      </c>
      <c r="M140" s="457">
        <f t="shared" si="19"/>
        <v>24</v>
      </c>
      <c r="N140" s="65">
        <f t="shared" si="20"/>
        <v>745.57315936626287</v>
      </c>
      <c r="O140" s="65">
        <f t="shared" si="21"/>
        <v>465.98322460391427</v>
      </c>
      <c r="P140" s="65"/>
      <c r="Q140" s="65">
        <v>38</v>
      </c>
      <c r="R140" s="65">
        <v>2</v>
      </c>
      <c r="S140" s="65"/>
      <c r="T140" s="65">
        <v>264</v>
      </c>
      <c r="U140" s="65"/>
      <c r="V140" s="65">
        <v>52</v>
      </c>
      <c r="W140" s="65"/>
      <c r="X140" s="115">
        <v>3750</v>
      </c>
      <c r="Y140" s="87"/>
      <c r="Z140" s="141" t="str">
        <f t="shared" si="27"/>
        <v/>
      </c>
      <c r="AA140" s="371">
        <f t="shared" si="22"/>
        <v>631.57894736842104</v>
      </c>
      <c r="AB140" s="54">
        <f t="shared" si="26"/>
        <v>288.46153846153845</v>
      </c>
      <c r="AC140" s="99">
        <f t="shared" si="23"/>
        <v>5.0769230769230766</v>
      </c>
      <c r="AD140" s="191">
        <f t="shared" si="24"/>
        <v>0.95846399999999998</v>
      </c>
      <c r="AE140" s="208">
        <v>6.4</v>
      </c>
      <c r="AF140" s="198">
        <f t="shared" si="25"/>
        <v>60.461511111111108</v>
      </c>
      <c r="AG140" s="492" t="s">
        <v>1334</v>
      </c>
    </row>
    <row r="141" spans="1:35" ht="13.5" customHeight="1" x14ac:dyDescent="0.2">
      <c r="A141" s="229" t="s">
        <v>1218</v>
      </c>
      <c r="B141" s="17" t="s">
        <v>702</v>
      </c>
      <c r="C141" s="227" t="s">
        <v>697</v>
      </c>
      <c r="D141" s="213"/>
      <c r="E141" s="134" t="s">
        <v>670</v>
      </c>
      <c r="F141" s="179" t="s">
        <v>868</v>
      </c>
      <c r="G141" s="43">
        <v>48.88</v>
      </c>
      <c r="H141" s="128">
        <v>15</v>
      </c>
      <c r="I141" s="430">
        <v>100</v>
      </c>
      <c r="J141" s="487" t="s">
        <v>1216</v>
      </c>
      <c r="K141" s="488">
        <v>450</v>
      </c>
      <c r="L141" s="456">
        <f t="shared" si="18"/>
        <v>27.527999999999999</v>
      </c>
      <c r="M141" s="457">
        <f t="shared" si="19"/>
        <v>44.044800000000002</v>
      </c>
      <c r="N141" s="65">
        <f t="shared" si="20"/>
        <v>901.08019639934537</v>
      </c>
      <c r="O141" s="65">
        <f t="shared" si="21"/>
        <v>563.17512274959086</v>
      </c>
      <c r="P141" s="65"/>
      <c r="Q141" s="65">
        <v>58</v>
      </c>
      <c r="R141" s="65">
        <v>4</v>
      </c>
      <c r="S141" s="65"/>
      <c r="T141" s="65">
        <v>370</v>
      </c>
      <c r="U141" s="469" t="s">
        <v>1189</v>
      </c>
      <c r="V141" s="65">
        <v>116</v>
      </c>
      <c r="W141" s="496">
        <v>0</v>
      </c>
      <c r="X141" s="115">
        <v>6882</v>
      </c>
      <c r="Y141" s="87"/>
      <c r="Z141" s="141" t="str">
        <f t="shared" si="27"/>
        <v/>
      </c>
      <c r="AA141" s="371">
        <f t="shared" si="22"/>
        <v>759.39310344827595</v>
      </c>
      <c r="AB141" s="54">
        <f t="shared" si="26"/>
        <v>237.31034482758622</v>
      </c>
      <c r="AC141" s="99">
        <f t="shared" si="23"/>
        <v>3.1896551724137931</v>
      </c>
      <c r="AD141" s="191">
        <f t="shared" si="24"/>
        <v>2.138112</v>
      </c>
      <c r="AE141" s="208">
        <v>11.9</v>
      </c>
      <c r="AF141" s="198">
        <f t="shared" si="25"/>
        <v>59.102780199554395</v>
      </c>
      <c r="AG141" s="492" t="s">
        <v>1185</v>
      </c>
      <c r="AH141" s="539" t="s">
        <v>1217</v>
      </c>
    </row>
    <row r="142" spans="1:35" ht="13.5" customHeight="1" x14ac:dyDescent="0.2">
      <c r="A142" s="229" t="s">
        <v>1186</v>
      </c>
      <c r="B142" s="17" t="s">
        <v>702</v>
      </c>
      <c r="C142" s="227" t="s">
        <v>697</v>
      </c>
      <c r="D142" s="213"/>
      <c r="E142" s="134" t="s">
        <v>670</v>
      </c>
      <c r="F142" s="143" t="s">
        <v>868</v>
      </c>
      <c r="G142" s="43">
        <v>48.88</v>
      </c>
      <c r="H142" s="128">
        <v>15</v>
      </c>
      <c r="I142" s="430">
        <v>64</v>
      </c>
      <c r="J142" s="487" t="s">
        <v>1187</v>
      </c>
      <c r="K142" s="488">
        <v>467.17</v>
      </c>
      <c r="L142" s="456">
        <f t="shared" si="18"/>
        <v>27.527999999999999</v>
      </c>
      <c r="M142" s="457">
        <f t="shared" si="19"/>
        <v>44.044800000000002</v>
      </c>
      <c r="N142" s="65">
        <f t="shared" si="20"/>
        <v>901.08019639934537</v>
      </c>
      <c r="O142" s="65">
        <f t="shared" si="21"/>
        <v>563.17512274959086</v>
      </c>
      <c r="P142" s="65"/>
      <c r="Q142" s="65">
        <v>58</v>
      </c>
      <c r="R142" s="65">
        <v>4</v>
      </c>
      <c r="S142" s="65"/>
      <c r="T142" s="65">
        <v>370</v>
      </c>
      <c r="U142" s="469" t="s">
        <v>1189</v>
      </c>
      <c r="V142" s="65">
        <v>116</v>
      </c>
      <c r="W142" s="496" t="s">
        <v>1188</v>
      </c>
      <c r="X142" s="115">
        <v>6882</v>
      </c>
      <c r="Y142" s="87"/>
      <c r="Z142" s="141" t="str">
        <f t="shared" si="27"/>
        <v/>
      </c>
      <c r="AA142" s="371">
        <f t="shared" si="22"/>
        <v>759.39310344827595</v>
      </c>
      <c r="AB142" s="54">
        <f t="shared" si="26"/>
        <v>237.31034482758622</v>
      </c>
      <c r="AC142" s="99">
        <f t="shared" si="23"/>
        <v>3.1896551724137931</v>
      </c>
      <c r="AD142" s="191">
        <f t="shared" si="24"/>
        <v>2.138112</v>
      </c>
      <c r="AE142" s="208">
        <v>11.9</v>
      </c>
      <c r="AF142" s="198">
        <f t="shared" si="25"/>
        <v>59.102780199554395</v>
      </c>
      <c r="AG142" s="492" t="s">
        <v>1185</v>
      </c>
      <c r="AH142" s="539" t="s">
        <v>1208</v>
      </c>
    </row>
    <row r="143" spans="1:35" x14ac:dyDescent="0.2">
      <c r="A143" s="229" t="s">
        <v>912</v>
      </c>
      <c r="B143" s="17" t="s">
        <v>702</v>
      </c>
      <c r="C143" s="227" t="s">
        <v>697</v>
      </c>
      <c r="D143" s="213"/>
      <c r="E143" s="134" t="s">
        <v>670</v>
      </c>
      <c r="F143" s="143" t="s">
        <v>1179</v>
      </c>
      <c r="G143" s="43">
        <v>48.88</v>
      </c>
      <c r="H143" s="128">
        <v>15</v>
      </c>
      <c r="I143" s="430">
        <v>120</v>
      </c>
      <c r="J143" s="487" t="s">
        <v>1178</v>
      </c>
      <c r="K143" s="488">
        <v>749.95</v>
      </c>
      <c r="L143" s="456">
        <f t="shared" si="18"/>
        <v>27.527999999999999</v>
      </c>
      <c r="M143" s="457">
        <f t="shared" si="19"/>
        <v>44.044800000000002</v>
      </c>
      <c r="N143" s="65">
        <f t="shared" si="20"/>
        <v>901.08019639934537</v>
      </c>
      <c r="O143" s="65">
        <f t="shared" si="21"/>
        <v>563.17512274959086</v>
      </c>
      <c r="P143" s="65"/>
      <c r="Q143" s="65">
        <v>58</v>
      </c>
      <c r="R143" s="65">
        <v>4</v>
      </c>
      <c r="S143" s="65"/>
      <c r="T143" s="65">
        <v>370</v>
      </c>
      <c r="U143" s="469" t="s">
        <v>1181</v>
      </c>
      <c r="V143" s="65">
        <v>116</v>
      </c>
      <c r="W143" s="469" t="s">
        <v>1182</v>
      </c>
      <c r="X143" s="115">
        <v>6882</v>
      </c>
      <c r="Y143" s="87"/>
      <c r="Z143" s="141" t="str">
        <f t="shared" si="27"/>
        <v/>
      </c>
      <c r="AA143" s="371">
        <f t="shared" si="22"/>
        <v>759.39310344827595</v>
      </c>
      <c r="AB143" s="54">
        <f t="shared" si="26"/>
        <v>237.31034482758622</v>
      </c>
      <c r="AC143" s="99">
        <f t="shared" si="23"/>
        <v>3.1896551724137931</v>
      </c>
      <c r="AD143" s="191">
        <f t="shared" si="24"/>
        <v>2.138112</v>
      </c>
      <c r="AE143" s="208">
        <v>11.9</v>
      </c>
      <c r="AF143" s="198">
        <f t="shared" si="25"/>
        <v>59.102780199554395</v>
      </c>
      <c r="AG143" s="492" t="s">
        <v>1185</v>
      </c>
      <c r="AH143" s="539" t="s">
        <v>1209</v>
      </c>
    </row>
    <row r="144" spans="1:35" ht="13.5" thickBot="1" x14ac:dyDescent="0.25">
      <c r="A144" s="229" t="s">
        <v>912</v>
      </c>
      <c r="B144" s="17" t="s">
        <v>702</v>
      </c>
      <c r="C144" s="227" t="s">
        <v>697</v>
      </c>
      <c r="D144" s="213"/>
      <c r="E144" s="134" t="s">
        <v>670</v>
      </c>
      <c r="F144" s="143" t="s">
        <v>1179</v>
      </c>
      <c r="G144" s="43">
        <v>48.88</v>
      </c>
      <c r="H144" s="128">
        <v>15</v>
      </c>
      <c r="I144" s="430">
        <v>124</v>
      </c>
      <c r="J144" s="487" t="s">
        <v>1180</v>
      </c>
      <c r="K144" s="488">
        <v>799.95</v>
      </c>
      <c r="L144" s="456">
        <f t="shared" si="18"/>
        <v>27.527999999999999</v>
      </c>
      <c r="M144" s="457">
        <f t="shared" si="19"/>
        <v>44.044800000000002</v>
      </c>
      <c r="N144" s="65">
        <f t="shared" si="20"/>
        <v>901.08019639934537</v>
      </c>
      <c r="O144" s="65">
        <f t="shared" si="21"/>
        <v>563.17512274959086</v>
      </c>
      <c r="P144" s="65"/>
      <c r="Q144" s="65">
        <v>58</v>
      </c>
      <c r="R144" s="65">
        <v>4</v>
      </c>
      <c r="S144" s="65"/>
      <c r="T144" s="65">
        <v>370</v>
      </c>
      <c r="U144" s="65">
        <v>0</v>
      </c>
      <c r="V144" s="65">
        <v>116</v>
      </c>
      <c r="W144" s="469" t="s">
        <v>1182</v>
      </c>
      <c r="X144" s="115">
        <v>6882</v>
      </c>
      <c r="Y144" s="87"/>
      <c r="Z144" s="141" t="str">
        <f t="shared" si="27"/>
        <v/>
      </c>
      <c r="AA144" s="371">
        <f t="shared" si="22"/>
        <v>759.39310344827595</v>
      </c>
      <c r="AB144" s="54">
        <f t="shared" si="26"/>
        <v>237.31034482758622</v>
      </c>
      <c r="AC144" s="99">
        <f t="shared" si="23"/>
        <v>3.1896551724137931</v>
      </c>
      <c r="AD144" s="191">
        <f t="shared" si="24"/>
        <v>2.138112</v>
      </c>
      <c r="AE144" s="208">
        <v>11.9</v>
      </c>
      <c r="AF144" s="198">
        <f t="shared" si="25"/>
        <v>59.102780199554395</v>
      </c>
      <c r="AG144" s="492" t="s">
        <v>1190</v>
      </c>
      <c r="AH144" s="539" t="s">
        <v>1209</v>
      </c>
    </row>
    <row r="145" spans="1:35" x14ac:dyDescent="0.2">
      <c r="A145" s="182"/>
      <c r="B145" s="48" t="s">
        <v>715</v>
      </c>
      <c r="C145" s="226"/>
      <c r="D145" s="212"/>
      <c r="E145" s="12" t="s">
        <v>1785</v>
      </c>
      <c r="F145" s="466" t="s">
        <v>1018</v>
      </c>
      <c r="G145" s="14" t="s">
        <v>22</v>
      </c>
      <c r="H145" s="40" t="s">
        <v>531</v>
      </c>
      <c r="I145" s="123"/>
      <c r="J145" s="15"/>
      <c r="K145" s="16" t="s">
        <v>22</v>
      </c>
      <c r="L145" s="248" t="s">
        <v>665</v>
      </c>
      <c r="M145" s="383" t="s">
        <v>696</v>
      </c>
      <c r="N145" s="380"/>
      <c r="O145" s="382"/>
      <c r="P145" s="60"/>
      <c r="Q145" s="61" t="s">
        <v>432</v>
      </c>
      <c r="R145" s="399" t="s">
        <v>1341</v>
      </c>
      <c r="S145" s="61" t="s">
        <v>965</v>
      </c>
      <c r="T145" s="61"/>
      <c r="U145" s="61" t="s">
        <v>963</v>
      </c>
      <c r="V145" s="74" t="s">
        <v>433</v>
      </c>
      <c r="W145" s="399" t="s">
        <v>1167</v>
      </c>
      <c r="X145" s="109" t="s">
        <v>207</v>
      </c>
      <c r="Y145" s="80" t="s">
        <v>695</v>
      </c>
      <c r="Z145" s="206"/>
      <c r="AA145" s="370"/>
      <c r="AB145" s="92"/>
      <c r="AC145" s="98"/>
      <c r="AD145" s="109" t="s">
        <v>650</v>
      </c>
      <c r="AE145" s="195"/>
      <c r="AF145" s="196"/>
      <c r="AG145" t="s">
        <v>983</v>
      </c>
      <c r="AH145"/>
    </row>
    <row r="146" spans="1:35" x14ac:dyDescent="0.2">
      <c r="A146" s="494" t="s">
        <v>2303</v>
      </c>
      <c r="B146" s="36" t="s">
        <v>702</v>
      </c>
      <c r="C146" s="1213" t="s">
        <v>697</v>
      </c>
      <c r="D146" s="300"/>
      <c r="E146" s="1003" t="s">
        <v>1787</v>
      </c>
      <c r="F146" s="1192" t="s">
        <v>1933</v>
      </c>
      <c r="G146" s="1148">
        <v>20.689499999999999</v>
      </c>
      <c r="H146" s="1038">
        <v>8</v>
      </c>
      <c r="I146" s="1039">
        <v>86</v>
      </c>
      <c r="J146" s="1198" t="s">
        <v>2304</v>
      </c>
      <c r="K146" s="1147">
        <v>35.9</v>
      </c>
      <c r="L146" s="896">
        <f t="shared" ref="L146:L153" si="28">8*X146/1000</f>
        <v>8</v>
      </c>
      <c r="M146" s="1042">
        <f t="shared" ref="M146:M153" si="29">12.8*X146/1000</f>
        <v>12.8</v>
      </c>
      <c r="N146" s="1150">
        <f t="shared" ref="N146:N153" si="30">IF(AND(G146&lt;&gt;"",M146&lt;&gt;""),1000*M146/G146,"")</f>
        <v>618.67130670146696</v>
      </c>
      <c r="O146" s="65">
        <f>IF(AND(G146&lt;&gt;"",L146&lt;&gt;""),1000*L146/G146,"")</f>
        <v>386.66956668841686</v>
      </c>
      <c r="P146" s="1102"/>
      <c r="Q146" s="1004">
        <v>20</v>
      </c>
      <c r="R146" s="1004">
        <v>2</v>
      </c>
      <c r="S146" s="1004"/>
      <c r="T146" s="1004">
        <v>100</v>
      </c>
      <c r="U146" s="1004"/>
      <c r="V146" s="1152">
        <v>10</v>
      </c>
      <c r="W146" s="1004">
        <v>1</v>
      </c>
      <c r="X146" s="1153">
        <v>1000</v>
      </c>
      <c r="Y146" s="89"/>
      <c r="Z146" s="1154"/>
      <c r="AA146" s="1155">
        <f t="shared" ref="AA146:AA153" si="31">1000*M146/Q146</f>
        <v>640</v>
      </c>
      <c r="AB146" s="54">
        <f t="shared" ref="AB146:AB153" si="32">1000*L146/V146</f>
        <v>800</v>
      </c>
      <c r="AC146" s="103">
        <f t="shared" ref="AC146:AC153" si="33">T146/V146</f>
        <v>10</v>
      </c>
      <c r="AD146" s="1047">
        <f t="shared" ref="AD146:AD153" si="34">512*72*V146/1000000</f>
        <v>0.36864000000000002</v>
      </c>
      <c r="AE146" s="1156">
        <v>7.4</v>
      </c>
      <c r="AF146" s="1049">
        <f>(AE146*1000000-V146*36*1024)/(6000*L146)</f>
        <v>146.48666666666668</v>
      </c>
      <c r="AH146"/>
    </row>
    <row r="147" spans="1:35" x14ac:dyDescent="0.2">
      <c r="A147" s="494" t="s">
        <v>740</v>
      </c>
      <c r="B147" s="17" t="s">
        <v>702</v>
      </c>
      <c r="C147" s="227" t="s">
        <v>697</v>
      </c>
      <c r="D147" s="213"/>
      <c r="E147" s="910" t="s">
        <v>1788</v>
      </c>
      <c r="F147" s="1192" t="s">
        <v>1933</v>
      </c>
      <c r="G147" s="43">
        <v>25.4</v>
      </c>
      <c r="H147" s="128">
        <v>13</v>
      </c>
      <c r="I147" s="430">
        <v>150</v>
      </c>
      <c r="J147" s="1283" t="s">
        <v>2512</v>
      </c>
      <c r="K147" s="429">
        <v>43</v>
      </c>
      <c r="L147" s="456">
        <f t="shared" si="28"/>
        <v>14.6</v>
      </c>
      <c r="M147" s="457">
        <f t="shared" si="29"/>
        <v>23.36</v>
      </c>
      <c r="N147" s="889">
        <f t="shared" si="30"/>
        <v>919.68503937007881</v>
      </c>
      <c r="O147" s="65">
        <f>IF(AND(G147&lt;&gt;"",L147&lt;&gt;""),1000*L147/G147,"")</f>
        <v>574.80314960629926</v>
      </c>
      <c r="P147" s="65"/>
      <c r="Q147" s="65">
        <v>80</v>
      </c>
      <c r="R147" s="65">
        <v>3</v>
      </c>
      <c r="S147" s="65"/>
      <c r="T147" s="65">
        <v>150</v>
      </c>
      <c r="U147" s="469" t="s">
        <v>1189</v>
      </c>
      <c r="V147" s="65">
        <v>45</v>
      </c>
      <c r="W147" s="71">
        <v>1</v>
      </c>
      <c r="X147" s="115">
        <v>1825</v>
      </c>
      <c r="Y147" s="87"/>
      <c r="Z147" s="141"/>
      <c r="AA147" s="371">
        <f t="shared" si="31"/>
        <v>292</v>
      </c>
      <c r="AB147" s="54">
        <f t="shared" si="32"/>
        <v>324.44444444444446</v>
      </c>
      <c r="AC147" s="99">
        <f t="shared" si="33"/>
        <v>3.3333333333333335</v>
      </c>
      <c r="AD147" s="191">
        <f t="shared" si="34"/>
        <v>1.6588799999999999</v>
      </c>
      <c r="AE147" s="446">
        <v>17.536096000000001</v>
      </c>
      <c r="AF147" s="1049">
        <f>(AE147*1000000-V147*36*1024)/(6000*L147)</f>
        <v>181.24675799086759</v>
      </c>
      <c r="AH147" s="539" t="s">
        <v>2514</v>
      </c>
      <c r="AI147" s="493" t="s">
        <v>2513</v>
      </c>
    </row>
    <row r="148" spans="1:35" ht="15.75" x14ac:dyDescent="0.25">
      <c r="A148" s="494" t="s">
        <v>2520</v>
      </c>
      <c r="B148" s="29" t="s">
        <v>702</v>
      </c>
      <c r="C148" s="296" t="s">
        <v>697</v>
      </c>
      <c r="D148" s="300"/>
      <c r="E148" s="1003" t="s">
        <v>1789</v>
      </c>
      <c r="F148" s="440" t="s">
        <v>1934</v>
      </c>
      <c r="G148" s="38">
        <v>41.25</v>
      </c>
      <c r="H148" s="128">
        <v>15</v>
      </c>
      <c r="I148" s="430">
        <v>210</v>
      </c>
      <c r="J148" s="1715" t="s">
        <v>2519</v>
      </c>
      <c r="K148" s="1147">
        <v>69</v>
      </c>
      <c r="L148" s="456">
        <f t="shared" si="28"/>
        <v>32.603999999999999</v>
      </c>
      <c r="M148" s="457">
        <f t="shared" si="29"/>
        <v>52.166400000000003</v>
      </c>
      <c r="N148" s="889">
        <f t="shared" si="30"/>
        <v>1264.6400000000001</v>
      </c>
      <c r="O148" s="65"/>
      <c r="P148" s="70"/>
      <c r="Q148" s="71">
        <v>120</v>
      </c>
      <c r="R148" s="71">
        <v>5</v>
      </c>
      <c r="S148" s="71"/>
      <c r="T148" s="71">
        <v>250</v>
      </c>
      <c r="U148" s="71">
        <v>1</v>
      </c>
      <c r="V148" s="71">
        <v>75</v>
      </c>
      <c r="W148" s="71">
        <v>1</v>
      </c>
      <c r="X148" s="117">
        <v>4075.5</v>
      </c>
      <c r="Y148" s="86"/>
      <c r="Z148" s="464"/>
      <c r="AA148" s="378">
        <f t="shared" si="31"/>
        <v>434.72</v>
      </c>
      <c r="AB148" s="54">
        <f t="shared" si="32"/>
        <v>434.72</v>
      </c>
      <c r="AC148" s="99">
        <f t="shared" si="33"/>
        <v>3.3333333333333335</v>
      </c>
      <c r="AD148" s="191">
        <f t="shared" si="34"/>
        <v>2.7648000000000001</v>
      </c>
      <c r="AE148" s="1725"/>
      <c r="AF148" s="1711"/>
      <c r="AH148" s="493" t="s">
        <v>2521</v>
      </c>
    </row>
    <row r="149" spans="1:35" x14ac:dyDescent="0.2">
      <c r="A149" s="494" t="s">
        <v>903</v>
      </c>
      <c r="B149" s="17" t="s">
        <v>702</v>
      </c>
      <c r="C149" s="227" t="s">
        <v>697</v>
      </c>
      <c r="D149" s="213"/>
      <c r="E149" s="910" t="s">
        <v>1788</v>
      </c>
      <c r="F149" s="1724" t="s">
        <v>1933</v>
      </c>
      <c r="G149" s="43">
        <v>25.4</v>
      </c>
      <c r="H149" s="128">
        <v>13</v>
      </c>
      <c r="I149" s="430">
        <v>150</v>
      </c>
      <c r="J149" s="1283" t="s">
        <v>2062</v>
      </c>
      <c r="K149" s="429">
        <v>69</v>
      </c>
      <c r="L149" s="456">
        <f t="shared" si="28"/>
        <v>14.6</v>
      </c>
      <c r="M149" s="457">
        <f t="shared" si="29"/>
        <v>23.36</v>
      </c>
      <c r="N149" s="889">
        <f t="shared" si="30"/>
        <v>919.68503937007881</v>
      </c>
      <c r="O149" s="65">
        <f>IF(AND(G149&lt;&gt;"",L149&lt;&gt;""),1000*L149/G149,"")</f>
        <v>574.80314960629926</v>
      </c>
      <c r="P149" s="65"/>
      <c r="Q149" s="65">
        <v>80</v>
      </c>
      <c r="R149" s="65">
        <v>3</v>
      </c>
      <c r="S149" s="65"/>
      <c r="T149" s="65">
        <v>150</v>
      </c>
      <c r="U149" s="469" t="s">
        <v>1189</v>
      </c>
      <c r="V149" s="65">
        <v>45</v>
      </c>
      <c r="W149" s="65">
        <v>1</v>
      </c>
      <c r="X149" s="115">
        <v>1825</v>
      </c>
      <c r="Y149" s="87"/>
      <c r="Z149" s="141"/>
      <c r="AA149" s="371">
        <f t="shared" si="31"/>
        <v>292</v>
      </c>
      <c r="AB149" s="54">
        <f t="shared" si="32"/>
        <v>324.44444444444446</v>
      </c>
      <c r="AC149" s="99">
        <f t="shared" si="33"/>
        <v>3.3333333333333335</v>
      </c>
      <c r="AD149" s="191">
        <f t="shared" si="34"/>
        <v>1.6588799999999999</v>
      </c>
      <c r="AE149" s="197">
        <v>17.536096000000001</v>
      </c>
      <c r="AF149" s="1049">
        <f>(AE149*1000000-V149*36*1024)/(6000*L149)</f>
        <v>181.24675799086759</v>
      </c>
      <c r="AH149" s="539" t="s">
        <v>2060</v>
      </c>
      <c r="AI149" s="493" t="s">
        <v>2061</v>
      </c>
    </row>
    <row r="150" spans="1:35" x14ac:dyDescent="0.2">
      <c r="A150" s="494" t="s">
        <v>903</v>
      </c>
      <c r="B150" s="29" t="s">
        <v>702</v>
      </c>
      <c r="C150" s="296" t="s">
        <v>697</v>
      </c>
      <c r="D150" s="300"/>
      <c r="E150" s="1003" t="s">
        <v>1788</v>
      </c>
      <c r="F150" s="1192" t="s">
        <v>1933</v>
      </c>
      <c r="G150" s="38">
        <v>25.4</v>
      </c>
      <c r="H150" s="129">
        <v>13</v>
      </c>
      <c r="I150" s="435">
        <v>150</v>
      </c>
      <c r="J150" s="1684" t="s">
        <v>1885</v>
      </c>
      <c r="K150" s="437">
        <v>89</v>
      </c>
      <c r="L150" s="1244">
        <f t="shared" si="28"/>
        <v>14.6</v>
      </c>
      <c r="M150" s="1245">
        <f t="shared" si="29"/>
        <v>23.36</v>
      </c>
      <c r="N150" s="1708">
        <f t="shared" si="30"/>
        <v>919.68503937007881</v>
      </c>
      <c r="O150" s="71">
        <f>IF(AND(G150&lt;&gt;"",L150&lt;&gt;""),1000*L150/G150,"")</f>
        <v>574.80314960629926</v>
      </c>
      <c r="P150" s="71"/>
      <c r="Q150" s="71">
        <v>80</v>
      </c>
      <c r="R150" s="71">
        <v>3</v>
      </c>
      <c r="S150" s="71"/>
      <c r="T150" s="71">
        <v>150</v>
      </c>
      <c r="U150" s="1004" t="s">
        <v>1189</v>
      </c>
      <c r="V150" s="71">
        <v>45</v>
      </c>
      <c r="W150" s="71">
        <v>1</v>
      </c>
      <c r="X150" s="117">
        <v>1825</v>
      </c>
      <c r="Y150" s="86"/>
      <c r="Z150" s="172"/>
      <c r="AA150" s="375">
        <f t="shared" si="31"/>
        <v>292</v>
      </c>
      <c r="AB150" s="54">
        <f t="shared" si="32"/>
        <v>324.44444444444446</v>
      </c>
      <c r="AC150" s="102">
        <f t="shared" si="33"/>
        <v>3.3333333333333335</v>
      </c>
      <c r="AD150" s="194">
        <f t="shared" si="34"/>
        <v>1.6588799999999999</v>
      </c>
      <c r="AE150" s="1709">
        <v>17.536096000000001</v>
      </c>
      <c r="AF150" s="1710">
        <f>(AE150*1000000-V150*36*1024)/(6000*L150)</f>
        <v>181.24675799086759</v>
      </c>
      <c r="AG150" s="6"/>
      <c r="AH150" s="539" t="s">
        <v>1699</v>
      </c>
      <c r="AI150" t="s">
        <v>1700</v>
      </c>
    </row>
    <row r="151" spans="1:35" x14ac:dyDescent="0.2">
      <c r="A151" s="494" t="s">
        <v>903</v>
      </c>
      <c r="B151" s="17" t="s">
        <v>702</v>
      </c>
      <c r="C151" s="227" t="s">
        <v>697</v>
      </c>
      <c r="D151" s="213"/>
      <c r="E151" s="910" t="s">
        <v>1789</v>
      </c>
      <c r="F151" s="440" t="s">
        <v>1883</v>
      </c>
      <c r="G151" s="43">
        <v>50.92</v>
      </c>
      <c r="H151" s="128">
        <v>15</v>
      </c>
      <c r="I151" s="430">
        <v>210</v>
      </c>
      <c r="J151" s="1283" t="s">
        <v>1886</v>
      </c>
      <c r="K151" s="429">
        <v>109</v>
      </c>
      <c r="L151" s="456">
        <f t="shared" si="28"/>
        <v>32.603999999999999</v>
      </c>
      <c r="M151" s="457">
        <f t="shared" si="29"/>
        <v>52.166400000000003</v>
      </c>
      <c r="N151" s="889">
        <f t="shared" si="30"/>
        <v>1024.4776119402984</v>
      </c>
      <c r="O151" s="65">
        <f>IF(AND(G151&lt;&gt;"",L151&lt;&gt;""),1000*L151/G151,"")</f>
        <v>640.29850746268653</v>
      </c>
      <c r="P151" s="65"/>
      <c r="Q151" s="65">
        <v>120</v>
      </c>
      <c r="R151" s="65">
        <v>5</v>
      </c>
      <c r="S151" s="65"/>
      <c r="T151" s="65">
        <v>250</v>
      </c>
      <c r="U151" s="469" t="s">
        <v>1189</v>
      </c>
      <c r="V151" s="65">
        <v>75</v>
      </c>
      <c r="W151" s="71">
        <v>1</v>
      </c>
      <c r="X151" s="115">
        <v>4075.5</v>
      </c>
      <c r="Y151" s="87"/>
      <c r="Z151" s="141"/>
      <c r="AA151" s="371">
        <f t="shared" si="31"/>
        <v>434.72</v>
      </c>
      <c r="AB151" s="54">
        <f t="shared" si="32"/>
        <v>434.72</v>
      </c>
      <c r="AC151" s="99">
        <f t="shared" si="33"/>
        <v>3.3333333333333335</v>
      </c>
      <c r="AD151" s="191">
        <f t="shared" si="34"/>
        <v>2.7648000000000001</v>
      </c>
      <c r="AE151" s="446">
        <v>17.5</v>
      </c>
      <c r="AF151" s="1049">
        <f>(AE151*1000000-V151*36*1024)/(6000*L151)</f>
        <v>75.324091113564805</v>
      </c>
      <c r="AG151" s="6"/>
      <c r="AH151" s="539" t="s">
        <v>1699</v>
      </c>
      <c r="AI151" t="s">
        <v>1700</v>
      </c>
    </row>
    <row r="152" spans="1:35" x14ac:dyDescent="0.2">
      <c r="A152" s="494" t="s">
        <v>2303</v>
      </c>
      <c r="B152" s="36" t="s">
        <v>702</v>
      </c>
      <c r="C152" s="1213" t="s">
        <v>697</v>
      </c>
      <c r="D152" s="300"/>
      <c r="E152" s="1003" t="s">
        <v>1787</v>
      </c>
      <c r="F152" s="1192" t="s">
        <v>1933</v>
      </c>
      <c r="G152" s="1148">
        <v>20.689499999999999</v>
      </c>
      <c r="H152" s="1038">
        <v>8</v>
      </c>
      <c r="I152" s="1039">
        <v>86</v>
      </c>
      <c r="J152" s="1198" t="s">
        <v>2624</v>
      </c>
      <c r="K152" s="1147">
        <v>147</v>
      </c>
      <c r="L152" s="896">
        <f>8*X152/1000</f>
        <v>8</v>
      </c>
      <c r="M152" s="1042">
        <f>12.8*X152/1000</f>
        <v>12.8</v>
      </c>
      <c r="N152" s="1150">
        <f>IF(AND(G152&lt;&gt;"",M152&lt;&gt;""),1000*M152/G152,"")</f>
        <v>618.67130670146696</v>
      </c>
      <c r="O152" s="65">
        <f>IF(AND(G152&lt;&gt;"",L152&lt;&gt;""),1000*L152/G152,"")</f>
        <v>386.66956668841686</v>
      </c>
      <c r="P152" s="1102"/>
      <c r="Q152" s="1004">
        <v>20</v>
      </c>
      <c r="R152" s="1004">
        <v>2</v>
      </c>
      <c r="S152" s="1004"/>
      <c r="T152" s="1004">
        <v>100</v>
      </c>
      <c r="U152" s="1004"/>
      <c r="V152" s="1152">
        <v>10</v>
      </c>
      <c r="W152" s="1004">
        <v>1</v>
      </c>
      <c r="X152" s="1153">
        <v>1000</v>
      </c>
      <c r="Y152" s="89"/>
      <c r="Z152" s="1154"/>
      <c r="AA152" s="1155">
        <f>1000*M152/Q152</f>
        <v>640</v>
      </c>
      <c r="AB152" s="54">
        <f>1000*L152/V152</f>
        <v>800</v>
      </c>
      <c r="AC152" s="103">
        <f>T152/V152</f>
        <v>10</v>
      </c>
      <c r="AD152" s="1047">
        <f>512*72*V152/1000000</f>
        <v>0.36864000000000002</v>
      </c>
      <c r="AE152" s="1156">
        <v>7.4</v>
      </c>
      <c r="AF152" s="1049">
        <f>(AE152*1000000-V152*36*1024)/(6000*L152)</f>
        <v>146.48666666666668</v>
      </c>
      <c r="AH152"/>
      <c r="AI152" t="s">
        <v>2625</v>
      </c>
    </row>
    <row r="153" spans="1:35" ht="13.5" thickBot="1" x14ac:dyDescent="0.25">
      <c r="A153" s="494" t="s">
        <v>2532</v>
      </c>
      <c r="B153" s="41" t="s">
        <v>702</v>
      </c>
      <c r="C153" s="230" t="s">
        <v>697</v>
      </c>
      <c r="D153" s="213"/>
      <c r="E153" s="910" t="s">
        <v>1787</v>
      </c>
      <c r="F153" s="1724" t="s">
        <v>1933</v>
      </c>
      <c r="G153" s="1037">
        <v>20.689499999999999</v>
      </c>
      <c r="H153" s="1038">
        <v>8</v>
      </c>
      <c r="I153" s="1039">
        <v>86</v>
      </c>
      <c r="J153" s="529" t="s">
        <v>2530</v>
      </c>
      <c r="K153" s="419">
        <v>120</v>
      </c>
      <c r="L153" s="896">
        <f t="shared" si="28"/>
        <v>8</v>
      </c>
      <c r="M153" s="1042">
        <f t="shared" si="29"/>
        <v>12.8</v>
      </c>
      <c r="N153" s="1150">
        <f t="shared" si="30"/>
        <v>618.67130670146696</v>
      </c>
      <c r="O153" s="65">
        <f>IF(AND(G153&lt;&gt;"",L153&lt;&gt;""),1000*L153/G153,"")</f>
        <v>386.66956668841686</v>
      </c>
      <c r="P153" s="469"/>
      <c r="Q153" s="469">
        <v>20</v>
      </c>
      <c r="R153" s="469">
        <v>2</v>
      </c>
      <c r="S153" s="469"/>
      <c r="T153" s="469">
        <v>100</v>
      </c>
      <c r="U153" s="469"/>
      <c r="V153" s="1385">
        <v>10</v>
      </c>
      <c r="W153" s="1004">
        <v>1</v>
      </c>
      <c r="X153" s="1044">
        <v>1000</v>
      </c>
      <c r="Y153" s="85"/>
      <c r="Z153" s="1045"/>
      <c r="AA153" s="1046">
        <f t="shared" si="31"/>
        <v>640</v>
      </c>
      <c r="AB153" s="54">
        <f t="shared" si="32"/>
        <v>800</v>
      </c>
      <c r="AC153" s="103">
        <f t="shared" si="33"/>
        <v>10</v>
      </c>
      <c r="AD153" s="1047">
        <f t="shared" si="34"/>
        <v>0.36864000000000002</v>
      </c>
      <c r="AE153" s="1726">
        <v>7.4</v>
      </c>
      <c r="AF153" s="1049">
        <f>(AE153*1000000-V153*36*1024)/(6000*L153)</f>
        <v>146.48666666666668</v>
      </c>
      <c r="AH153"/>
      <c r="AI153" t="s">
        <v>2531</v>
      </c>
    </row>
    <row r="154" spans="1:35" x14ac:dyDescent="0.2">
      <c r="A154" s="182"/>
      <c r="B154" s="48" t="s">
        <v>715</v>
      </c>
      <c r="C154" s="226"/>
      <c r="D154" s="212"/>
      <c r="E154" s="12" t="s">
        <v>960</v>
      </c>
      <c r="F154" s="466" t="s">
        <v>1018</v>
      </c>
      <c r="G154" s="14" t="s">
        <v>22</v>
      </c>
      <c r="H154" s="40" t="s">
        <v>531</v>
      </c>
      <c r="I154" s="123"/>
      <c r="J154" s="15"/>
      <c r="K154" s="16" t="s">
        <v>22</v>
      </c>
      <c r="L154" s="248" t="s">
        <v>665</v>
      </c>
      <c r="M154" s="383" t="s">
        <v>696</v>
      </c>
      <c r="N154" s="380"/>
      <c r="O154" s="382"/>
      <c r="P154" s="60"/>
      <c r="Q154" s="61" t="s">
        <v>432</v>
      </c>
      <c r="R154" s="399" t="s">
        <v>1341</v>
      </c>
      <c r="S154" s="61" t="s">
        <v>965</v>
      </c>
      <c r="T154" s="61"/>
      <c r="U154" s="61" t="s">
        <v>963</v>
      </c>
      <c r="V154" s="74" t="s">
        <v>433</v>
      </c>
      <c r="W154" s="399" t="s">
        <v>1167</v>
      </c>
      <c r="X154" s="109" t="s">
        <v>207</v>
      </c>
      <c r="Y154" s="80" t="s">
        <v>695</v>
      </c>
      <c r="Z154" s="206"/>
      <c r="AA154" s="370"/>
      <c r="AB154" s="92"/>
      <c r="AC154" s="98"/>
      <c r="AD154" s="109" t="s">
        <v>650</v>
      </c>
      <c r="AE154" s="195"/>
      <c r="AF154" s="196"/>
      <c r="AG154" t="s">
        <v>983</v>
      </c>
      <c r="AH154"/>
    </row>
    <row r="155" spans="1:35" x14ac:dyDescent="0.2">
      <c r="A155" s="494" t="s">
        <v>2099</v>
      </c>
      <c r="B155" s="17" t="s">
        <v>702</v>
      </c>
      <c r="C155" s="227" t="s">
        <v>697</v>
      </c>
      <c r="D155" s="213"/>
      <c r="E155" s="910" t="s">
        <v>1340</v>
      </c>
      <c r="F155" s="143" t="s">
        <v>1555</v>
      </c>
      <c r="G155" s="43">
        <v>37.892299999999999</v>
      </c>
      <c r="H155" s="128">
        <v>10</v>
      </c>
      <c r="I155" s="167">
        <v>100</v>
      </c>
      <c r="J155" s="465"/>
      <c r="K155" s="488">
        <v>45.9</v>
      </c>
      <c r="L155" s="456">
        <f>8*X155/1000</f>
        <v>20.568000000000001</v>
      </c>
      <c r="M155" s="457">
        <f>12.8*X155/1000</f>
        <v>32.908799999999999</v>
      </c>
      <c r="N155" s="889">
        <f>IF(AND(G155&lt;&gt;"",M155&lt;&gt;""),1000*M155/G155,"")</f>
        <v>868.48251491727876</v>
      </c>
      <c r="O155" s="65">
        <f>IF(AND(G155&lt;&gt;"",L155&lt;&gt;""),1000*L155/G155,"")</f>
        <v>542.80157182329924</v>
      </c>
      <c r="P155" s="65"/>
      <c r="Q155" s="65">
        <v>90</v>
      </c>
      <c r="R155" s="65">
        <v>5</v>
      </c>
      <c r="S155" s="65">
        <v>4</v>
      </c>
      <c r="T155" s="65">
        <v>250</v>
      </c>
      <c r="U155" s="469" t="s">
        <v>1189</v>
      </c>
      <c r="V155" s="65">
        <v>50</v>
      </c>
      <c r="W155" s="71">
        <v>1</v>
      </c>
      <c r="X155" s="115">
        <v>2571</v>
      </c>
      <c r="Y155" s="87"/>
      <c r="Z155" s="141"/>
      <c r="AA155" s="371">
        <f>1000*M155/Q155</f>
        <v>365.65333333333336</v>
      </c>
      <c r="AB155" s="54">
        <f t="shared" ref="AB155:AB164" si="35">1000*L155/V155</f>
        <v>411.36</v>
      </c>
      <c r="AC155" s="99">
        <f>T155/V155</f>
        <v>5</v>
      </c>
      <c r="AD155" s="191">
        <f>512*72*V155/1000000</f>
        <v>1.8431999999999999</v>
      </c>
      <c r="AE155" s="446">
        <v>17.536096000000001</v>
      </c>
      <c r="AF155" s="198">
        <f>(AE155*1000000-V155*36*1024)/(6000*L155)</f>
        <v>127.16271230390248</v>
      </c>
      <c r="AG155" s="6"/>
      <c r="AH155" s="539" t="s">
        <v>1699</v>
      </c>
      <c r="AI155" t="s">
        <v>1700</v>
      </c>
    </row>
    <row r="156" spans="1:35" x14ac:dyDescent="0.2">
      <c r="A156" s="229" t="s">
        <v>1186</v>
      </c>
      <c r="B156" s="41" t="s">
        <v>702</v>
      </c>
      <c r="C156" s="230" t="s">
        <v>697</v>
      </c>
      <c r="D156" s="470"/>
      <c r="E156" s="1003" t="s">
        <v>1598</v>
      </c>
      <c r="F156" s="1192" t="s">
        <v>1556</v>
      </c>
      <c r="G156" s="1148">
        <v>34.816400000000002</v>
      </c>
      <c r="H156" s="1038">
        <v>10</v>
      </c>
      <c r="I156" s="1039">
        <v>140</v>
      </c>
      <c r="J156" s="1198" t="s">
        <v>1715</v>
      </c>
      <c r="K156" s="1147">
        <v>59</v>
      </c>
      <c r="L156" s="896">
        <f t="shared" ref="L156:L164" si="36">8*X156/1000</f>
        <v>10.4</v>
      </c>
      <c r="M156" s="1042">
        <f t="shared" ref="M156:M164" si="37">12.8*X156/1000</f>
        <v>16.64</v>
      </c>
      <c r="N156" s="1150">
        <f t="shared" ref="N156:N164" si="38">IF(AND(G156&lt;&gt;"",M156&lt;&gt;""),1000*M156/G156,"")</f>
        <v>477.93568548155463</v>
      </c>
      <c r="O156" s="65">
        <f t="shared" ref="O156:O164" si="39">IF(AND(G156&lt;&gt;"",L156&lt;&gt;""),1000*L156/G156,"")</f>
        <v>298.70980342597164</v>
      </c>
      <c r="P156" s="1102"/>
      <c r="Q156" s="1004">
        <v>45</v>
      </c>
      <c r="R156" s="1004">
        <v>5</v>
      </c>
      <c r="S156" s="1004">
        <v>4</v>
      </c>
      <c r="T156" s="1004">
        <v>250</v>
      </c>
      <c r="U156" s="1004"/>
      <c r="V156" s="1152">
        <v>25</v>
      </c>
      <c r="W156" s="1004">
        <v>1</v>
      </c>
      <c r="X156" s="1153">
        <v>1300</v>
      </c>
      <c r="Y156" s="89"/>
      <c r="Z156" s="1154"/>
      <c r="AA156" s="1155">
        <f t="shared" ref="AA156:AA164" si="40">1000*M156/Q156</f>
        <v>369.77777777777777</v>
      </c>
      <c r="AB156" s="54">
        <f t="shared" si="35"/>
        <v>416</v>
      </c>
      <c r="AC156" s="103">
        <f t="shared" ref="AC156:AC164" si="41">T156/V156</f>
        <v>10</v>
      </c>
      <c r="AD156" s="1047">
        <f t="shared" ref="AD156:AD164" si="42">512*72*V156/1000000</f>
        <v>0.92159999999999997</v>
      </c>
      <c r="AE156" s="1156">
        <v>7.4</v>
      </c>
      <c r="AF156" s="1049">
        <f t="shared" ref="AF156:AF164" si="43">(AE156*1000000-V156*36*1024)/(6000*L156)</f>
        <v>103.82051282051282</v>
      </c>
      <c r="AH156" s="539" t="s">
        <v>1716</v>
      </c>
      <c r="AI156" s="493" t="s">
        <v>2408</v>
      </c>
    </row>
    <row r="157" spans="1:35" x14ac:dyDescent="0.2">
      <c r="A157" s="494" t="s">
        <v>903</v>
      </c>
      <c r="B157" s="41" t="s">
        <v>702</v>
      </c>
      <c r="C157" s="230" t="s">
        <v>697</v>
      </c>
      <c r="D157" s="470"/>
      <c r="E157" s="1003" t="s">
        <v>1598</v>
      </c>
      <c r="F157" s="1192" t="s">
        <v>2043</v>
      </c>
      <c r="G157" s="1148">
        <v>25.49</v>
      </c>
      <c r="H157" s="1038">
        <v>10</v>
      </c>
      <c r="I157" s="1039">
        <v>140</v>
      </c>
      <c r="J157" s="487" t="s">
        <v>1776</v>
      </c>
      <c r="K157" s="1147">
        <v>75</v>
      </c>
      <c r="L157" s="896">
        <f t="shared" si="36"/>
        <v>10.4</v>
      </c>
      <c r="M157" s="1042">
        <f t="shared" si="37"/>
        <v>16.64</v>
      </c>
      <c r="N157" s="1150">
        <f t="shared" si="38"/>
        <v>652.80502157708906</v>
      </c>
      <c r="O157" s="65">
        <f t="shared" si="39"/>
        <v>408.00313848568067</v>
      </c>
      <c r="P157" s="1102"/>
      <c r="Q157" s="1004">
        <v>45</v>
      </c>
      <c r="R157" s="1004">
        <v>5</v>
      </c>
      <c r="S157" s="1004">
        <v>4</v>
      </c>
      <c r="T157" s="1004">
        <v>250</v>
      </c>
      <c r="U157" s="1004"/>
      <c r="V157" s="1152">
        <v>25</v>
      </c>
      <c r="W157" s="1004">
        <v>1</v>
      </c>
      <c r="X157" s="1153">
        <v>1300</v>
      </c>
      <c r="Y157" s="89"/>
      <c r="Z157" s="1154"/>
      <c r="AA157" s="1155">
        <f t="shared" si="40"/>
        <v>369.77777777777777</v>
      </c>
      <c r="AB157" s="54">
        <f t="shared" si="35"/>
        <v>416</v>
      </c>
      <c r="AC157" s="103">
        <f t="shared" si="41"/>
        <v>10</v>
      </c>
      <c r="AD157" s="1047">
        <f t="shared" si="42"/>
        <v>0.92159999999999997</v>
      </c>
      <c r="AE157" s="1156">
        <v>7.4</v>
      </c>
      <c r="AF157" s="1049">
        <f t="shared" si="43"/>
        <v>103.82051282051282</v>
      </c>
      <c r="AH157" s="539" t="s">
        <v>1777</v>
      </c>
      <c r="AI157" s="493" t="s">
        <v>1778</v>
      </c>
    </row>
    <row r="158" spans="1:35" x14ac:dyDescent="0.2">
      <c r="A158" s="494" t="s">
        <v>189</v>
      </c>
      <c r="B158" s="17" t="s">
        <v>702</v>
      </c>
      <c r="C158" s="227" t="s">
        <v>697</v>
      </c>
      <c r="D158" s="213"/>
      <c r="E158" s="910" t="s">
        <v>1340</v>
      </c>
      <c r="F158" s="143" t="s">
        <v>1555</v>
      </c>
      <c r="G158" s="43">
        <v>37.892299999999999</v>
      </c>
      <c r="H158" s="128">
        <v>10</v>
      </c>
      <c r="I158" s="167">
        <v>100</v>
      </c>
      <c r="J158" s="465" t="s">
        <v>1884</v>
      </c>
      <c r="K158" s="488">
        <v>99</v>
      </c>
      <c r="L158" s="456">
        <f t="shared" si="36"/>
        <v>20.568000000000001</v>
      </c>
      <c r="M158" s="457">
        <f t="shared" si="37"/>
        <v>32.908799999999999</v>
      </c>
      <c r="N158" s="889">
        <f t="shared" si="38"/>
        <v>868.48251491727876</v>
      </c>
      <c r="O158" s="65">
        <f t="shared" si="39"/>
        <v>542.80157182329924</v>
      </c>
      <c r="P158" s="65"/>
      <c r="Q158" s="65">
        <v>90</v>
      </c>
      <c r="R158" s="65">
        <v>5</v>
      </c>
      <c r="S158" s="65">
        <v>4</v>
      </c>
      <c r="T158" s="65">
        <v>250</v>
      </c>
      <c r="U158" s="469" t="s">
        <v>1189</v>
      </c>
      <c r="V158" s="65">
        <v>50</v>
      </c>
      <c r="W158" s="71">
        <v>1</v>
      </c>
      <c r="X158" s="115">
        <v>2571</v>
      </c>
      <c r="Y158" s="87"/>
      <c r="Z158" s="141"/>
      <c r="AA158" s="371">
        <f t="shared" si="40"/>
        <v>365.65333333333336</v>
      </c>
      <c r="AB158" s="54">
        <f t="shared" si="35"/>
        <v>411.36</v>
      </c>
      <c r="AC158" s="99">
        <f t="shared" si="41"/>
        <v>5</v>
      </c>
      <c r="AD158" s="191">
        <f t="shared" si="42"/>
        <v>1.8431999999999999</v>
      </c>
      <c r="AE158" s="446">
        <v>17.536096000000001</v>
      </c>
      <c r="AF158" s="198">
        <f t="shared" si="43"/>
        <v>127.16271230390248</v>
      </c>
      <c r="AG158" s="6"/>
      <c r="AH158" s="539" t="s">
        <v>1699</v>
      </c>
      <c r="AI158" t="s">
        <v>1700</v>
      </c>
    </row>
    <row r="159" spans="1:35" x14ac:dyDescent="0.2">
      <c r="A159" s="494" t="s">
        <v>2539</v>
      </c>
      <c r="B159" s="17" t="s">
        <v>702</v>
      </c>
      <c r="C159" s="227" t="s">
        <v>697</v>
      </c>
      <c r="D159" s="213"/>
      <c r="E159" s="910" t="s">
        <v>1340</v>
      </c>
      <c r="F159" s="143" t="s">
        <v>1555</v>
      </c>
      <c r="G159" s="43">
        <v>37.892299999999999</v>
      </c>
      <c r="H159" s="128">
        <v>10</v>
      </c>
      <c r="I159" s="167">
        <v>100</v>
      </c>
      <c r="J159" s="465" t="s">
        <v>2538</v>
      </c>
      <c r="K159" s="488">
        <v>129</v>
      </c>
      <c r="L159" s="456">
        <f>8*X159/1000</f>
        <v>20.568000000000001</v>
      </c>
      <c r="M159" s="457">
        <f>12.8*X159/1000</f>
        <v>32.908799999999999</v>
      </c>
      <c r="N159" s="889">
        <f>IF(AND(G159&lt;&gt;"",M159&lt;&gt;""),1000*M159/G159,"")</f>
        <v>868.48251491727876</v>
      </c>
      <c r="O159" s="65">
        <f>IF(AND(G159&lt;&gt;"",L159&lt;&gt;""),1000*L159/G159,"")</f>
        <v>542.80157182329924</v>
      </c>
      <c r="P159" s="65"/>
      <c r="Q159" s="65">
        <v>90</v>
      </c>
      <c r="R159" s="65">
        <v>5</v>
      </c>
      <c r="S159" s="65">
        <v>4</v>
      </c>
      <c r="T159" s="65">
        <v>250</v>
      </c>
      <c r="U159" s="469" t="s">
        <v>1189</v>
      </c>
      <c r="V159" s="65">
        <v>50</v>
      </c>
      <c r="W159" s="71">
        <v>1</v>
      </c>
      <c r="X159" s="115">
        <v>2571</v>
      </c>
      <c r="Y159" s="87"/>
      <c r="Z159" s="141"/>
      <c r="AA159" s="371">
        <f>1000*M159/Q159</f>
        <v>365.65333333333336</v>
      </c>
      <c r="AB159" s="54">
        <f t="shared" si="35"/>
        <v>411.36</v>
      </c>
      <c r="AC159" s="99">
        <f>T159/V159</f>
        <v>5</v>
      </c>
      <c r="AD159" s="191">
        <f>512*72*V159/1000000</f>
        <v>1.8431999999999999</v>
      </c>
      <c r="AE159" s="446">
        <v>17.536096000000001</v>
      </c>
      <c r="AF159" s="198">
        <f>(AE159*1000000-V159*36*1024)/(6000*L159)</f>
        <v>127.16271230390248</v>
      </c>
      <c r="AG159" s="6"/>
      <c r="AH159" s="539"/>
      <c r="AI159" t="s">
        <v>2540</v>
      </c>
    </row>
    <row r="160" spans="1:35" x14ac:dyDescent="0.2">
      <c r="A160" s="494"/>
      <c r="B160" s="17" t="s">
        <v>702</v>
      </c>
      <c r="C160" s="227" t="s">
        <v>697</v>
      </c>
      <c r="D160" s="213"/>
      <c r="E160" s="910" t="s">
        <v>1340</v>
      </c>
      <c r="F160" s="143" t="s">
        <v>1555</v>
      </c>
      <c r="G160" s="43">
        <v>37.892299999999999</v>
      </c>
      <c r="H160" s="128">
        <v>10</v>
      </c>
      <c r="I160" s="167">
        <v>100</v>
      </c>
      <c r="J160" s="465" t="s">
        <v>2102</v>
      </c>
      <c r="K160" s="488"/>
      <c r="L160" s="456">
        <f>8*X160/1000</f>
        <v>20.568000000000001</v>
      </c>
      <c r="M160" s="457">
        <f>12.8*X160/1000</f>
        <v>32.908799999999999</v>
      </c>
      <c r="N160" s="889">
        <f>IF(AND(G160&lt;&gt;"",M160&lt;&gt;""),1000*M160/G160,"")</f>
        <v>868.48251491727876</v>
      </c>
      <c r="O160" s="65">
        <f>IF(AND(G160&lt;&gt;"",L160&lt;&gt;""),1000*L160/G160,"")</f>
        <v>542.80157182329924</v>
      </c>
      <c r="P160" s="65"/>
      <c r="Q160" s="65">
        <v>90</v>
      </c>
      <c r="R160" s="65">
        <v>5</v>
      </c>
      <c r="S160" s="65">
        <v>4</v>
      </c>
      <c r="T160" s="65">
        <v>250</v>
      </c>
      <c r="U160" s="469" t="s">
        <v>1189</v>
      </c>
      <c r="V160" s="65">
        <v>50</v>
      </c>
      <c r="W160" s="71">
        <v>1</v>
      </c>
      <c r="X160" s="115">
        <v>2571</v>
      </c>
      <c r="Y160" s="87"/>
      <c r="Z160" s="141"/>
      <c r="AA160" s="371">
        <f>1000*M160/Q160</f>
        <v>365.65333333333336</v>
      </c>
      <c r="AB160" s="54">
        <f t="shared" si="35"/>
        <v>411.36</v>
      </c>
      <c r="AC160" s="99">
        <f>T160/V160</f>
        <v>5</v>
      </c>
      <c r="AD160" s="191">
        <f>512*72*V160/1000000</f>
        <v>1.8431999999999999</v>
      </c>
      <c r="AE160" s="446">
        <v>17.536096000000001</v>
      </c>
      <c r="AF160" s="198">
        <f>(AE160*1000000-V160*36*1024)/(6000*L160)</f>
        <v>127.16271230390248</v>
      </c>
      <c r="AG160" s="6"/>
      <c r="AH160" s="539" t="s">
        <v>2103</v>
      </c>
      <c r="AI160" t="s">
        <v>2104</v>
      </c>
    </row>
    <row r="161" spans="1:35" x14ac:dyDescent="0.2">
      <c r="A161" s="494" t="s">
        <v>903</v>
      </c>
      <c r="B161" s="17" t="s">
        <v>702</v>
      </c>
      <c r="C161" s="227" t="s">
        <v>697</v>
      </c>
      <c r="D161" s="213"/>
      <c r="E161" s="910" t="s">
        <v>1340</v>
      </c>
      <c r="F161" s="143" t="s">
        <v>1555</v>
      </c>
      <c r="G161" s="43">
        <v>37.892299999999999</v>
      </c>
      <c r="H161" s="128">
        <v>10</v>
      </c>
      <c r="I161" s="167">
        <v>100</v>
      </c>
      <c r="J161" s="465" t="s">
        <v>1602</v>
      </c>
      <c r="K161" s="488">
        <v>149</v>
      </c>
      <c r="L161" s="456">
        <f t="shared" si="36"/>
        <v>20.568000000000001</v>
      </c>
      <c r="M161" s="457">
        <f t="shared" si="37"/>
        <v>32.908799999999999</v>
      </c>
      <c r="N161" s="889">
        <f t="shared" si="38"/>
        <v>868.48251491727876</v>
      </c>
      <c r="O161" s="65">
        <f t="shared" si="39"/>
        <v>542.80157182329924</v>
      </c>
      <c r="P161" s="65"/>
      <c r="Q161" s="65">
        <v>90</v>
      </c>
      <c r="R161" s="65">
        <v>5</v>
      </c>
      <c r="S161" s="65">
        <v>4</v>
      </c>
      <c r="T161" s="65">
        <v>250</v>
      </c>
      <c r="U161" s="65">
        <v>1</v>
      </c>
      <c r="V161" s="65">
        <v>50</v>
      </c>
      <c r="W161" s="71">
        <v>1</v>
      </c>
      <c r="X161" s="115">
        <v>2571</v>
      </c>
      <c r="Y161" s="87"/>
      <c r="Z161" s="141"/>
      <c r="AA161" s="371">
        <f t="shared" si="40"/>
        <v>365.65333333333336</v>
      </c>
      <c r="AB161" s="54">
        <f t="shared" si="35"/>
        <v>411.36</v>
      </c>
      <c r="AC161" s="99">
        <f t="shared" si="41"/>
        <v>5</v>
      </c>
      <c r="AD161" s="191">
        <f t="shared" si="42"/>
        <v>1.8431999999999999</v>
      </c>
      <c r="AE161" s="446"/>
      <c r="AF161" s="198">
        <f t="shared" si="43"/>
        <v>-14.935822637106183</v>
      </c>
      <c r="AG161" s="6"/>
      <c r="AH161"/>
    </row>
    <row r="162" spans="1:35" x14ac:dyDescent="0.2">
      <c r="A162" s="188" t="s">
        <v>2046</v>
      </c>
      <c r="B162" s="17" t="s">
        <v>702</v>
      </c>
      <c r="C162" s="227" t="s">
        <v>697</v>
      </c>
      <c r="D162" s="213" t="s">
        <v>704</v>
      </c>
      <c r="E162" s="910" t="s">
        <v>1156</v>
      </c>
      <c r="F162" s="143" t="s">
        <v>1556</v>
      </c>
      <c r="G162" s="43">
        <v>62.904800000000002</v>
      </c>
      <c r="H162" s="128">
        <v>15</v>
      </c>
      <c r="I162" s="430">
        <v>185</v>
      </c>
      <c r="J162" s="487" t="s">
        <v>2044</v>
      </c>
      <c r="K162" s="488">
        <v>219</v>
      </c>
      <c r="L162" s="456">
        <f>8*X162/1000</f>
        <v>32.799999999999997</v>
      </c>
      <c r="M162" s="457">
        <f>12.8*X162/1000</f>
        <v>52.48</v>
      </c>
      <c r="N162" s="889">
        <f>IF(AND(G162&lt;&gt;"",M162&lt;&gt;""),1000*M162/G162,"")</f>
        <v>834.27655759178947</v>
      </c>
      <c r="O162" s="65">
        <f>IF(AND(G162&lt;&gt;"",L162&lt;&gt;""),1000*L162/G162,"")</f>
        <v>521.42284849486839</v>
      </c>
      <c r="P162" s="65"/>
      <c r="Q162" s="65">
        <v>120</v>
      </c>
      <c r="R162" s="65">
        <v>5</v>
      </c>
      <c r="S162" s="65">
        <v>4</v>
      </c>
      <c r="T162" s="65">
        <v>250</v>
      </c>
      <c r="U162" s="65">
        <v>1</v>
      </c>
      <c r="V162" s="65">
        <v>75</v>
      </c>
      <c r="W162" s="1004">
        <v>1</v>
      </c>
      <c r="X162" s="115">
        <v>4100</v>
      </c>
      <c r="Y162" s="87"/>
      <c r="Z162" s="141"/>
      <c r="AA162" s="371">
        <f>1000*M162/Q162</f>
        <v>437.33333333333331</v>
      </c>
      <c r="AB162" s="54">
        <f t="shared" si="35"/>
        <v>437.33333333333331</v>
      </c>
      <c r="AC162" s="99">
        <f>T162/V162</f>
        <v>3.3333333333333335</v>
      </c>
      <c r="AD162" s="191">
        <f>512*72*V162/1000000</f>
        <v>2.7648000000000001</v>
      </c>
      <c r="AE162" s="446"/>
      <c r="AF162" s="198">
        <f>(AE162*1000000-V162*36*1024)/(6000*L162)</f>
        <v>-14.04878048780488</v>
      </c>
      <c r="AG162" s="6"/>
      <c r="AH162"/>
      <c r="AI162" t="s">
        <v>2045</v>
      </c>
    </row>
    <row r="163" spans="1:35" x14ac:dyDescent="0.2">
      <c r="A163" s="188" t="s">
        <v>189</v>
      </c>
      <c r="B163" s="17" t="s">
        <v>702</v>
      </c>
      <c r="C163" s="227" t="s">
        <v>697</v>
      </c>
      <c r="D163" s="213" t="s">
        <v>704</v>
      </c>
      <c r="E163" s="910" t="s">
        <v>1156</v>
      </c>
      <c r="F163" s="143" t="s">
        <v>1556</v>
      </c>
      <c r="G163" s="43">
        <v>62.904800000000002</v>
      </c>
      <c r="H163" s="128">
        <v>15</v>
      </c>
      <c r="I163" s="430">
        <v>185</v>
      </c>
      <c r="J163" s="487" t="s">
        <v>1557</v>
      </c>
      <c r="K163" s="488">
        <v>239</v>
      </c>
      <c r="L163" s="456">
        <f t="shared" si="36"/>
        <v>32.799999999999997</v>
      </c>
      <c r="M163" s="457">
        <f t="shared" si="37"/>
        <v>52.48</v>
      </c>
      <c r="N163" s="889">
        <f t="shared" si="38"/>
        <v>834.27655759178947</v>
      </c>
      <c r="O163" s="65">
        <f t="shared" si="39"/>
        <v>521.42284849486839</v>
      </c>
      <c r="P163" s="65"/>
      <c r="Q163" s="65">
        <v>120</v>
      </c>
      <c r="R163" s="65">
        <v>5</v>
      </c>
      <c r="S163" s="65">
        <v>4</v>
      </c>
      <c r="T163" s="65">
        <v>250</v>
      </c>
      <c r="U163" s="65">
        <v>1</v>
      </c>
      <c r="V163" s="65">
        <v>75</v>
      </c>
      <c r="W163" s="1004">
        <v>1</v>
      </c>
      <c r="X163" s="115">
        <v>4100</v>
      </c>
      <c r="Y163" s="87"/>
      <c r="Z163" s="141"/>
      <c r="AA163" s="371">
        <f t="shared" si="40"/>
        <v>437.33333333333331</v>
      </c>
      <c r="AB163" s="54">
        <f t="shared" si="35"/>
        <v>437.33333333333331</v>
      </c>
      <c r="AC163" s="99">
        <f t="shared" si="41"/>
        <v>3.3333333333333335</v>
      </c>
      <c r="AD163" s="191">
        <f t="shared" si="42"/>
        <v>2.7648000000000001</v>
      </c>
      <c r="AE163" s="446"/>
      <c r="AF163" s="198">
        <f t="shared" si="43"/>
        <v>-14.04878048780488</v>
      </c>
      <c r="AG163" s="6"/>
      <c r="AH163"/>
    </row>
    <row r="164" spans="1:35" ht="13.5" thickBot="1" x14ac:dyDescent="0.25">
      <c r="A164" s="188" t="s">
        <v>903</v>
      </c>
      <c r="B164" s="17" t="s">
        <v>702</v>
      </c>
      <c r="C164" s="227" t="s">
        <v>697</v>
      </c>
      <c r="D164" s="213" t="s">
        <v>704</v>
      </c>
      <c r="E164" s="910" t="s">
        <v>1157</v>
      </c>
      <c r="F164" s="143" t="s">
        <v>1374</v>
      </c>
      <c r="G164" s="43">
        <v>115.38</v>
      </c>
      <c r="H164" s="128">
        <v>15</v>
      </c>
      <c r="I164" s="1113">
        <v>210</v>
      </c>
      <c r="J164" s="465" t="s">
        <v>1461</v>
      </c>
      <c r="K164" s="488">
        <v>265</v>
      </c>
      <c r="L164" s="456">
        <f t="shared" si="36"/>
        <v>63.4</v>
      </c>
      <c r="M164" s="457">
        <f t="shared" si="37"/>
        <v>101.44</v>
      </c>
      <c r="N164" s="889">
        <f t="shared" si="38"/>
        <v>879.18183394002426</v>
      </c>
      <c r="O164" s="65">
        <f t="shared" si="39"/>
        <v>549.48864621251516</v>
      </c>
      <c r="P164" s="65"/>
      <c r="Q164" s="65">
        <v>240</v>
      </c>
      <c r="R164" s="65">
        <v>6</v>
      </c>
      <c r="S164" s="65">
        <v>8</v>
      </c>
      <c r="T164" s="65">
        <v>300</v>
      </c>
      <c r="U164" s="65">
        <v>1</v>
      </c>
      <c r="V164" s="65">
        <v>135</v>
      </c>
      <c r="W164" s="71">
        <v>1</v>
      </c>
      <c r="X164" s="115">
        <v>7925</v>
      </c>
      <c r="Y164" s="87"/>
      <c r="Z164" s="141"/>
      <c r="AA164" s="371">
        <f t="shared" si="40"/>
        <v>422.66666666666669</v>
      </c>
      <c r="AB164" s="54">
        <f t="shared" si="35"/>
        <v>469.62962962962962</v>
      </c>
      <c r="AC164" s="99">
        <f t="shared" si="41"/>
        <v>2.2222222222222223</v>
      </c>
      <c r="AD164" s="191">
        <f t="shared" si="42"/>
        <v>4.9766399999999997</v>
      </c>
      <c r="AE164" s="446">
        <v>31.3</v>
      </c>
      <c r="AF164" s="198">
        <f t="shared" si="43"/>
        <v>69.199158780231329</v>
      </c>
      <c r="AG164" s="6"/>
      <c r="AH164"/>
    </row>
    <row r="165" spans="1:35" x14ac:dyDescent="0.2">
      <c r="A165" s="182"/>
      <c r="B165" s="48" t="s">
        <v>715</v>
      </c>
      <c r="C165" s="226"/>
      <c r="D165" s="212"/>
      <c r="E165" s="12" t="s">
        <v>1073</v>
      </c>
      <c r="F165" s="466" t="s">
        <v>1018</v>
      </c>
      <c r="G165" s="14" t="s">
        <v>22</v>
      </c>
      <c r="H165" s="40" t="s">
        <v>531</v>
      </c>
      <c r="I165" s="123"/>
      <c r="J165" s="15"/>
      <c r="K165" s="16"/>
      <c r="L165" s="248" t="s">
        <v>665</v>
      </c>
      <c r="M165" s="383" t="s">
        <v>696</v>
      </c>
      <c r="N165" s="380"/>
      <c r="O165" s="382"/>
      <c r="P165" s="489" t="s">
        <v>1074</v>
      </c>
      <c r="Q165" s="61" t="s">
        <v>432</v>
      </c>
      <c r="R165" s="61" t="s">
        <v>976</v>
      </c>
      <c r="S165" s="61" t="s">
        <v>967</v>
      </c>
      <c r="T165" s="61"/>
      <c r="U165" s="399" t="s">
        <v>964</v>
      </c>
      <c r="V165" s="490" t="s">
        <v>433</v>
      </c>
      <c r="W165" s="491" t="s">
        <v>1075</v>
      </c>
      <c r="X165" s="109" t="s">
        <v>188</v>
      </c>
      <c r="Y165" s="80" t="s">
        <v>695</v>
      </c>
      <c r="Z165" s="206"/>
      <c r="AA165" s="370"/>
      <c r="AB165" s="92"/>
      <c r="AC165" s="98"/>
      <c r="AD165" s="109" t="s">
        <v>650</v>
      </c>
      <c r="AE165" s="195"/>
      <c r="AF165" s="196"/>
      <c r="AG165" s="492" t="s">
        <v>1076</v>
      </c>
      <c r="AH165"/>
    </row>
    <row r="166" spans="1:35" x14ac:dyDescent="0.2">
      <c r="A166" s="229" t="s">
        <v>2099</v>
      </c>
      <c r="B166" s="157" t="s">
        <v>702</v>
      </c>
      <c r="C166" s="227" t="s">
        <v>697</v>
      </c>
      <c r="D166" s="240"/>
      <c r="E166" s="526" t="s">
        <v>1458</v>
      </c>
      <c r="F166" s="179" t="s">
        <v>1175</v>
      </c>
      <c r="G166" s="275"/>
      <c r="H166" s="158">
        <v>15</v>
      </c>
      <c r="I166" s="473">
        <v>56</v>
      </c>
      <c r="J166" s="535" t="s">
        <v>2376</v>
      </c>
      <c r="K166" s="527">
        <v>49.9</v>
      </c>
      <c r="L166" s="456">
        <f>8*X166/1000</f>
        <v>17.600000000000001</v>
      </c>
      <c r="M166" s="457">
        <f>12.8*X166/1000</f>
        <v>28.16</v>
      </c>
      <c r="N166" s="73"/>
      <c r="O166" s="65" t="str">
        <f>IF(AND(G166&lt;&gt;"",L166&lt;&gt;""),1000*L166/G166,"")</f>
        <v/>
      </c>
      <c r="P166" s="73">
        <v>2</v>
      </c>
      <c r="Q166" s="73">
        <v>80</v>
      </c>
      <c r="R166" s="73">
        <v>14</v>
      </c>
      <c r="S166" s="73"/>
      <c r="T166" s="400">
        <v>230</v>
      </c>
      <c r="U166" s="1194" t="s">
        <v>1688</v>
      </c>
      <c r="V166" s="73">
        <v>60</v>
      </c>
      <c r="W166" s="73">
        <v>768</v>
      </c>
      <c r="X166" s="475">
        <v>2200</v>
      </c>
      <c r="Y166" s="476"/>
      <c r="Z166" s="173" t="str">
        <f>IF(AND(L166&lt;&gt;"",Y166&lt;&gt;""),1000*L166/Y166,"")</f>
        <v/>
      </c>
      <c r="AA166" s="376">
        <f>1000*M166/Q166</f>
        <v>352</v>
      </c>
      <c r="AB166" s="54">
        <f t="shared" ref="AB166:AB187" si="44">1000*L166/V166</f>
        <v>293.33333333333331</v>
      </c>
      <c r="AC166" s="101">
        <f>T166/V166</f>
        <v>3.8333333333333335</v>
      </c>
      <c r="AD166" s="478">
        <f>512*72*V166/1000000</f>
        <v>2.21184</v>
      </c>
      <c r="AE166" s="479"/>
      <c r="AF166" s="220"/>
      <c r="AG166" s="492"/>
      <c r="AH166" s="539" t="s">
        <v>1687</v>
      </c>
      <c r="AI166" s="493" t="s">
        <v>2059</v>
      </c>
    </row>
    <row r="167" spans="1:35" x14ac:dyDescent="0.2">
      <c r="A167" s="229" t="s">
        <v>1186</v>
      </c>
      <c r="B167" s="157" t="s">
        <v>702</v>
      </c>
      <c r="C167" s="227" t="s">
        <v>697</v>
      </c>
      <c r="D167" s="240"/>
      <c r="E167" s="526" t="s">
        <v>1458</v>
      </c>
      <c r="F167" s="179" t="s">
        <v>1175</v>
      </c>
      <c r="G167" s="275"/>
      <c r="H167" s="158">
        <v>15</v>
      </c>
      <c r="I167" s="473">
        <v>56</v>
      </c>
      <c r="J167" s="535" t="s">
        <v>1686</v>
      </c>
      <c r="K167" s="527">
        <v>66.94</v>
      </c>
      <c r="L167" s="456">
        <f t="shared" ref="L167:L175" si="45">8*X167/1000</f>
        <v>17.600000000000001</v>
      </c>
      <c r="M167" s="457">
        <f t="shared" ref="M167:M175" si="46">12.8*X167/1000</f>
        <v>28.16</v>
      </c>
      <c r="N167" s="73"/>
      <c r="O167" s="65" t="str">
        <f t="shared" ref="O167:O187" si="47">IF(AND(G167&lt;&gt;"",L167&lt;&gt;""),1000*L167/G167,"")</f>
        <v/>
      </c>
      <c r="P167" s="73">
        <v>2</v>
      </c>
      <c r="Q167" s="73">
        <v>80</v>
      </c>
      <c r="R167" s="73">
        <v>14</v>
      </c>
      <c r="S167" s="73"/>
      <c r="T167" s="400">
        <v>230</v>
      </c>
      <c r="U167" s="1194" t="s">
        <v>1688</v>
      </c>
      <c r="V167" s="73">
        <v>60</v>
      </c>
      <c r="W167" s="73">
        <v>768</v>
      </c>
      <c r="X167" s="475">
        <v>2200</v>
      </c>
      <c r="Y167" s="476"/>
      <c r="Z167" s="173" t="str">
        <f>IF(AND(L167&lt;&gt;"",Y167&lt;&gt;""),1000*L167/Y167,"")</f>
        <v/>
      </c>
      <c r="AA167" s="376">
        <f t="shared" ref="AA167:AA175" si="48">1000*M167/Q167</f>
        <v>352</v>
      </c>
      <c r="AB167" s="54">
        <f t="shared" si="44"/>
        <v>293.33333333333331</v>
      </c>
      <c r="AC167" s="101">
        <f t="shared" ref="AC167:AC175" si="49">T167/V167</f>
        <v>3.8333333333333335</v>
      </c>
      <c r="AD167" s="478">
        <f t="shared" ref="AD167:AD175" si="50">512*72*V167/1000000</f>
        <v>2.21184</v>
      </c>
      <c r="AE167" s="479"/>
      <c r="AF167" s="220"/>
      <c r="AG167" s="492"/>
      <c r="AH167" s="539" t="s">
        <v>1687</v>
      </c>
      <c r="AI167" s="493" t="s">
        <v>2059</v>
      </c>
    </row>
    <row r="168" spans="1:35" x14ac:dyDescent="0.2">
      <c r="A168" s="494" t="s">
        <v>189</v>
      </c>
      <c r="B168" s="157"/>
      <c r="C168" s="227" t="s">
        <v>697</v>
      </c>
      <c r="D168" s="240"/>
      <c r="E168" s="526" t="s">
        <v>1924</v>
      </c>
      <c r="F168" s="143" t="s">
        <v>1455</v>
      </c>
      <c r="G168" s="43">
        <v>46.13</v>
      </c>
      <c r="H168" s="128">
        <v>15</v>
      </c>
      <c r="I168" s="430">
        <v>100</v>
      </c>
      <c r="J168" s="535" t="s">
        <v>1923</v>
      </c>
      <c r="K168" s="527">
        <v>83.33</v>
      </c>
      <c r="L168" s="456">
        <f t="shared" si="45"/>
        <v>14.4</v>
      </c>
      <c r="M168" s="457">
        <f t="shared" si="46"/>
        <v>23.04</v>
      </c>
      <c r="N168" s="65">
        <f>IF(AND(G168&lt;&gt;"",M168&lt;&gt;""),1000*M168/G168,"")</f>
        <v>499.45805332755253</v>
      </c>
      <c r="O168" s="65"/>
      <c r="P168" s="65">
        <v>1</v>
      </c>
      <c r="Q168" s="65">
        <v>66</v>
      </c>
      <c r="R168" s="65">
        <v>14</v>
      </c>
      <c r="S168" s="65"/>
      <c r="T168" s="449">
        <v>154</v>
      </c>
      <c r="U168" s="65" t="s">
        <v>1925</v>
      </c>
      <c r="V168" s="65">
        <v>50</v>
      </c>
      <c r="W168" s="65">
        <v>768</v>
      </c>
      <c r="X168" s="115">
        <v>1800</v>
      </c>
      <c r="Y168" s="87"/>
      <c r="Z168" s="141"/>
      <c r="AA168" s="371">
        <f t="shared" si="48"/>
        <v>349.09090909090907</v>
      </c>
      <c r="AB168" s="54">
        <f t="shared" si="44"/>
        <v>288</v>
      </c>
      <c r="AC168" s="99">
        <f t="shared" si="49"/>
        <v>3.08</v>
      </c>
      <c r="AD168" s="191">
        <f t="shared" si="50"/>
        <v>1.8431999999999999</v>
      </c>
      <c r="AE168" s="479"/>
      <c r="AF168" s="220"/>
      <c r="AG168" s="492"/>
      <c r="AH168" s="539" t="s">
        <v>1699</v>
      </c>
      <c r="AI168" s="493" t="s">
        <v>1926</v>
      </c>
    </row>
    <row r="169" spans="1:35" x14ac:dyDescent="0.2">
      <c r="A169" s="229" t="s">
        <v>1701</v>
      </c>
      <c r="B169" s="157" t="s">
        <v>702</v>
      </c>
      <c r="C169" s="227" t="s">
        <v>697</v>
      </c>
      <c r="D169" s="240"/>
      <c r="E169" s="526" t="s">
        <v>1458</v>
      </c>
      <c r="F169" s="179" t="s">
        <v>1175</v>
      </c>
      <c r="G169" s="275"/>
      <c r="H169" s="158">
        <v>15</v>
      </c>
      <c r="I169" s="473">
        <v>56</v>
      </c>
      <c r="J169" s="535" t="s">
        <v>2058</v>
      </c>
      <c r="K169" s="527">
        <v>95</v>
      </c>
      <c r="L169" s="456">
        <f t="shared" si="45"/>
        <v>17.600000000000001</v>
      </c>
      <c r="M169" s="457">
        <f t="shared" si="46"/>
        <v>28.16</v>
      </c>
      <c r="N169" s="73"/>
      <c r="O169" s="65" t="str">
        <f>IF(AND(G169&lt;&gt;"",L169&lt;&gt;""),1000*L169/G169,"")</f>
        <v/>
      </c>
      <c r="P169" s="73">
        <v>2</v>
      </c>
      <c r="Q169" s="73">
        <v>80</v>
      </c>
      <c r="R169" s="73">
        <v>14</v>
      </c>
      <c r="S169" s="73"/>
      <c r="T169" s="400">
        <v>230</v>
      </c>
      <c r="U169" s="1194" t="s">
        <v>1688</v>
      </c>
      <c r="V169" s="73">
        <v>60</v>
      </c>
      <c r="W169" s="73">
        <v>768</v>
      </c>
      <c r="X169" s="475">
        <v>2200</v>
      </c>
      <c r="Y169" s="476"/>
      <c r="Z169" s="173" t="str">
        <f>IF(AND(L169&lt;&gt;"",Y169&lt;&gt;""),1000*L169/Y169,"")</f>
        <v/>
      </c>
      <c r="AA169" s="376">
        <f t="shared" si="48"/>
        <v>352</v>
      </c>
      <c r="AB169" s="54">
        <f t="shared" si="44"/>
        <v>293.33333333333331</v>
      </c>
      <c r="AC169" s="101">
        <f t="shared" si="49"/>
        <v>3.8333333333333335</v>
      </c>
      <c r="AD169" s="478">
        <f t="shared" si="50"/>
        <v>2.21184</v>
      </c>
      <c r="AE169" s="479"/>
      <c r="AF169" s="220"/>
      <c r="AG169" s="492"/>
      <c r="AH169" s="539" t="s">
        <v>1702</v>
      </c>
      <c r="AI169" t="s">
        <v>1703</v>
      </c>
    </row>
    <row r="170" spans="1:35" x14ac:dyDescent="0.2">
      <c r="A170" s="494" t="s">
        <v>1690</v>
      </c>
      <c r="B170" s="157" t="s">
        <v>702</v>
      </c>
      <c r="C170" s="227" t="s">
        <v>697</v>
      </c>
      <c r="D170" s="240"/>
      <c r="E170" s="526" t="s">
        <v>1458</v>
      </c>
      <c r="F170" s="179" t="s">
        <v>1175</v>
      </c>
      <c r="G170" s="275"/>
      <c r="H170" s="158">
        <v>15</v>
      </c>
      <c r="I170" s="473">
        <v>56</v>
      </c>
      <c r="J170" s="535" t="s">
        <v>1689</v>
      </c>
      <c r="K170" s="527">
        <v>99</v>
      </c>
      <c r="L170" s="456">
        <f t="shared" si="45"/>
        <v>17.600000000000001</v>
      </c>
      <c r="M170" s="457">
        <f t="shared" si="46"/>
        <v>28.16</v>
      </c>
      <c r="N170" s="73"/>
      <c r="O170" s="65" t="str">
        <f t="shared" si="47"/>
        <v/>
      </c>
      <c r="P170" s="73">
        <v>2</v>
      </c>
      <c r="Q170" s="73">
        <v>80</v>
      </c>
      <c r="R170" s="73">
        <v>14</v>
      </c>
      <c r="S170" s="73"/>
      <c r="T170" s="400">
        <v>230</v>
      </c>
      <c r="U170" s="1194" t="s">
        <v>1688</v>
      </c>
      <c r="V170" s="73">
        <v>60</v>
      </c>
      <c r="W170" s="73">
        <v>768</v>
      </c>
      <c r="X170" s="475">
        <v>2200</v>
      </c>
      <c r="Y170" s="476"/>
      <c r="Z170" s="173" t="str">
        <f>IF(AND(L170&lt;&gt;"",Y170&lt;&gt;""),1000*L170/Y170,"")</f>
        <v/>
      </c>
      <c r="AA170" s="376">
        <f t="shared" si="48"/>
        <v>352</v>
      </c>
      <c r="AB170" s="54">
        <f t="shared" si="44"/>
        <v>293.33333333333331</v>
      </c>
      <c r="AC170" s="101">
        <f t="shared" si="49"/>
        <v>3.8333333333333335</v>
      </c>
      <c r="AD170" s="478">
        <f t="shared" si="50"/>
        <v>2.21184</v>
      </c>
      <c r="AE170" s="479"/>
      <c r="AF170" s="220"/>
      <c r="AG170" s="492"/>
      <c r="AH170" s="539" t="s">
        <v>1691</v>
      </c>
      <c r="AI170" t="s">
        <v>1692</v>
      </c>
    </row>
    <row r="171" spans="1:35" x14ac:dyDescent="0.2">
      <c r="A171" s="188" t="s">
        <v>1510</v>
      </c>
      <c r="B171" s="157" t="s">
        <v>702</v>
      </c>
      <c r="C171" s="227" t="s">
        <v>697</v>
      </c>
      <c r="D171" s="240"/>
      <c r="E171" s="526" t="s">
        <v>1458</v>
      </c>
      <c r="F171" s="179" t="s">
        <v>1175</v>
      </c>
      <c r="G171" s="275"/>
      <c r="H171" s="158">
        <v>15</v>
      </c>
      <c r="I171" s="473">
        <v>56</v>
      </c>
      <c r="J171" s="535" t="s">
        <v>1511</v>
      </c>
      <c r="K171" s="527">
        <v>99</v>
      </c>
      <c r="L171" s="456">
        <f t="shared" si="45"/>
        <v>17.600000000000001</v>
      </c>
      <c r="M171" s="457">
        <f t="shared" si="46"/>
        <v>28.16</v>
      </c>
      <c r="N171" s="73"/>
      <c r="O171" s="65" t="str">
        <f t="shared" si="47"/>
        <v/>
      </c>
      <c r="P171" s="73">
        <v>2</v>
      </c>
      <c r="Q171" s="73">
        <v>80</v>
      </c>
      <c r="R171" s="73">
        <v>14</v>
      </c>
      <c r="S171" s="73"/>
      <c r="T171" s="400">
        <v>230</v>
      </c>
      <c r="U171" s="496" t="s">
        <v>1201</v>
      </c>
      <c r="V171" s="73">
        <v>60</v>
      </c>
      <c r="W171" s="73">
        <v>768</v>
      </c>
      <c r="X171" s="475">
        <v>2200</v>
      </c>
      <c r="Y171" s="476"/>
      <c r="Z171" s="173" t="str">
        <f>IF(AND(L171&lt;&gt;"",Y171&lt;&gt;""),1000*L171/Y171,"")</f>
        <v/>
      </c>
      <c r="AA171" s="376">
        <f t="shared" si="48"/>
        <v>352</v>
      </c>
      <c r="AB171" s="54">
        <f t="shared" si="44"/>
        <v>293.33333333333331</v>
      </c>
      <c r="AC171" s="101">
        <f t="shared" si="49"/>
        <v>3.8333333333333335</v>
      </c>
      <c r="AD171" s="478">
        <f t="shared" si="50"/>
        <v>2.21184</v>
      </c>
      <c r="AE171" s="479"/>
      <c r="AF171" s="220"/>
      <c r="AG171" s="492"/>
      <c r="AH171" s="406" t="s">
        <v>1217</v>
      </c>
    </row>
    <row r="172" spans="1:35" x14ac:dyDescent="0.2">
      <c r="A172" s="188" t="s">
        <v>903</v>
      </c>
      <c r="B172" s="157" t="s">
        <v>702</v>
      </c>
      <c r="C172" s="227" t="s">
        <v>697</v>
      </c>
      <c r="D172" s="240"/>
      <c r="E172" s="526" t="s">
        <v>1924</v>
      </c>
      <c r="F172" s="143" t="s">
        <v>1455</v>
      </c>
      <c r="G172" s="43">
        <v>46.13</v>
      </c>
      <c r="H172" s="128">
        <v>15</v>
      </c>
      <c r="I172" s="430">
        <v>100</v>
      </c>
      <c r="J172" s="535" t="s">
        <v>2113</v>
      </c>
      <c r="K172" s="527">
        <v>99</v>
      </c>
      <c r="L172" s="456">
        <f>8*X172/1000</f>
        <v>14.4</v>
      </c>
      <c r="M172" s="457">
        <f>12.8*X172/1000</f>
        <v>23.04</v>
      </c>
      <c r="N172" s="65">
        <f>IF(AND(G172&lt;&gt;"",M172&lt;&gt;""),1000*M172/G172,"")</f>
        <v>499.45805332755253</v>
      </c>
      <c r="O172" s="65"/>
      <c r="P172" s="65">
        <v>1</v>
      </c>
      <c r="Q172" s="65">
        <v>66</v>
      </c>
      <c r="R172" s="65">
        <v>14</v>
      </c>
      <c r="S172" s="65"/>
      <c r="T172" s="449">
        <v>154</v>
      </c>
      <c r="U172" s="65" t="s">
        <v>1925</v>
      </c>
      <c r="V172" s="65">
        <v>50</v>
      </c>
      <c r="W172" s="65">
        <v>768</v>
      </c>
      <c r="X172" s="115">
        <v>1800</v>
      </c>
      <c r="Y172" s="87"/>
      <c r="Z172" s="141"/>
      <c r="AA172" s="371">
        <f>1000*M172/Q172</f>
        <v>349.09090909090907</v>
      </c>
      <c r="AB172" s="54">
        <f t="shared" si="44"/>
        <v>288</v>
      </c>
      <c r="AC172" s="99">
        <f>T172/V172</f>
        <v>3.08</v>
      </c>
      <c r="AD172" s="191">
        <f>512*72*V172/1000000</f>
        <v>1.8431999999999999</v>
      </c>
      <c r="AE172" s="479"/>
      <c r="AF172" s="220"/>
      <c r="AG172" s="492"/>
      <c r="AH172" s="406" t="s">
        <v>2115</v>
      </c>
      <c r="AI172" t="s">
        <v>2114</v>
      </c>
    </row>
    <row r="173" spans="1:35" x14ac:dyDescent="0.2">
      <c r="A173" s="188" t="s">
        <v>2303</v>
      </c>
      <c r="B173" s="17" t="s">
        <v>702</v>
      </c>
      <c r="C173" s="227" t="s">
        <v>697</v>
      </c>
      <c r="D173" s="213"/>
      <c r="E173" s="910" t="s">
        <v>1176</v>
      </c>
      <c r="F173" s="143" t="s">
        <v>1175</v>
      </c>
      <c r="G173" s="43"/>
      <c r="H173" s="128">
        <v>15</v>
      </c>
      <c r="I173" s="430">
        <v>56</v>
      </c>
      <c r="J173" s="487" t="s">
        <v>2120</v>
      </c>
      <c r="K173" s="488">
        <v>118</v>
      </c>
      <c r="L173" s="456">
        <f>8*X173/1000</f>
        <v>53.2</v>
      </c>
      <c r="M173" s="457">
        <f>12.8*X173/1000</f>
        <v>85.12</v>
      </c>
      <c r="N173" s="65"/>
      <c r="O173" s="65" t="str">
        <f>IF(AND(G173&lt;&gt;"",L173&lt;&gt;""),1000*L173/G173,"")</f>
        <v/>
      </c>
      <c r="P173" s="65">
        <v>2</v>
      </c>
      <c r="Q173" s="65">
        <v>220</v>
      </c>
      <c r="R173" s="65">
        <v>14</v>
      </c>
      <c r="S173" s="65"/>
      <c r="T173" s="449">
        <v>330</v>
      </c>
      <c r="U173" s="469" t="s">
        <v>2121</v>
      </c>
      <c r="V173" s="65">
        <v>140</v>
      </c>
      <c r="W173" s="65">
        <v>768</v>
      </c>
      <c r="X173" s="475">
        <v>6650</v>
      </c>
      <c r="Y173" s="87"/>
      <c r="Z173" s="141" t="str">
        <f>IF(AND(L173&lt;&gt;"",Y173&lt;&gt;""),1000*L173/Y173,"")</f>
        <v/>
      </c>
      <c r="AA173" s="371">
        <f>1000*M173/Q173</f>
        <v>386.90909090909093</v>
      </c>
      <c r="AB173" s="54">
        <f t="shared" si="44"/>
        <v>380</v>
      </c>
      <c r="AC173" s="99">
        <f>T173/V173</f>
        <v>2.3571428571428572</v>
      </c>
      <c r="AD173" s="191">
        <f>512*72*V173/1000000</f>
        <v>5.1609600000000002</v>
      </c>
      <c r="AE173" s="479"/>
      <c r="AF173" s="220"/>
      <c r="AG173" s="492"/>
      <c r="AH173" s="539" t="s">
        <v>2122</v>
      </c>
      <c r="AI173" s="493" t="s">
        <v>2123</v>
      </c>
    </row>
    <row r="174" spans="1:35" x14ac:dyDescent="0.2">
      <c r="A174" s="494" t="s">
        <v>2284</v>
      </c>
      <c r="B174" s="17" t="s">
        <v>702</v>
      </c>
      <c r="C174" s="227" t="s">
        <v>697</v>
      </c>
      <c r="D174" s="213"/>
      <c r="E174" s="910" t="s">
        <v>1176</v>
      </c>
      <c r="F174" s="143" t="s">
        <v>1175</v>
      </c>
      <c r="G174" s="43"/>
      <c r="H174" s="128">
        <v>15</v>
      </c>
      <c r="I174" s="430">
        <v>56</v>
      </c>
      <c r="J174" s="487" t="s">
        <v>2285</v>
      </c>
      <c r="K174" s="488">
        <v>124.13</v>
      </c>
      <c r="L174" s="456">
        <f>8*X174/1000</f>
        <v>53.2</v>
      </c>
      <c r="M174" s="457">
        <f>12.8*X174/1000</f>
        <v>85.12</v>
      </c>
      <c r="N174" s="65"/>
      <c r="O174" s="65" t="str">
        <f>IF(AND(G174&lt;&gt;"",L174&lt;&gt;""),1000*L174/G174,"")</f>
        <v/>
      </c>
      <c r="P174" s="65">
        <v>2</v>
      </c>
      <c r="Q174" s="65">
        <v>220</v>
      </c>
      <c r="R174" s="65">
        <v>14</v>
      </c>
      <c r="S174" s="65"/>
      <c r="T174" s="449">
        <v>330</v>
      </c>
      <c r="U174" s="469" t="s">
        <v>2286</v>
      </c>
      <c r="V174" s="65">
        <v>140</v>
      </c>
      <c r="W174" s="65">
        <v>768</v>
      </c>
      <c r="X174" s="475">
        <v>6650</v>
      </c>
      <c r="Y174" s="87"/>
      <c r="Z174" s="141" t="str">
        <f>IF(AND(L174&lt;&gt;"",Y174&lt;&gt;""),1000*L174/Y174,"")</f>
        <v/>
      </c>
      <c r="AA174" s="371">
        <f>1000*M174/Q174</f>
        <v>386.90909090909093</v>
      </c>
      <c r="AB174" s="54">
        <f t="shared" si="44"/>
        <v>380</v>
      </c>
      <c r="AC174" s="99">
        <f>T174/V174</f>
        <v>2.3571428571428572</v>
      </c>
      <c r="AD174" s="191">
        <f>512*72*V174/1000000</f>
        <v>5.1609600000000002</v>
      </c>
      <c r="AE174" s="479"/>
      <c r="AF174" s="220"/>
      <c r="AG174" s="492"/>
      <c r="AH174" s="539" t="s">
        <v>1718</v>
      </c>
      <c r="AI174" s="493" t="s">
        <v>1719</v>
      </c>
    </row>
    <row r="175" spans="1:35" x14ac:dyDescent="0.2">
      <c r="A175" s="229" t="s">
        <v>1186</v>
      </c>
      <c r="B175" s="157" t="s">
        <v>702</v>
      </c>
      <c r="C175" s="227" t="s">
        <v>697</v>
      </c>
      <c r="D175" s="240"/>
      <c r="E175" s="526" t="s">
        <v>1924</v>
      </c>
      <c r="F175" s="143" t="s">
        <v>1455</v>
      </c>
      <c r="G175" s="43">
        <v>46.13</v>
      </c>
      <c r="H175" s="128">
        <v>15</v>
      </c>
      <c r="I175" s="430">
        <v>100</v>
      </c>
      <c r="J175" s="535" t="s">
        <v>1717</v>
      </c>
      <c r="K175" s="527">
        <v>125.46</v>
      </c>
      <c r="L175" s="456">
        <f t="shared" si="45"/>
        <v>14.4</v>
      </c>
      <c r="M175" s="457">
        <f t="shared" si="46"/>
        <v>23.04</v>
      </c>
      <c r="N175" s="65">
        <f>IF(AND(G175&lt;&gt;"",M175&lt;&gt;""),1000*M175/G175,"")</f>
        <v>499.45805332755253</v>
      </c>
      <c r="O175" s="65"/>
      <c r="P175" s="65">
        <v>1</v>
      </c>
      <c r="Q175" s="65">
        <v>66</v>
      </c>
      <c r="R175" s="65">
        <v>14</v>
      </c>
      <c r="S175" s="65"/>
      <c r="T175" s="449">
        <v>154</v>
      </c>
      <c r="U175" s="65" t="s">
        <v>1925</v>
      </c>
      <c r="V175" s="65">
        <v>50</v>
      </c>
      <c r="W175" s="65">
        <v>768</v>
      </c>
      <c r="X175" s="115">
        <v>1800</v>
      </c>
      <c r="Y175" s="87"/>
      <c r="Z175" s="141"/>
      <c r="AA175" s="371">
        <f t="shared" si="48"/>
        <v>349.09090909090907</v>
      </c>
      <c r="AB175" s="54">
        <f t="shared" si="44"/>
        <v>288</v>
      </c>
      <c r="AC175" s="99">
        <f t="shared" si="49"/>
        <v>3.08</v>
      </c>
      <c r="AD175" s="191">
        <f t="shared" si="50"/>
        <v>1.8431999999999999</v>
      </c>
      <c r="AE175" s="479"/>
      <c r="AF175" s="220"/>
      <c r="AG175" s="492"/>
      <c r="AH175" s="539" t="s">
        <v>1718</v>
      </c>
      <c r="AI175" s="493" t="s">
        <v>2287</v>
      </c>
    </row>
    <row r="176" spans="1:35" x14ac:dyDescent="0.2">
      <c r="A176" s="229" t="s">
        <v>2520</v>
      </c>
      <c r="B176" s="157" t="s">
        <v>702</v>
      </c>
      <c r="C176" s="227" t="s">
        <v>697</v>
      </c>
      <c r="D176" s="240"/>
      <c r="E176" s="526" t="s">
        <v>1924</v>
      </c>
      <c r="F176" s="143" t="s">
        <v>1455</v>
      </c>
      <c r="G176" s="43">
        <v>46.13</v>
      </c>
      <c r="H176" s="128">
        <v>15</v>
      </c>
      <c r="I176" s="430">
        <v>100</v>
      </c>
      <c r="J176" s="535" t="s">
        <v>2588</v>
      </c>
      <c r="K176" s="1849">
        <v>136</v>
      </c>
      <c r="L176" s="456">
        <f>8*X176/1000</f>
        <v>14.4</v>
      </c>
      <c r="M176" s="457">
        <f>12.8*X176/1000</f>
        <v>23.04</v>
      </c>
      <c r="N176" s="65">
        <f>IF(AND(G176&lt;&gt;"",M176&lt;&gt;""),1000*M176/G176,"")</f>
        <v>499.45805332755253</v>
      </c>
      <c r="O176" s="65"/>
      <c r="P176" s="65">
        <v>1</v>
      </c>
      <c r="Q176" s="65">
        <v>66</v>
      </c>
      <c r="R176" s="65">
        <v>14</v>
      </c>
      <c r="S176" s="65"/>
      <c r="T176" s="449">
        <v>154</v>
      </c>
      <c r="U176" s="65" t="s">
        <v>1925</v>
      </c>
      <c r="V176" s="65">
        <v>50</v>
      </c>
      <c r="W176" s="65">
        <v>768</v>
      </c>
      <c r="X176" s="115">
        <v>1800</v>
      </c>
      <c r="Y176" s="87"/>
      <c r="Z176" s="141"/>
      <c r="AA176" s="371">
        <f>1000*M176/Q176</f>
        <v>349.09090909090907</v>
      </c>
      <c r="AB176" s="54">
        <f>1000*L176/V176</f>
        <v>288</v>
      </c>
      <c r="AC176" s="99">
        <f>T176/V176</f>
        <v>3.08</v>
      </c>
      <c r="AD176" s="191">
        <f>512*72*V176/1000000</f>
        <v>1.8431999999999999</v>
      </c>
      <c r="AE176" s="479"/>
      <c r="AF176" s="220"/>
      <c r="AG176" s="492"/>
      <c r="AH176" s="539" t="s">
        <v>2618</v>
      </c>
      <c r="AI176" s="493" t="s">
        <v>2619</v>
      </c>
    </row>
    <row r="177" spans="1:35" x14ac:dyDescent="0.2">
      <c r="A177" s="229" t="s">
        <v>1186</v>
      </c>
      <c r="B177" s="157" t="s">
        <v>702</v>
      </c>
      <c r="C177" s="227" t="s">
        <v>697</v>
      </c>
      <c r="D177" s="240"/>
      <c r="E177" s="526" t="s">
        <v>1458</v>
      </c>
      <c r="F177" s="179" t="s">
        <v>1175</v>
      </c>
      <c r="G177" s="275"/>
      <c r="H177" s="158">
        <v>15</v>
      </c>
      <c r="I177" s="473">
        <v>56</v>
      </c>
      <c r="J177" s="535" t="s">
        <v>2623</v>
      </c>
      <c r="K177" s="527">
        <v>132</v>
      </c>
      <c r="L177" s="456">
        <f>8*X177/1000</f>
        <v>17.600000000000001</v>
      </c>
      <c r="M177" s="457">
        <f>12.8*X177/1000</f>
        <v>28.16</v>
      </c>
      <c r="N177" s="73"/>
      <c r="O177" s="65" t="str">
        <f>IF(AND(G177&lt;&gt;"",L177&lt;&gt;""),1000*L177/G177,"")</f>
        <v/>
      </c>
      <c r="P177" s="73">
        <v>2</v>
      </c>
      <c r="Q177" s="73">
        <v>80</v>
      </c>
      <c r="R177" s="73">
        <v>14</v>
      </c>
      <c r="S177" s="73"/>
      <c r="T177" s="400">
        <v>230</v>
      </c>
      <c r="U177" s="496" t="s">
        <v>1201</v>
      </c>
      <c r="V177" s="73">
        <v>60</v>
      </c>
      <c r="W177" s="73">
        <v>768</v>
      </c>
      <c r="X177" s="475">
        <v>2200</v>
      </c>
      <c r="Y177" s="476"/>
      <c r="Z177" s="173" t="str">
        <f>IF(AND(L177&lt;&gt;"",Y177&lt;&gt;""),1000*L177/Y177,"")</f>
        <v/>
      </c>
      <c r="AA177" s="376">
        <f>1000*M177/Q177</f>
        <v>352</v>
      </c>
      <c r="AB177" s="54">
        <f>1000*L177/V177</f>
        <v>293.33333333333331</v>
      </c>
      <c r="AC177" s="101">
        <f>T177/V177</f>
        <v>3.8333333333333335</v>
      </c>
      <c r="AD177" s="478">
        <f>512*72*V177/1000000</f>
        <v>2.21184</v>
      </c>
      <c r="AE177" s="479"/>
      <c r="AF177" s="220"/>
      <c r="AG177" s="6"/>
      <c r="AH177" s="406" t="s">
        <v>2621</v>
      </c>
      <c r="AI177" s="493" t="s">
        <v>2622</v>
      </c>
    </row>
    <row r="178" spans="1:35" x14ac:dyDescent="0.2">
      <c r="A178" s="229" t="s">
        <v>1210</v>
      </c>
      <c r="B178" s="17" t="s">
        <v>702</v>
      </c>
      <c r="C178" s="227" t="s">
        <v>697</v>
      </c>
      <c r="D178" s="213" t="s">
        <v>704</v>
      </c>
      <c r="E178" s="910" t="s">
        <v>1176</v>
      </c>
      <c r="F178" s="143" t="s">
        <v>1175</v>
      </c>
      <c r="G178" s="43"/>
      <c r="H178" s="128">
        <v>15</v>
      </c>
      <c r="I178" s="430">
        <v>56</v>
      </c>
      <c r="J178" s="487" t="s">
        <v>1211</v>
      </c>
      <c r="K178" s="44"/>
      <c r="L178" s="456">
        <f t="shared" ref="L178:L187" si="51">8*X178/1000</f>
        <v>53.2</v>
      </c>
      <c r="M178" s="457">
        <f t="shared" ref="M178:M187" si="52">12.8*X178/1000</f>
        <v>85.12</v>
      </c>
      <c r="N178" s="65"/>
      <c r="O178" s="65" t="str">
        <f t="shared" si="47"/>
        <v/>
      </c>
      <c r="P178" s="65">
        <v>2</v>
      </c>
      <c r="Q178" s="65">
        <v>220</v>
      </c>
      <c r="R178" s="65">
        <v>14</v>
      </c>
      <c r="S178" s="65"/>
      <c r="T178" s="449">
        <v>330</v>
      </c>
      <c r="U178" s="469" t="s">
        <v>1201</v>
      </c>
      <c r="V178" s="65">
        <v>140</v>
      </c>
      <c r="W178" s="65">
        <v>768</v>
      </c>
      <c r="X178" s="475">
        <v>6650</v>
      </c>
      <c r="Y178" s="87"/>
      <c r="Z178" s="141" t="str">
        <f t="shared" ref="Z178:Z187" si="53">IF(AND(L178&lt;&gt;"",Y178&lt;&gt;""),1000*L178/Y178,"")</f>
        <v/>
      </c>
      <c r="AA178" s="371">
        <f t="shared" ref="AA178:AA187" si="54">1000*M178/Q178</f>
        <v>386.90909090909093</v>
      </c>
      <c r="AB178" s="54">
        <f t="shared" si="44"/>
        <v>380</v>
      </c>
      <c r="AC178" s="99">
        <f t="shared" ref="AC178:AC187" si="55">T178/V178</f>
        <v>2.3571428571428572</v>
      </c>
      <c r="AD178" s="191">
        <f t="shared" ref="AD178:AD187" si="56">512*72*V178/1000000</f>
        <v>5.1609600000000002</v>
      </c>
      <c r="AE178" s="446"/>
      <c r="AF178" s="198"/>
      <c r="AG178" s="493"/>
      <c r="AH178" s="539" t="s">
        <v>1212</v>
      </c>
    </row>
    <row r="179" spans="1:35" x14ac:dyDescent="0.2">
      <c r="A179" s="213" t="s">
        <v>903</v>
      </c>
      <c r="B179" s="17" t="s">
        <v>702</v>
      </c>
      <c r="C179" s="227" t="s">
        <v>697</v>
      </c>
      <c r="D179" s="213"/>
      <c r="E179" s="910" t="s">
        <v>1458</v>
      </c>
      <c r="F179" s="143" t="s">
        <v>1454</v>
      </c>
      <c r="G179" s="43">
        <v>54.86</v>
      </c>
      <c r="H179" s="128">
        <v>15</v>
      </c>
      <c r="I179" s="430">
        <v>80</v>
      </c>
      <c r="J179" s="487" t="s">
        <v>1887</v>
      </c>
      <c r="K179" s="488">
        <v>149</v>
      </c>
      <c r="L179" s="456">
        <f>8*X179/1000</f>
        <v>17.600000000000001</v>
      </c>
      <c r="M179" s="457">
        <f>12.8*X179/1000</f>
        <v>28.16</v>
      </c>
      <c r="N179" s="65">
        <f>IF(AND(G179&lt;&gt;"",M179&lt;&gt;""),1000*M179/G179,"")</f>
        <v>513.30659861465551</v>
      </c>
      <c r="O179" s="65"/>
      <c r="P179" s="65">
        <v>2</v>
      </c>
      <c r="Q179" s="65">
        <v>80</v>
      </c>
      <c r="R179" s="65">
        <v>14</v>
      </c>
      <c r="S179" s="65"/>
      <c r="T179" s="449">
        <v>154</v>
      </c>
      <c r="U179" s="1194" t="s">
        <v>1688</v>
      </c>
      <c r="V179" s="65">
        <v>60</v>
      </c>
      <c r="W179" s="65">
        <v>768</v>
      </c>
      <c r="X179" s="115">
        <v>2200</v>
      </c>
      <c r="Y179" s="87">
        <v>15</v>
      </c>
      <c r="Z179" s="141">
        <f>IF(AND(L179&lt;&gt;"",Y179&lt;&gt;""),1000*L179/Y179,"")</f>
        <v>1173.3333333333333</v>
      </c>
      <c r="AA179" s="371">
        <f>1000*M179/Q179</f>
        <v>352</v>
      </c>
      <c r="AB179" s="54">
        <f t="shared" si="44"/>
        <v>293.33333333333331</v>
      </c>
      <c r="AC179" s="99">
        <f>T179/V179</f>
        <v>2.5666666666666669</v>
      </c>
      <c r="AD179" s="191">
        <f>512*72*V179/1000000</f>
        <v>2.21184</v>
      </c>
      <c r="AE179" s="197"/>
      <c r="AF179" s="198"/>
      <c r="AG179" s="493"/>
      <c r="AH179" s="539" t="s">
        <v>1699</v>
      </c>
      <c r="AI179" s="493" t="s">
        <v>1888</v>
      </c>
    </row>
    <row r="180" spans="1:35" x14ac:dyDescent="0.2">
      <c r="A180" s="213" t="s">
        <v>903</v>
      </c>
      <c r="B180" s="157" t="s">
        <v>702</v>
      </c>
      <c r="C180" s="227" t="s">
        <v>697</v>
      </c>
      <c r="D180" s="240"/>
      <c r="E180" s="526" t="s">
        <v>1458</v>
      </c>
      <c r="F180" s="179" t="s">
        <v>1175</v>
      </c>
      <c r="G180" s="275"/>
      <c r="H180" s="158">
        <v>15</v>
      </c>
      <c r="I180" s="473">
        <v>56</v>
      </c>
      <c r="J180" s="535" t="s">
        <v>1465</v>
      </c>
      <c r="K180" s="527">
        <v>189</v>
      </c>
      <c r="L180" s="456">
        <f t="shared" si="51"/>
        <v>17.600000000000001</v>
      </c>
      <c r="M180" s="457">
        <f t="shared" si="52"/>
        <v>28.16</v>
      </c>
      <c r="N180" s="73"/>
      <c r="O180" s="65" t="str">
        <f t="shared" si="47"/>
        <v/>
      </c>
      <c r="P180" s="73">
        <v>2</v>
      </c>
      <c r="Q180" s="73">
        <v>80</v>
      </c>
      <c r="R180" s="73">
        <v>14</v>
      </c>
      <c r="S180" s="73"/>
      <c r="T180" s="400">
        <v>230</v>
      </c>
      <c r="U180" s="496" t="s">
        <v>1201</v>
      </c>
      <c r="V180" s="73">
        <v>60</v>
      </c>
      <c r="W180" s="73">
        <v>768</v>
      </c>
      <c r="X180" s="475">
        <v>2200</v>
      </c>
      <c r="Y180" s="476"/>
      <c r="Z180" s="173" t="str">
        <f t="shared" si="53"/>
        <v/>
      </c>
      <c r="AA180" s="376">
        <f t="shared" si="54"/>
        <v>352</v>
      </c>
      <c r="AB180" s="54">
        <f t="shared" si="44"/>
        <v>293.33333333333331</v>
      </c>
      <c r="AC180" s="101">
        <f t="shared" si="55"/>
        <v>3.8333333333333335</v>
      </c>
      <c r="AD180" s="478">
        <f t="shared" si="56"/>
        <v>2.21184</v>
      </c>
      <c r="AE180" s="479"/>
      <c r="AF180" s="220"/>
      <c r="AG180" s="6"/>
    </row>
    <row r="181" spans="1:35" x14ac:dyDescent="0.2">
      <c r="A181" s="213" t="s">
        <v>1222</v>
      </c>
      <c r="B181" s="157" t="s">
        <v>702</v>
      </c>
      <c r="C181" s="227" t="s">
        <v>697</v>
      </c>
      <c r="D181" s="240"/>
      <c r="E181" s="526" t="s">
        <v>1458</v>
      </c>
      <c r="F181" s="179" t="s">
        <v>1175</v>
      </c>
      <c r="G181" s="275"/>
      <c r="H181" s="158">
        <v>15</v>
      </c>
      <c r="I181" s="473">
        <v>56</v>
      </c>
      <c r="J181" s="535" t="s">
        <v>1459</v>
      </c>
      <c r="K181" s="527">
        <v>199</v>
      </c>
      <c r="L181" s="456">
        <f t="shared" si="51"/>
        <v>17.600000000000001</v>
      </c>
      <c r="M181" s="457">
        <f t="shared" si="52"/>
        <v>28.16</v>
      </c>
      <c r="N181" s="73"/>
      <c r="O181" s="65" t="str">
        <f t="shared" si="47"/>
        <v/>
      </c>
      <c r="P181" s="73">
        <v>2</v>
      </c>
      <c r="Q181" s="73">
        <v>80</v>
      </c>
      <c r="R181" s="73">
        <v>14</v>
      </c>
      <c r="S181" s="73"/>
      <c r="T181" s="400">
        <v>230</v>
      </c>
      <c r="U181" s="496" t="s">
        <v>1201</v>
      </c>
      <c r="V181" s="73">
        <v>60</v>
      </c>
      <c r="W181" s="73">
        <v>768</v>
      </c>
      <c r="X181" s="475">
        <v>2200</v>
      </c>
      <c r="Y181" s="476"/>
      <c r="Z181" s="173" t="str">
        <f t="shared" si="53"/>
        <v/>
      </c>
      <c r="AA181" s="376">
        <f t="shared" si="54"/>
        <v>352</v>
      </c>
      <c r="AB181" s="54">
        <f t="shared" si="44"/>
        <v>293.33333333333331</v>
      </c>
      <c r="AC181" s="101">
        <f t="shared" si="55"/>
        <v>3.8333333333333335</v>
      </c>
      <c r="AD181" s="478">
        <f t="shared" si="56"/>
        <v>2.21184</v>
      </c>
      <c r="AE181" s="479"/>
      <c r="AF181" s="220"/>
      <c r="AG181" s="6"/>
    </row>
    <row r="182" spans="1:35" x14ac:dyDescent="0.2">
      <c r="A182" s="213" t="s">
        <v>903</v>
      </c>
      <c r="B182" s="17" t="s">
        <v>702</v>
      </c>
      <c r="C182" s="227" t="s">
        <v>697</v>
      </c>
      <c r="D182" s="213" t="s">
        <v>2620</v>
      </c>
      <c r="E182" s="910" t="s">
        <v>1371</v>
      </c>
      <c r="F182" s="143" t="s">
        <v>1454</v>
      </c>
      <c r="G182" s="43">
        <v>113.89</v>
      </c>
      <c r="H182" s="128">
        <v>15</v>
      </c>
      <c r="I182" s="430">
        <v>80</v>
      </c>
      <c r="J182" s="487" t="s">
        <v>1889</v>
      </c>
      <c r="K182" s="488">
        <v>209</v>
      </c>
      <c r="L182" s="456">
        <f>8*X182/1000</f>
        <v>53.2</v>
      </c>
      <c r="M182" s="457">
        <f>12.8*X182/1000</f>
        <v>85.12</v>
      </c>
      <c r="N182" s="65">
        <f>IF(AND(G182&lt;&gt;"",M182&lt;&gt;""),1000*M182/G182,"")</f>
        <v>747.38783036263055</v>
      </c>
      <c r="O182" s="65"/>
      <c r="P182" s="65">
        <v>2</v>
      </c>
      <c r="Q182" s="65">
        <v>220</v>
      </c>
      <c r="R182" s="65">
        <v>14</v>
      </c>
      <c r="S182" s="65"/>
      <c r="T182" s="449">
        <v>254</v>
      </c>
      <c r="U182" s="1194" t="s">
        <v>1688</v>
      </c>
      <c r="V182" s="65">
        <v>140</v>
      </c>
      <c r="W182" s="65">
        <v>768</v>
      </c>
      <c r="X182" s="115">
        <v>6650</v>
      </c>
      <c r="Y182" s="87"/>
      <c r="Z182" s="141" t="str">
        <f>IF(AND(L182&lt;&gt;"",Y182&lt;&gt;""),1000*L182/Y182,"")</f>
        <v/>
      </c>
      <c r="AA182" s="371">
        <f>1000*M182/Q182</f>
        <v>386.90909090909093</v>
      </c>
      <c r="AB182" s="54">
        <f t="shared" si="44"/>
        <v>380</v>
      </c>
      <c r="AC182" s="99">
        <f>T182/V182</f>
        <v>1.8142857142857143</v>
      </c>
      <c r="AD182" s="191">
        <f>512*72*V182/1000000</f>
        <v>5.1609600000000002</v>
      </c>
      <c r="AE182" s="197"/>
      <c r="AF182" s="198"/>
      <c r="AG182" s="493"/>
      <c r="AH182" s="539" t="s">
        <v>1699</v>
      </c>
      <c r="AI182" s="493" t="s">
        <v>1888</v>
      </c>
    </row>
    <row r="183" spans="1:35" x14ac:dyDescent="0.2">
      <c r="A183" s="229" t="s">
        <v>912</v>
      </c>
      <c r="B183" s="17" t="s">
        <v>702</v>
      </c>
      <c r="C183" s="227" t="s">
        <v>697</v>
      </c>
      <c r="D183" s="213"/>
      <c r="E183" s="910" t="s">
        <v>1794</v>
      </c>
      <c r="F183" s="143" t="s">
        <v>1463</v>
      </c>
      <c r="G183" s="43">
        <v>98.7</v>
      </c>
      <c r="H183" s="128">
        <v>19</v>
      </c>
      <c r="I183" s="430">
        <v>150</v>
      </c>
      <c r="J183" s="1283" t="s">
        <v>2116</v>
      </c>
      <c r="K183" s="488">
        <v>324.95</v>
      </c>
      <c r="L183" s="456">
        <f>8*X183/1000</f>
        <v>34.4</v>
      </c>
      <c r="M183" s="457">
        <f>12.8*X183/1000</f>
        <v>55.04</v>
      </c>
      <c r="N183" s="65">
        <f>IF(AND(G183&lt;&gt;"",M183&lt;&gt;""),1000*M183/G183,"")</f>
        <v>557.6494427558257</v>
      </c>
      <c r="O183" s="65"/>
      <c r="P183" s="65">
        <v>1</v>
      </c>
      <c r="Q183" s="65">
        <v>120</v>
      </c>
      <c r="R183" s="65">
        <v>14</v>
      </c>
      <c r="S183" s="65">
        <v>4</v>
      </c>
      <c r="T183" s="449">
        <v>204</v>
      </c>
      <c r="U183" s="469" t="s">
        <v>2117</v>
      </c>
      <c r="V183" s="65">
        <v>72</v>
      </c>
      <c r="W183" s="65">
        <v>768</v>
      </c>
      <c r="X183" s="115">
        <v>4300</v>
      </c>
      <c r="Y183" s="87"/>
      <c r="Z183" s="141"/>
      <c r="AA183" s="371">
        <f>1000*M183/Q183</f>
        <v>458.66666666666669</v>
      </c>
      <c r="AB183" s="54">
        <f t="shared" si="44"/>
        <v>477.77777777777777</v>
      </c>
      <c r="AC183" s="99">
        <f>T183/V183</f>
        <v>2.8333333333333335</v>
      </c>
      <c r="AD183" s="191">
        <f>512*72*V183/1000000</f>
        <v>2.6542080000000001</v>
      </c>
      <c r="AE183" s="479"/>
      <c r="AF183" s="220"/>
      <c r="AG183" s="493"/>
      <c r="AH183" s="539" t="s">
        <v>2119</v>
      </c>
      <c r="AI183" s="493" t="s">
        <v>2118</v>
      </c>
    </row>
    <row r="184" spans="1:35" x14ac:dyDescent="0.2">
      <c r="A184" s="229" t="s">
        <v>1186</v>
      </c>
      <c r="B184" s="157" t="s">
        <v>702</v>
      </c>
      <c r="C184" s="227" t="s">
        <v>697</v>
      </c>
      <c r="D184" s="240" t="s">
        <v>704</v>
      </c>
      <c r="E184" s="526" t="s">
        <v>1176</v>
      </c>
      <c r="F184" s="179" t="s">
        <v>1175</v>
      </c>
      <c r="G184" s="275"/>
      <c r="H184" s="158">
        <v>15</v>
      </c>
      <c r="I184" s="473">
        <v>56</v>
      </c>
      <c r="J184" s="535" t="s">
        <v>1481</v>
      </c>
      <c r="K184" s="527">
        <v>340</v>
      </c>
      <c r="L184" s="456">
        <f>8*X184/1000</f>
        <v>53.2</v>
      </c>
      <c r="M184" s="457">
        <f>12.8*X184/1000</f>
        <v>85.12</v>
      </c>
      <c r="N184" s="73"/>
      <c r="O184" s="65" t="str">
        <f t="shared" si="47"/>
        <v/>
      </c>
      <c r="P184" s="73">
        <v>2</v>
      </c>
      <c r="Q184" s="73">
        <v>220</v>
      </c>
      <c r="R184" s="73">
        <v>14</v>
      </c>
      <c r="S184" s="73"/>
      <c r="T184" s="400">
        <v>330</v>
      </c>
      <c r="U184" s="496" t="s">
        <v>1201</v>
      </c>
      <c r="V184" s="73">
        <v>140</v>
      </c>
      <c r="W184" s="73">
        <v>768</v>
      </c>
      <c r="X184" s="475">
        <v>6650</v>
      </c>
      <c r="Y184" s="476"/>
      <c r="Z184" s="173" t="str">
        <f>IF(AND(L184&lt;&gt;"",Y184&lt;&gt;""),1000*L184/Y184,"")</f>
        <v/>
      </c>
      <c r="AA184" s="376">
        <f>1000*M184/Q184</f>
        <v>386.90909090909093</v>
      </c>
      <c r="AB184" s="54">
        <f t="shared" si="44"/>
        <v>380</v>
      </c>
      <c r="AC184" s="101">
        <f>T184/V184</f>
        <v>2.3571428571428572</v>
      </c>
      <c r="AD184" s="478">
        <f>512*72*V184/1000000</f>
        <v>5.1609600000000002</v>
      </c>
      <c r="AE184" s="479"/>
      <c r="AF184" s="220"/>
      <c r="AG184" s="6"/>
      <c r="AH184" s="406" t="s">
        <v>1207</v>
      </c>
    </row>
    <row r="185" spans="1:35" x14ac:dyDescent="0.2">
      <c r="A185" s="229" t="s">
        <v>1343</v>
      </c>
      <c r="B185" s="157" t="s">
        <v>702</v>
      </c>
      <c r="C185" s="227" t="s">
        <v>697</v>
      </c>
      <c r="D185" s="240" t="s">
        <v>704</v>
      </c>
      <c r="E185" s="526" t="s">
        <v>1176</v>
      </c>
      <c r="F185" s="179" t="s">
        <v>1345</v>
      </c>
      <c r="G185" s="275"/>
      <c r="H185" s="158">
        <v>15</v>
      </c>
      <c r="I185" s="473">
        <v>56</v>
      </c>
      <c r="J185" s="535" t="s">
        <v>1344</v>
      </c>
      <c r="K185" s="527">
        <v>354</v>
      </c>
      <c r="L185" s="456">
        <f t="shared" si="51"/>
        <v>53.2</v>
      </c>
      <c r="M185" s="457">
        <f t="shared" si="52"/>
        <v>85.12</v>
      </c>
      <c r="N185" s="73"/>
      <c r="O185" s="65" t="str">
        <f t="shared" si="47"/>
        <v/>
      </c>
      <c r="P185" s="73">
        <v>2</v>
      </c>
      <c r="Q185" s="73">
        <v>220</v>
      </c>
      <c r="R185" s="73">
        <v>14</v>
      </c>
      <c r="S185" s="73"/>
      <c r="T185" s="400">
        <v>330</v>
      </c>
      <c r="U185" s="496" t="s">
        <v>1201</v>
      </c>
      <c r="V185" s="73">
        <v>140</v>
      </c>
      <c r="W185" s="73">
        <v>768</v>
      </c>
      <c r="X185" s="475">
        <v>6650</v>
      </c>
      <c r="Y185" s="476"/>
      <c r="Z185" s="173" t="str">
        <f t="shared" si="53"/>
        <v/>
      </c>
      <c r="AA185" s="376">
        <f t="shared" si="54"/>
        <v>386.90909090909093</v>
      </c>
      <c r="AB185" s="54">
        <f t="shared" si="44"/>
        <v>380</v>
      </c>
      <c r="AC185" s="101">
        <f t="shared" si="55"/>
        <v>2.3571428571428572</v>
      </c>
      <c r="AD185" s="478">
        <f t="shared" si="56"/>
        <v>5.1609600000000002</v>
      </c>
      <c r="AE185" s="479"/>
      <c r="AF185" s="220"/>
      <c r="AG185" s="493"/>
      <c r="AH185" s="539"/>
    </row>
    <row r="186" spans="1:35" x14ac:dyDescent="0.2">
      <c r="A186" s="213" t="s">
        <v>1222</v>
      </c>
      <c r="B186" s="157" t="s">
        <v>702</v>
      </c>
      <c r="C186" s="227" t="s">
        <v>697</v>
      </c>
      <c r="D186" s="240" t="s">
        <v>704</v>
      </c>
      <c r="E186" s="526" t="s">
        <v>1176</v>
      </c>
      <c r="F186" s="179" t="s">
        <v>1175</v>
      </c>
      <c r="G186" s="275"/>
      <c r="H186" s="158">
        <v>15</v>
      </c>
      <c r="I186" s="473">
        <v>56</v>
      </c>
      <c r="J186" s="535" t="s">
        <v>1222</v>
      </c>
      <c r="K186" s="527">
        <v>395</v>
      </c>
      <c r="L186" s="456">
        <f t="shared" si="51"/>
        <v>53.2</v>
      </c>
      <c r="M186" s="457">
        <f t="shared" si="52"/>
        <v>85.12</v>
      </c>
      <c r="N186" s="73"/>
      <c r="O186" s="65" t="str">
        <f t="shared" si="47"/>
        <v/>
      </c>
      <c r="P186" s="73">
        <v>2</v>
      </c>
      <c r="Q186" s="73">
        <v>220</v>
      </c>
      <c r="R186" s="73">
        <v>14</v>
      </c>
      <c r="S186" s="73"/>
      <c r="T186" s="400">
        <v>330</v>
      </c>
      <c r="U186" s="496" t="s">
        <v>1201</v>
      </c>
      <c r="V186" s="73">
        <v>140</v>
      </c>
      <c r="W186" s="73">
        <v>768</v>
      </c>
      <c r="X186" s="475">
        <v>6650</v>
      </c>
      <c r="Y186" s="476"/>
      <c r="Z186" s="173" t="str">
        <f t="shared" si="53"/>
        <v/>
      </c>
      <c r="AA186" s="376">
        <f t="shared" si="54"/>
        <v>386.90909090909093</v>
      </c>
      <c r="AB186" s="54">
        <f t="shared" si="44"/>
        <v>380</v>
      </c>
      <c r="AC186" s="101">
        <f t="shared" si="55"/>
        <v>2.3571428571428572</v>
      </c>
      <c r="AD186" s="478">
        <f t="shared" si="56"/>
        <v>5.1609600000000002</v>
      </c>
      <c r="AE186" s="479"/>
      <c r="AF186" s="220"/>
      <c r="AG186" s="6"/>
    </row>
    <row r="187" spans="1:35" ht="13.5" thickBot="1" x14ac:dyDescent="0.25">
      <c r="A187" s="213" t="s">
        <v>715</v>
      </c>
      <c r="B187" s="157" t="s">
        <v>702</v>
      </c>
      <c r="C187" s="227" t="s">
        <v>697</v>
      </c>
      <c r="D187" s="240" t="s">
        <v>704</v>
      </c>
      <c r="E187" s="526" t="s">
        <v>1176</v>
      </c>
      <c r="F187" s="179" t="s">
        <v>1175</v>
      </c>
      <c r="G187" s="275"/>
      <c r="H187" s="158">
        <v>15</v>
      </c>
      <c r="I187" s="473">
        <v>56</v>
      </c>
      <c r="J187" s="535" t="s">
        <v>1223</v>
      </c>
      <c r="K187" s="527">
        <v>595</v>
      </c>
      <c r="L187" s="456">
        <f t="shared" si="51"/>
        <v>53.2</v>
      </c>
      <c r="M187" s="457">
        <f t="shared" si="52"/>
        <v>85.12</v>
      </c>
      <c r="N187" s="73"/>
      <c r="O187" s="65" t="str">
        <f t="shared" si="47"/>
        <v/>
      </c>
      <c r="P187" s="73">
        <v>2</v>
      </c>
      <c r="Q187" s="73">
        <v>220</v>
      </c>
      <c r="R187" s="73">
        <v>14</v>
      </c>
      <c r="S187" s="73"/>
      <c r="T187" s="400">
        <v>330</v>
      </c>
      <c r="U187" s="496" t="s">
        <v>1201</v>
      </c>
      <c r="V187" s="73">
        <v>140</v>
      </c>
      <c r="W187" s="73">
        <v>768</v>
      </c>
      <c r="X187" s="475">
        <v>6650</v>
      </c>
      <c r="Y187" s="476"/>
      <c r="Z187" s="173" t="str">
        <f t="shared" si="53"/>
        <v/>
      </c>
      <c r="AA187" s="376">
        <f t="shared" si="54"/>
        <v>386.90909090909093</v>
      </c>
      <c r="AB187" s="54">
        <f t="shared" si="44"/>
        <v>380</v>
      </c>
      <c r="AC187" s="101">
        <f t="shared" si="55"/>
        <v>2.3571428571428572</v>
      </c>
      <c r="AD187" s="478">
        <f t="shared" si="56"/>
        <v>5.1609600000000002</v>
      </c>
      <c r="AE187" s="479"/>
      <c r="AF187" s="220"/>
      <c r="AG187" s="6"/>
    </row>
    <row r="188" spans="1:35" x14ac:dyDescent="0.2">
      <c r="A188" s="401"/>
      <c r="B188" s="48" t="s">
        <v>715</v>
      </c>
      <c r="C188" s="226"/>
      <c r="D188" s="212"/>
      <c r="E188" s="12" t="s">
        <v>1768</v>
      </c>
      <c r="F188" s="466" t="s">
        <v>1630</v>
      </c>
      <c r="G188" s="14" t="s">
        <v>22</v>
      </c>
      <c r="H188" s="40" t="s">
        <v>1759</v>
      </c>
      <c r="I188" s="123"/>
      <c r="J188" s="15"/>
      <c r="K188" s="16"/>
      <c r="L188" s="248" t="s">
        <v>665</v>
      </c>
      <c r="M188" s="383" t="s">
        <v>1704</v>
      </c>
      <c r="N188" s="380">
        <f>AVERAGE(N192:O208)</f>
        <v>354.1218597100235</v>
      </c>
      <c r="O188" s="382" t="e">
        <f>AVERAGE(O191:O280)</f>
        <v>#DIV/0!</v>
      </c>
      <c r="P188" s="489" t="s">
        <v>1631</v>
      </c>
      <c r="Q188" s="399" t="s">
        <v>1739</v>
      </c>
      <c r="R188" s="399" t="s">
        <v>1341</v>
      </c>
      <c r="S188" s="61"/>
      <c r="T188" s="61"/>
      <c r="U188" s="399" t="s">
        <v>1637</v>
      </c>
      <c r="V188" s="490" t="s">
        <v>433</v>
      </c>
      <c r="W188" s="491" t="s">
        <v>1638</v>
      </c>
      <c r="X188" s="109" t="s">
        <v>207</v>
      </c>
      <c r="Y188" s="80" t="s">
        <v>695</v>
      </c>
      <c r="Z188" s="206"/>
      <c r="AA188" s="370"/>
      <c r="AB188" s="92"/>
      <c r="AC188" s="98"/>
      <c r="AD188" s="109" t="s">
        <v>650</v>
      </c>
      <c r="AE188" s="195"/>
      <c r="AF188" s="196"/>
      <c r="AG188" s="492" t="s">
        <v>2006</v>
      </c>
      <c r="AH188"/>
    </row>
    <row r="189" spans="1:35" x14ac:dyDescent="0.2">
      <c r="A189" s="1241" t="s">
        <v>715</v>
      </c>
      <c r="B189" s="41" t="s">
        <v>702</v>
      </c>
      <c r="C189" s="227"/>
      <c r="D189" s="229" t="s">
        <v>704</v>
      </c>
      <c r="E189" s="910" t="s">
        <v>1824</v>
      </c>
      <c r="F189" s="143" t="s">
        <v>1882</v>
      </c>
      <c r="G189" s="1554">
        <v>1235</v>
      </c>
      <c r="H189" s="128">
        <v>23</v>
      </c>
      <c r="I189" s="430">
        <v>414</v>
      </c>
      <c r="J189" s="487" t="s">
        <v>2403</v>
      </c>
      <c r="K189" s="488">
        <v>199</v>
      </c>
      <c r="L189" s="456">
        <f>8*X189/1000</f>
        <v>117.12</v>
      </c>
      <c r="M189" s="457">
        <f>17.5*X189/1000</f>
        <v>256.2</v>
      </c>
      <c r="N189" s="65">
        <f>IF(AND(G189&lt;&gt;"",M189&lt;&gt;""),1000*M189/G189,"")</f>
        <v>207.4493927125506</v>
      </c>
      <c r="O189" s="65"/>
      <c r="P189" s="65">
        <v>6</v>
      </c>
      <c r="Q189" s="282">
        <v>1248</v>
      </c>
      <c r="R189" s="65">
        <v>4</v>
      </c>
      <c r="S189" s="65">
        <v>16</v>
      </c>
      <c r="T189" s="449">
        <v>462</v>
      </c>
      <c r="U189" s="469">
        <v>2</v>
      </c>
      <c r="V189" s="65">
        <v>144</v>
      </c>
      <c r="W189" s="65">
        <v>64</v>
      </c>
      <c r="X189" s="115">
        <v>14640</v>
      </c>
      <c r="Y189" s="87"/>
      <c r="Z189" s="390" t="str">
        <f>IF(AND(L189&lt;&gt;"",Y189&lt;&gt;""),1000*L189/Y189,"")</f>
        <v/>
      </c>
      <c r="AA189" s="378">
        <f>1000*M189/Q189</f>
        <v>205.28846153846155</v>
      </c>
      <c r="AB189" s="54">
        <f>1000*L189/V189</f>
        <v>813.33333333333337</v>
      </c>
      <c r="AC189" s="281">
        <f>T189/V189</f>
        <v>3.2083333333333335</v>
      </c>
      <c r="AD189" s="191">
        <f>(512*72*V189+4096*72*W189)/1000000</f>
        <v>24.182784000000002</v>
      </c>
      <c r="AE189" s="197">
        <v>61.269888000000002</v>
      </c>
      <c r="AF189" s="1049">
        <f>(AE189*1000000-V189*36*1024)/(6000*L189)</f>
        <v>79.635519125683061</v>
      </c>
      <c r="AG189" s="492" t="s">
        <v>2374</v>
      </c>
      <c r="AH189" s="493" t="s">
        <v>2375</v>
      </c>
    </row>
    <row r="190" spans="1:35" x14ac:dyDescent="0.2">
      <c r="A190" s="1240" t="s">
        <v>189</v>
      </c>
      <c r="B190" s="157" t="s">
        <v>702</v>
      </c>
      <c r="C190" s="239"/>
      <c r="D190" s="532" t="s">
        <v>704</v>
      </c>
      <c r="E190" s="526" t="s">
        <v>1833</v>
      </c>
      <c r="F190" s="143" t="s">
        <v>1832</v>
      </c>
      <c r="G190" s="43">
        <v>334.16500000000002</v>
      </c>
      <c r="H190" s="128">
        <v>19</v>
      </c>
      <c r="I190" s="430">
        <v>245</v>
      </c>
      <c r="J190" s="535" t="s">
        <v>2028</v>
      </c>
      <c r="K190" s="527">
        <v>249</v>
      </c>
      <c r="L190" s="456">
        <f>8*X190/1000</f>
        <v>70.56</v>
      </c>
      <c r="M190" s="457">
        <f>17.5*X190/1000</f>
        <v>154.35</v>
      </c>
      <c r="N190" s="65">
        <f>IF(AND(G190&lt;&gt;"",M190&lt;&gt;""),1000*M190/G190,"")</f>
        <v>461.89756557389313</v>
      </c>
      <c r="O190" s="65"/>
      <c r="P190" s="65">
        <v>6</v>
      </c>
      <c r="Q190" s="65">
        <v>360</v>
      </c>
      <c r="R190" s="65">
        <v>3</v>
      </c>
      <c r="S190" s="65">
        <v>0</v>
      </c>
      <c r="T190" s="449">
        <v>462</v>
      </c>
      <c r="U190" s="65"/>
      <c r="V190" s="65">
        <v>216</v>
      </c>
      <c r="W190" s="65"/>
      <c r="X190" s="115">
        <v>8820</v>
      </c>
      <c r="Y190" s="87"/>
      <c r="Z190" s="141" t="str">
        <f>IF(AND(L190&lt;&gt;"",Y190&lt;&gt;""),1000*L190/Y190,"")</f>
        <v/>
      </c>
      <c r="AA190" s="371">
        <f>1000*M190/Q190</f>
        <v>428.75</v>
      </c>
      <c r="AB190" s="54">
        <f>1000*L190/V190</f>
        <v>326.66666666666669</v>
      </c>
      <c r="AC190" s="99">
        <f>T190/V190</f>
        <v>2.1388888888888888</v>
      </c>
      <c r="AD190" s="191">
        <f>(512*72*V190+4096*72*W190)/1000000</f>
        <v>7.9626239999999999</v>
      </c>
      <c r="AE190" s="479"/>
      <c r="AF190" s="220"/>
      <c r="AG190" s="6" t="s">
        <v>2029</v>
      </c>
    </row>
    <row r="191" spans="1:35" x14ac:dyDescent="0.2">
      <c r="A191" s="1299" t="s">
        <v>1186</v>
      </c>
      <c r="B191" s="157"/>
      <c r="C191" s="239"/>
      <c r="D191" s="240"/>
      <c r="E191" s="526" t="s">
        <v>2003</v>
      </c>
      <c r="F191" s="143" t="s">
        <v>1832</v>
      </c>
      <c r="G191" s="43">
        <v>189.13040000000001</v>
      </c>
      <c r="H191" s="128">
        <v>19</v>
      </c>
      <c r="I191" s="430">
        <v>245</v>
      </c>
      <c r="J191" s="535" t="s">
        <v>2004</v>
      </c>
      <c r="K191" s="1555">
        <v>400.43</v>
      </c>
      <c r="L191" s="456">
        <f>8*X191/1000</f>
        <v>47.231999999999999</v>
      </c>
      <c r="M191" s="457">
        <f>17.5*X191/1000</f>
        <v>103.32</v>
      </c>
      <c r="N191" s="65">
        <f>IF(AND(G191&lt;&gt;"",M191&lt;&gt;""),1000*M191/G191,"")</f>
        <v>546.2897556394953</v>
      </c>
      <c r="O191" s="65"/>
      <c r="P191" s="65">
        <v>6</v>
      </c>
      <c r="Q191" s="65">
        <v>240</v>
      </c>
      <c r="R191" s="65">
        <v>3</v>
      </c>
      <c r="S191" s="65">
        <v>0</v>
      </c>
      <c r="T191" s="449">
        <v>462</v>
      </c>
      <c r="U191" s="65"/>
      <c r="V191" s="65">
        <v>150</v>
      </c>
      <c r="W191" s="65"/>
      <c r="X191" s="115">
        <v>5904</v>
      </c>
      <c r="Y191" s="87"/>
      <c r="Z191" s="390" t="str">
        <f>IF(AND(L191&lt;&gt;"",Y191&lt;&gt;""),1000*L191/Y191,"")</f>
        <v/>
      </c>
      <c r="AA191" s="378">
        <f>1000*M191/Q191</f>
        <v>430.5</v>
      </c>
      <c r="AB191" s="54">
        <f>1000*L191/V191</f>
        <v>314.88</v>
      </c>
      <c r="AC191" s="99">
        <f>T191/V191</f>
        <v>3.08</v>
      </c>
      <c r="AD191" s="191">
        <f>(512*72*V191+4096*72*W191)/1000000</f>
        <v>5.5296000000000003</v>
      </c>
      <c r="AE191" s="479"/>
      <c r="AF191" s="220"/>
      <c r="AG191" s="492" t="s">
        <v>2005</v>
      </c>
    </row>
    <row r="192" spans="1:35" x14ac:dyDescent="0.2">
      <c r="A192" s="1240" t="s">
        <v>189</v>
      </c>
      <c r="B192" s="157" t="s">
        <v>702</v>
      </c>
      <c r="C192" s="239"/>
      <c r="D192" s="532" t="s">
        <v>704</v>
      </c>
      <c r="E192" s="526" t="s">
        <v>1833</v>
      </c>
      <c r="F192" s="143" t="s">
        <v>1832</v>
      </c>
      <c r="G192" s="43">
        <v>334.16500000000002</v>
      </c>
      <c r="H192" s="128">
        <v>19</v>
      </c>
      <c r="I192" s="430">
        <v>245</v>
      </c>
      <c r="J192" s="535" t="s">
        <v>1773</v>
      </c>
      <c r="K192" s="1555">
        <v>599</v>
      </c>
      <c r="L192" s="456">
        <f>8*X192/1000</f>
        <v>70.56</v>
      </c>
      <c r="M192" s="457">
        <f>17.5*X192/1000</f>
        <v>154.35</v>
      </c>
      <c r="N192" s="65">
        <f>IF(AND(G192&lt;&gt;"",M192&lt;&gt;""),1000*M192/G192,"")</f>
        <v>461.89756557389313</v>
      </c>
      <c r="O192" s="65"/>
      <c r="P192" s="65">
        <v>6</v>
      </c>
      <c r="Q192" s="65">
        <v>360</v>
      </c>
      <c r="R192" s="65">
        <v>3</v>
      </c>
      <c r="S192" s="65">
        <v>0</v>
      </c>
      <c r="T192" s="449">
        <v>462</v>
      </c>
      <c r="U192" s="65"/>
      <c r="V192" s="65">
        <v>216</v>
      </c>
      <c r="W192" s="65"/>
      <c r="X192" s="115">
        <v>8820</v>
      </c>
      <c r="Y192" s="87"/>
      <c r="Z192" s="141" t="str">
        <f>IF(AND(L192&lt;&gt;"",Y192&lt;&gt;""),1000*L192/Y192,"")</f>
        <v/>
      </c>
      <c r="AA192" s="371">
        <f>1000*M192/Q192</f>
        <v>428.75</v>
      </c>
      <c r="AB192" s="54">
        <f>1000*L192/V192</f>
        <v>326.66666666666669</v>
      </c>
      <c r="AC192" s="99">
        <f>T192/V192</f>
        <v>2.1388888888888888</v>
      </c>
      <c r="AD192" s="191">
        <f>(512*72*V192+4096*72*W192)/1000000</f>
        <v>7.9626239999999999</v>
      </c>
      <c r="AE192" s="479"/>
      <c r="AF192" s="220"/>
      <c r="AG192" s="6" t="s">
        <v>1834</v>
      </c>
    </row>
    <row r="193" spans="1:36" x14ac:dyDescent="0.2">
      <c r="A193" s="1240" t="s">
        <v>1769</v>
      </c>
      <c r="B193" s="157" t="s">
        <v>702</v>
      </c>
      <c r="C193" s="239"/>
      <c r="D193" s="532" t="s">
        <v>708</v>
      </c>
      <c r="E193" s="526" t="s">
        <v>1770</v>
      </c>
      <c r="F193" s="143" t="s">
        <v>1882</v>
      </c>
      <c r="G193" s="43">
        <v>780</v>
      </c>
      <c r="H193" s="128">
        <v>23</v>
      </c>
      <c r="I193" s="430">
        <v>414</v>
      </c>
      <c r="J193" s="535" t="s">
        <v>1771</v>
      </c>
      <c r="K193" s="527"/>
      <c r="L193" s="456">
        <f>8*X193/1000</f>
        <v>87.84</v>
      </c>
      <c r="M193" s="457">
        <f>17.5*X193/1000</f>
        <v>192.15</v>
      </c>
      <c r="N193" s="65">
        <f>IF(AND(G193&lt;&gt;"",M193&lt;&gt;""),1000*M193/G193,"")</f>
        <v>246.34615384615384</v>
      </c>
      <c r="O193" s="65"/>
      <c r="P193" s="65">
        <v>6</v>
      </c>
      <c r="Q193" s="65">
        <v>728</v>
      </c>
      <c r="R193" s="65">
        <v>4</v>
      </c>
      <c r="S193" s="65">
        <v>16</v>
      </c>
      <c r="T193" s="449">
        <v>462</v>
      </c>
      <c r="U193" s="65">
        <v>2</v>
      </c>
      <c r="V193" s="65">
        <v>128</v>
      </c>
      <c r="W193" s="65">
        <v>48</v>
      </c>
      <c r="X193" s="115">
        <v>10980</v>
      </c>
      <c r="Y193" s="87"/>
      <c r="Z193" s="141" t="str">
        <f>IF(AND(L193&lt;&gt;"",Y193&lt;&gt;""),1000*L193/Y193,"")</f>
        <v/>
      </c>
      <c r="AA193" s="371">
        <f>1000*M193/Q193</f>
        <v>263.94230769230768</v>
      </c>
      <c r="AB193" s="54">
        <f>1000*L193/V193</f>
        <v>686.25</v>
      </c>
      <c r="AC193" s="99">
        <f>T193/V193</f>
        <v>3.609375</v>
      </c>
      <c r="AD193" s="191">
        <f>(512*72*V193+4096*72*W193)/1000000</f>
        <v>18.874368</v>
      </c>
      <c r="AE193" s="479"/>
      <c r="AF193" s="220"/>
      <c r="AG193" s="492" t="s">
        <v>1772</v>
      </c>
    </row>
    <row r="194" spans="1:36" ht="13.5" thickBot="1" x14ac:dyDescent="0.25">
      <c r="A194" s="1240"/>
      <c r="B194" s="157"/>
      <c r="C194" s="239"/>
      <c r="D194" s="532"/>
      <c r="E194" s="1443"/>
      <c r="F194" s="179"/>
      <c r="G194" s="275"/>
      <c r="H194" s="158"/>
      <c r="I194" s="473"/>
      <c r="J194" s="535"/>
      <c r="K194" s="527"/>
      <c r="L194" s="1441"/>
      <c r="M194" s="474"/>
      <c r="N194" s="73"/>
      <c r="O194" s="73"/>
      <c r="P194" s="73"/>
      <c r="Q194" s="73"/>
      <c r="R194" s="73"/>
      <c r="S194" s="73"/>
      <c r="T194" s="400"/>
      <c r="U194" s="73"/>
      <c r="V194" s="73"/>
      <c r="W194" s="73"/>
      <c r="X194" s="475"/>
      <c r="Y194" s="1442"/>
      <c r="Z194" s="391"/>
      <c r="AA194" s="376"/>
      <c r="AB194" s="57"/>
      <c r="AC194" s="101"/>
      <c r="AD194" s="478"/>
      <c r="AE194" s="479"/>
      <c r="AF194" s="220"/>
      <c r="AG194" s="492"/>
    </row>
    <row r="195" spans="1:36" x14ac:dyDescent="0.2">
      <c r="A195" s="1240"/>
      <c r="B195" s="48" t="s">
        <v>374</v>
      </c>
      <c r="C195" s="226"/>
      <c r="D195" s="1078"/>
      <c r="E195" s="1185" t="s">
        <v>2301</v>
      </c>
      <c r="F195" s="497"/>
      <c r="G195" s="14"/>
      <c r="H195" s="123"/>
      <c r="I195" s="408"/>
      <c r="J195" s="1525"/>
      <c r="K195" s="414"/>
      <c r="L195" s="1551" t="s">
        <v>2368</v>
      </c>
      <c r="M195" s="1537"/>
      <c r="N195" s="61"/>
      <c r="O195" s="61"/>
      <c r="P195" s="491" t="s">
        <v>2362</v>
      </c>
      <c r="Q195" s="61" t="s">
        <v>2369</v>
      </c>
      <c r="R195" s="61"/>
      <c r="S195" s="61"/>
      <c r="T195" s="384"/>
      <c r="U195" s="61"/>
      <c r="V195" s="399" t="s">
        <v>2432</v>
      </c>
      <c r="W195" s="61"/>
      <c r="X195" s="109"/>
      <c r="Y195" s="1526"/>
      <c r="Z195" s="1527"/>
      <c r="AA195" s="373"/>
      <c r="AB195" s="53"/>
      <c r="AC195" s="105"/>
      <c r="AD195" s="514"/>
      <c r="AE195" s="1536"/>
      <c r="AF195" s="196"/>
      <c r="AG195" s="492"/>
      <c r="AH195" s="516" t="s">
        <v>2364</v>
      </c>
    </row>
    <row r="196" spans="1:36" x14ac:dyDescent="0.2">
      <c r="A196" s="1448" t="s">
        <v>2406</v>
      </c>
      <c r="B196" s="283"/>
      <c r="C196" s="1528"/>
      <c r="D196" s="1393"/>
      <c r="E196" s="41" t="s">
        <v>2357</v>
      </c>
      <c r="F196" s="45" t="s">
        <v>2361</v>
      </c>
      <c r="G196" s="1518">
        <v>5.63</v>
      </c>
      <c r="H196" s="1538">
        <v>2.5</v>
      </c>
      <c r="I196" s="162">
        <v>27</v>
      </c>
      <c r="J196" s="487" t="s">
        <v>2429</v>
      </c>
      <c r="K196" s="429">
        <v>45.95</v>
      </c>
      <c r="L196" s="249">
        <v>1200</v>
      </c>
      <c r="M196" s="457">
        <v>2.4</v>
      </c>
      <c r="N196" s="65"/>
      <c r="O196" s="65"/>
      <c r="P196" s="65">
        <v>1</v>
      </c>
      <c r="Q196" s="65">
        <v>2</v>
      </c>
      <c r="R196" s="65"/>
      <c r="S196" s="65"/>
      <c r="T196" s="449"/>
      <c r="U196" s="65"/>
      <c r="V196" s="65">
        <v>8</v>
      </c>
      <c r="W196" s="469" t="s">
        <v>1751</v>
      </c>
      <c r="X196" s="115"/>
      <c r="Y196" s="1529"/>
      <c r="Z196" s="1450"/>
      <c r="AA196" s="371"/>
      <c r="AB196" s="54"/>
      <c r="AC196" s="99"/>
      <c r="AD196" s="191">
        <v>6.5535999999999997E-2</v>
      </c>
      <c r="AE196" s="479"/>
      <c r="AF196" s="220"/>
      <c r="AG196" s="492"/>
      <c r="AH196" s="524" t="s">
        <v>2359</v>
      </c>
      <c r="AJ196" s="530" t="s">
        <v>2405</v>
      </c>
    </row>
    <row r="197" spans="1:36" x14ac:dyDescent="0.2">
      <c r="A197" s="1448" t="s">
        <v>1701</v>
      </c>
      <c r="B197" s="448"/>
      <c r="C197" s="1531"/>
      <c r="D197" s="1532"/>
      <c r="E197" s="41" t="s">
        <v>2357</v>
      </c>
      <c r="F197" s="45" t="s">
        <v>2361</v>
      </c>
      <c r="G197" s="1518">
        <v>5.63</v>
      </c>
      <c r="H197" s="1538">
        <v>2.5</v>
      </c>
      <c r="I197" s="162">
        <v>27</v>
      </c>
      <c r="J197" s="1533" t="s">
        <v>2302</v>
      </c>
      <c r="K197" s="437">
        <v>49</v>
      </c>
      <c r="L197" s="1300">
        <v>1200</v>
      </c>
      <c r="M197" s="1245">
        <v>2.4</v>
      </c>
      <c r="N197" s="71"/>
      <c r="O197" s="71"/>
      <c r="P197" s="71">
        <v>1</v>
      </c>
      <c r="Q197" s="71">
        <v>2</v>
      </c>
      <c r="R197" s="71"/>
      <c r="S197" s="71"/>
      <c r="T197" s="1246"/>
      <c r="U197" s="71"/>
      <c r="V197" s="71"/>
      <c r="W197" s="1004" t="s">
        <v>1751</v>
      </c>
      <c r="X197" s="117"/>
      <c r="Y197" s="1534"/>
      <c r="Z197" s="1535"/>
      <c r="AA197" s="375"/>
      <c r="AB197" s="56"/>
      <c r="AC197" s="102"/>
      <c r="AD197" s="194">
        <v>6.5535999999999997E-2</v>
      </c>
      <c r="AE197" s="1189"/>
      <c r="AF197" s="1530"/>
      <c r="AG197" s="492"/>
      <c r="AH197" s="516" t="s">
        <v>2370</v>
      </c>
      <c r="AJ197" s="530" t="s">
        <v>2365</v>
      </c>
    </row>
    <row r="198" spans="1:36" x14ac:dyDescent="0.2">
      <c r="A198" s="1448" t="s">
        <v>2407</v>
      </c>
      <c r="B198" s="283"/>
      <c r="C198" s="1528"/>
      <c r="D198" s="1393"/>
      <c r="E198" s="41" t="s">
        <v>2357</v>
      </c>
      <c r="F198" s="45" t="s">
        <v>2361</v>
      </c>
      <c r="G198" s="1518">
        <v>5.63</v>
      </c>
      <c r="H198" s="1538">
        <v>2.5</v>
      </c>
      <c r="I198" s="162">
        <v>27</v>
      </c>
      <c r="J198" s="487" t="s">
        <v>2358</v>
      </c>
      <c r="K198" s="429">
        <v>49</v>
      </c>
      <c r="L198" s="249">
        <v>1200</v>
      </c>
      <c r="M198" s="457">
        <v>2.4</v>
      </c>
      <c r="N198" s="65"/>
      <c r="O198" s="65"/>
      <c r="P198" s="65">
        <v>1</v>
      </c>
      <c r="Q198" s="65">
        <v>2</v>
      </c>
      <c r="R198" s="65"/>
      <c r="S198" s="65"/>
      <c r="T198" s="449"/>
      <c r="U198" s="65"/>
      <c r="V198" s="65"/>
      <c r="W198" s="469" t="s">
        <v>1751</v>
      </c>
      <c r="X198" s="115"/>
      <c r="Y198" s="1529"/>
      <c r="Z198" s="1450"/>
      <c r="AA198" s="371"/>
      <c r="AB198" s="54"/>
      <c r="AC198" s="99"/>
      <c r="AD198" s="191">
        <v>6.5535999999999997E-2</v>
      </c>
      <c r="AE198" s="479"/>
      <c r="AF198" s="220"/>
      <c r="AG198" s="492"/>
      <c r="AH198" s="524" t="s">
        <v>2359</v>
      </c>
      <c r="AJ198" s="530" t="s">
        <v>2360</v>
      </c>
    </row>
    <row r="199" spans="1:36" ht="13.5" thickBot="1" x14ac:dyDescent="0.25">
      <c r="A199" s="1241"/>
      <c r="B199" s="21"/>
      <c r="C199" s="228"/>
      <c r="D199" s="214"/>
      <c r="E199" s="1186"/>
      <c r="F199" s="144"/>
      <c r="G199" s="34"/>
      <c r="H199" s="130"/>
      <c r="I199" s="169"/>
      <c r="J199" s="529"/>
      <c r="K199" s="419"/>
      <c r="L199" s="458"/>
      <c r="M199" s="459"/>
      <c r="N199" s="68"/>
      <c r="O199" s="68"/>
      <c r="P199" s="68"/>
      <c r="Q199" s="68"/>
      <c r="R199" s="68"/>
      <c r="S199" s="68"/>
      <c r="T199" s="68"/>
      <c r="U199" s="533"/>
      <c r="V199" s="68"/>
      <c r="W199" s="68"/>
      <c r="X199" s="543"/>
      <c r="Y199" s="542"/>
      <c r="Z199" s="472"/>
      <c r="AA199" s="374"/>
      <c r="AB199" s="55"/>
      <c r="AC199" s="100"/>
      <c r="AD199" s="192"/>
      <c r="AE199" s="199"/>
      <c r="AF199" s="200"/>
      <c r="AG199" s="6"/>
    </row>
    <row r="200" spans="1:36" x14ac:dyDescent="0.2">
      <c r="A200" s="237"/>
      <c r="B200" s="237"/>
      <c r="C200" s="237"/>
      <c r="D200" s="237"/>
      <c r="E200" s="1444"/>
      <c r="F200" s="1431"/>
      <c r="G200" s="1432"/>
      <c r="H200" s="1433"/>
      <c r="I200" s="1433"/>
      <c r="J200" s="1434"/>
      <c r="K200" s="1435"/>
      <c r="L200" s="1436"/>
      <c r="M200" s="1437"/>
      <c r="N200" s="238"/>
      <c r="O200" s="238"/>
      <c r="P200" s="238"/>
      <c r="Q200" s="238"/>
      <c r="R200" s="238"/>
      <c r="S200" s="238"/>
      <c r="T200" s="238"/>
      <c r="U200" s="1438"/>
      <c r="V200" s="238"/>
      <c r="W200" s="238"/>
      <c r="X200" s="1439"/>
      <c r="Y200" s="1440"/>
      <c r="Z200" s="392"/>
      <c r="AA200" s="392"/>
      <c r="AB200" s="392"/>
      <c r="AC200" s="997"/>
      <c r="AD200" s="998"/>
      <c r="AE200" s="1183"/>
      <c r="AF200" s="1183"/>
      <c r="AG200" s="6"/>
    </row>
    <row r="201" spans="1:36" x14ac:dyDescent="0.2">
      <c r="A201" s="237"/>
      <c r="B201" s="237"/>
      <c r="C201" s="237"/>
      <c r="D201" s="237"/>
      <c r="E201" s="1444"/>
      <c r="F201" s="1431"/>
      <c r="G201" s="1432"/>
      <c r="H201" s="1433"/>
      <c r="I201" s="1433"/>
      <c r="J201" s="1434"/>
      <c r="K201" s="1435"/>
      <c r="L201" s="1436"/>
      <c r="M201" s="1437"/>
      <c r="N201" s="238"/>
      <c r="O201" s="238"/>
      <c r="P201" s="238"/>
      <c r="Q201" s="238"/>
      <c r="R201" s="238"/>
      <c r="S201" s="238"/>
      <c r="T201" s="238"/>
      <c r="U201" s="1438"/>
      <c r="V201" s="238"/>
      <c r="W201" s="238"/>
      <c r="X201" s="1439"/>
      <c r="Y201" s="1440"/>
      <c r="Z201" s="392"/>
      <c r="AA201" s="392"/>
      <c r="AB201" s="392"/>
      <c r="AC201" s="997"/>
      <c r="AD201" s="998"/>
      <c r="AE201" s="1183"/>
      <c r="AF201" s="1183"/>
      <c r="AG201" s="6"/>
    </row>
    <row r="202" spans="1:36" x14ac:dyDescent="0.2">
      <c r="A202" s="237"/>
      <c r="B202" s="237"/>
      <c r="C202" s="237"/>
      <c r="D202" s="237"/>
      <c r="E202" s="1444"/>
      <c r="F202" s="1431"/>
      <c r="G202" s="1432"/>
      <c r="H202" s="1433"/>
      <c r="I202" s="1433"/>
      <c r="J202" s="1434"/>
      <c r="K202" s="1435"/>
      <c r="L202" s="1436"/>
      <c r="M202" s="1437"/>
      <c r="N202" s="238"/>
      <c r="O202" s="238"/>
      <c r="P202" s="238"/>
      <c r="Q202" s="238"/>
      <c r="R202" s="238"/>
      <c r="S202" s="238"/>
      <c r="T202" s="238"/>
      <c r="U202" s="1438"/>
      <c r="V202" s="238"/>
      <c r="W202" s="238"/>
      <c r="X202" s="1439"/>
      <c r="Y202" s="1440"/>
      <c r="Z202" s="392"/>
      <c r="AA202" s="392"/>
      <c r="AB202" s="392"/>
      <c r="AC202" s="997"/>
      <c r="AD202" s="998"/>
      <c r="AE202" s="1183"/>
      <c r="AF202" s="1183"/>
      <c r="AG202" s="6"/>
    </row>
    <row r="204" spans="1:36" ht="18" x14ac:dyDescent="0.25">
      <c r="B204" s="404" t="s">
        <v>884</v>
      </c>
    </row>
    <row r="205" spans="1:36" ht="12.75" customHeight="1" x14ac:dyDescent="0.25">
      <c r="A205" s="530" t="s">
        <v>1202</v>
      </c>
      <c r="B205" s="404"/>
      <c r="L205" s="493" t="s">
        <v>1203</v>
      </c>
    </row>
    <row r="206" spans="1:36" x14ac:dyDescent="0.2">
      <c r="A206" s="407" t="s">
        <v>876</v>
      </c>
      <c r="L206" t="s">
        <v>900</v>
      </c>
    </row>
    <row r="207" spans="1:36" x14ac:dyDescent="0.2">
      <c r="A207" s="407" t="s">
        <v>887</v>
      </c>
      <c r="L207" t="s">
        <v>888</v>
      </c>
    </row>
    <row r="208" spans="1:36" x14ac:dyDescent="0.2">
      <c r="A208" s="407" t="s">
        <v>893</v>
      </c>
      <c r="L208" t="s">
        <v>888</v>
      </c>
    </row>
    <row r="209" spans="1:34" x14ac:dyDescent="0.2">
      <c r="A209" s="407" t="s">
        <v>897</v>
      </c>
      <c r="L209" s="493" t="s">
        <v>1152</v>
      </c>
    </row>
    <row r="210" spans="1:34" x14ac:dyDescent="0.2">
      <c r="A210" s="530" t="s">
        <v>905</v>
      </c>
      <c r="L210" t="s">
        <v>932</v>
      </c>
      <c r="AH210"/>
    </row>
    <row r="211" spans="1:34" x14ac:dyDescent="0.2">
      <c r="A211" s="530" t="s">
        <v>908</v>
      </c>
      <c r="F211" t="s">
        <v>913</v>
      </c>
      <c r="L211" t="s">
        <v>933</v>
      </c>
      <c r="AH211"/>
    </row>
    <row r="212" spans="1:34" x14ac:dyDescent="0.2">
      <c r="A212" s="530" t="s">
        <v>914</v>
      </c>
      <c r="AH212"/>
    </row>
    <row r="213" spans="1:34" x14ac:dyDescent="0.2">
      <c r="A213" s="407" t="s">
        <v>937</v>
      </c>
      <c r="AH213"/>
    </row>
    <row r="214" spans="1:34" x14ac:dyDescent="0.2">
      <c r="A214" s="407" t="s">
        <v>2377</v>
      </c>
      <c r="L214" t="s">
        <v>2378</v>
      </c>
      <c r="AH214"/>
    </row>
    <row r="215" spans="1:34" x14ac:dyDescent="0.2">
      <c r="A215" s="530" t="s">
        <v>917</v>
      </c>
      <c r="L215" t="s">
        <v>918</v>
      </c>
      <c r="AH215"/>
    </row>
    <row r="216" spans="1:34" x14ac:dyDescent="0.2">
      <c r="A216" s="407" t="s">
        <v>919</v>
      </c>
      <c r="L216" t="s">
        <v>920</v>
      </c>
      <c r="AH216"/>
    </row>
    <row r="217" spans="1:34" x14ac:dyDescent="0.2">
      <c r="A217" s="530" t="s">
        <v>921</v>
      </c>
      <c r="L217" t="s">
        <v>926</v>
      </c>
      <c r="AH217"/>
    </row>
    <row r="219" spans="1:34" ht="18" x14ac:dyDescent="0.25">
      <c r="B219" s="404" t="s">
        <v>877</v>
      </c>
      <c r="AH219"/>
    </row>
    <row r="220" spans="1:34" x14ac:dyDescent="0.2">
      <c r="A220" s="421" t="s">
        <v>881</v>
      </c>
      <c r="B220" s="237"/>
      <c r="C220" s="237"/>
      <c r="D220" s="237"/>
      <c r="F220" s="407" t="s">
        <v>880</v>
      </c>
      <c r="AH220"/>
    </row>
    <row r="221" spans="1:34" x14ac:dyDescent="0.2">
      <c r="A221" s="421" t="s">
        <v>882</v>
      </c>
      <c r="B221" s="237"/>
      <c r="C221" s="237"/>
      <c r="D221" s="237"/>
      <c r="F221" s="407" t="s">
        <v>883</v>
      </c>
      <c r="AH221"/>
    </row>
    <row r="222" spans="1:34" x14ac:dyDescent="0.2">
      <c r="A222" s="421" t="s">
        <v>892</v>
      </c>
      <c r="B222" s="237"/>
      <c r="C222" s="237"/>
      <c r="D222" s="237"/>
      <c r="F222" s="407" t="s">
        <v>896</v>
      </c>
      <c r="AH222"/>
    </row>
    <row r="223" spans="1:34" x14ac:dyDescent="0.2">
      <c r="A223" s="421" t="s">
        <v>940</v>
      </c>
      <c r="B223" s="237"/>
      <c r="C223" s="237"/>
      <c r="D223" s="237"/>
      <c r="F223" s="407" t="s">
        <v>939</v>
      </c>
      <c r="O223" t="s">
        <v>942</v>
      </c>
      <c r="AH223"/>
    </row>
    <row r="224" spans="1:34" x14ac:dyDescent="0.2">
      <c r="A224" s="421" t="s">
        <v>890</v>
      </c>
      <c r="B224" s="237"/>
      <c r="C224" s="237"/>
      <c r="D224" s="237"/>
      <c r="F224" s="407" t="s">
        <v>889</v>
      </c>
      <c r="AH224"/>
    </row>
    <row r="225" spans="1:34" x14ac:dyDescent="0.2">
      <c r="A225" s="421" t="s">
        <v>930</v>
      </c>
      <c r="B225" s="237"/>
      <c r="C225" s="237"/>
      <c r="D225" s="237"/>
      <c r="F225" s="407" t="s">
        <v>931</v>
      </c>
      <c r="AH225"/>
    </row>
    <row r="226" spans="1:34" x14ac:dyDescent="0.2">
      <c r="A226" s="421" t="s">
        <v>895</v>
      </c>
      <c r="B226" s="237"/>
      <c r="C226" s="237"/>
      <c r="D226" s="237"/>
      <c r="F226" s="407" t="s">
        <v>894</v>
      </c>
      <c r="AH226"/>
    </row>
    <row r="227" spans="1:34" x14ac:dyDescent="0.2">
      <c r="A227" s="421" t="s">
        <v>898</v>
      </c>
      <c r="B227" s="237"/>
      <c r="C227" s="237"/>
      <c r="D227" s="237"/>
      <c r="F227" s="407" t="s">
        <v>899</v>
      </c>
      <c r="AH227"/>
    </row>
    <row r="228" spans="1:34" x14ac:dyDescent="0.2">
      <c r="A228" s="421" t="s">
        <v>904</v>
      </c>
      <c r="B228" s="237"/>
      <c r="C228" s="237"/>
      <c r="D228" s="237"/>
      <c r="F228" s="407" t="s">
        <v>902</v>
      </c>
      <c r="AH228"/>
    </row>
    <row r="229" spans="1:34" x14ac:dyDescent="0.2">
      <c r="A229" s="421" t="s">
        <v>907</v>
      </c>
      <c r="B229" s="237"/>
      <c r="C229" s="237"/>
      <c r="D229" s="237"/>
      <c r="F229" s="407" t="s">
        <v>906</v>
      </c>
      <c r="AH229"/>
    </row>
    <row r="230" spans="1:34" x14ac:dyDescent="0.2">
      <c r="A230" s="421" t="s">
        <v>910</v>
      </c>
      <c r="B230" s="237"/>
      <c r="C230" s="237"/>
      <c r="D230" s="237"/>
      <c r="F230" s="407" t="s">
        <v>909</v>
      </c>
      <c r="AH230"/>
    </row>
    <row r="231" spans="1:34" x14ac:dyDescent="0.2">
      <c r="A231" s="237" t="s">
        <v>916</v>
      </c>
      <c r="B231" s="237"/>
      <c r="C231" s="237"/>
      <c r="D231" s="237"/>
      <c r="F231" s="407" t="s">
        <v>915</v>
      </c>
      <c r="AH231"/>
    </row>
    <row r="232" spans="1:34" x14ac:dyDescent="0.2">
      <c r="A232" s="431" t="s">
        <v>934</v>
      </c>
      <c r="F232" s="407" t="s">
        <v>938</v>
      </c>
      <c r="AH232"/>
    </row>
    <row r="233" spans="1:34" x14ac:dyDescent="0.2">
      <c r="A233" t="s">
        <v>1071</v>
      </c>
      <c r="F233" s="407" t="s">
        <v>1072</v>
      </c>
      <c r="J233" s="406"/>
      <c r="AH233"/>
    </row>
  </sheetData>
  <hyperlinks>
    <hyperlink ref="A211" r:id="rId1"/>
    <hyperlink ref="A212" r:id="rId2"/>
    <hyperlink ref="A205" r:id="rId3"/>
    <hyperlink ref="A215" r:id="rId4"/>
    <hyperlink ref="A217" r:id="rId5"/>
    <hyperlink ref="A210" r:id="rId6"/>
    <hyperlink ref="AJ198" r:id="rId7"/>
    <hyperlink ref="AJ197" r:id="rId8"/>
    <hyperlink ref="AJ196" r:id="rId9"/>
    <hyperlink ref="AG26" r:id="rId10"/>
  </hyperlinks>
  <pageMargins left="0.33" right="0.37" top="0.4" bottom="0.25" header="0.42" footer="0.25"/>
  <pageSetup scale="45" orientation="landscape" r:id="rId1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8"/>
  <sheetViews>
    <sheetView topLeftCell="A2" zoomScaleNormal="100" workbookViewId="0">
      <pane ySplit="1" topLeftCell="A21" activePane="bottomLeft" state="frozenSplit"/>
      <selection activeCell="AG2" sqref="AG2"/>
      <selection pane="bottomLeft" activeCell="AJ39" sqref="AJ39"/>
    </sheetView>
  </sheetViews>
  <sheetFormatPr defaultRowHeight="12.75" x14ac:dyDescent="0.2"/>
  <cols>
    <col min="1" max="1" width="9.7109375" customWidth="1"/>
    <col min="2" max="4" width="2.85546875" customWidth="1"/>
    <col min="5" max="5" width="17.42578125" customWidth="1"/>
    <col min="6" max="6" width="11.7109375" style="1" hidden="1" customWidth="1"/>
    <col min="7" max="7" width="6.5703125" style="4" hidden="1" customWidth="1"/>
    <col min="8" max="8" width="5.28515625" style="5" hidden="1" customWidth="1"/>
    <col min="9" max="9" width="5.5703125" style="5" hidden="1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4.85546875" style="58" hidden="1" customWidth="1"/>
    <col min="15" max="15" width="6" style="58" customWidth="1"/>
    <col min="16" max="16" width="5.5703125" style="58" customWidth="1"/>
    <col min="17" max="17" width="4" style="58" customWidth="1"/>
    <col min="18" max="18" width="4.140625" style="58" customWidth="1"/>
    <col min="19" max="19" width="5.7109375" style="58" customWidth="1"/>
    <col min="20" max="20" width="5.7109375" style="58" hidden="1" customWidth="1"/>
    <col min="21" max="21" width="6.85546875" style="58" customWidth="1"/>
    <col min="22" max="22" width="6.7109375" style="58" hidden="1" customWidth="1"/>
    <col min="23" max="23" width="7.5703125" style="58" customWidth="1"/>
    <col min="24" max="24" width="7.28515625" style="78" hidden="1" customWidth="1"/>
    <col min="25" max="25" width="5.85546875" style="52" hidden="1" customWidth="1"/>
    <col min="26" max="26" width="5.28515625" style="52" customWidth="1"/>
    <col min="27" max="27" width="5.140625" style="96" customWidth="1"/>
    <col min="28" max="28" width="7.85546875" style="58" customWidth="1"/>
    <col min="29" max="29" width="5.140625" hidden="1" customWidth="1"/>
    <col min="30" max="30" width="5.7109375" hidden="1" customWidth="1"/>
    <col min="31" max="31" width="8" customWidth="1"/>
    <col min="32" max="32" width="22.140625" customWidth="1"/>
    <col min="33" max="33" width="8.42578125" style="406" customWidth="1"/>
  </cols>
  <sheetData>
    <row r="1" spans="1:34" ht="22.9" hidden="1" customHeight="1" thickBot="1" x14ac:dyDescent="0.35">
      <c r="G1" s="2" t="s">
        <v>553</v>
      </c>
      <c r="H1" s="121"/>
      <c r="I1" s="121"/>
      <c r="J1" s="3"/>
    </row>
    <row r="2" spans="1:34" s="100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1252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1251" t="s">
        <v>5</v>
      </c>
      <c r="M2" s="1253" t="s">
        <v>6</v>
      </c>
      <c r="N2" s="59" t="s">
        <v>7</v>
      </c>
      <c r="O2" s="59" t="s">
        <v>8</v>
      </c>
      <c r="P2" s="59" t="s">
        <v>9</v>
      </c>
      <c r="Q2" s="59" t="s">
        <v>435</v>
      </c>
      <c r="R2" s="59" t="s">
        <v>10</v>
      </c>
      <c r="S2" s="1253" t="s">
        <v>1796</v>
      </c>
      <c r="T2" s="1253" t="s">
        <v>12</v>
      </c>
      <c r="U2" s="1253" t="s">
        <v>13</v>
      </c>
      <c r="V2" s="59" t="s">
        <v>14</v>
      </c>
      <c r="W2" s="1253" t="s">
        <v>15</v>
      </c>
      <c r="X2" s="79" t="s">
        <v>16</v>
      </c>
      <c r="Y2" s="1750" t="s">
        <v>17</v>
      </c>
      <c r="Z2" s="1751" t="s">
        <v>18</v>
      </c>
      <c r="AA2" s="1254" t="s">
        <v>19</v>
      </c>
      <c r="AB2" s="1250" t="s">
        <v>1812</v>
      </c>
      <c r="AC2" s="7" t="s">
        <v>652</v>
      </c>
      <c r="AD2" s="8" t="s">
        <v>651</v>
      </c>
      <c r="AE2" s="1259" t="s">
        <v>821</v>
      </c>
      <c r="AF2" s="1259" t="s">
        <v>1803</v>
      </c>
      <c r="AG2" s="1260" t="s">
        <v>1813</v>
      </c>
    </row>
    <row r="3" spans="1:34" s="237" customFormat="1" ht="4.5" customHeight="1" thickBot="1" x14ac:dyDescent="0.25">
      <c r="A3"/>
      <c r="B3"/>
      <c r="C3"/>
      <c r="D3"/>
      <c r="E3"/>
      <c r="F3" s="1"/>
      <c r="G3" s="4"/>
      <c r="H3" s="5"/>
      <c r="I3" s="5"/>
      <c r="J3" s="1"/>
      <c r="K3" s="4"/>
      <c r="L3" s="242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78"/>
      <c r="Y3" s="52"/>
      <c r="Z3" s="52"/>
      <c r="AA3" s="96"/>
      <c r="AB3" s="58"/>
      <c r="AC3"/>
      <c r="AD3"/>
      <c r="AE3"/>
      <c r="AG3" s="1258"/>
    </row>
    <row r="4" spans="1:34" s="237" customFormat="1" ht="16.5" customHeight="1" x14ac:dyDescent="0.2">
      <c r="A4" s="182"/>
      <c r="B4" s="333" t="s">
        <v>717</v>
      </c>
      <c r="C4" s="334"/>
      <c r="D4" s="334"/>
      <c r="E4" s="335" t="s">
        <v>1592</v>
      </c>
      <c r="F4" s="336"/>
      <c r="G4" s="337" t="s">
        <v>22</v>
      </c>
      <c r="H4" s="338"/>
      <c r="I4" s="338"/>
      <c r="J4" s="339" t="s">
        <v>512</v>
      </c>
      <c r="K4" s="337" t="s">
        <v>22</v>
      </c>
      <c r="L4" s="346" t="s">
        <v>23</v>
      </c>
      <c r="M4" s="340"/>
      <c r="N4" s="340"/>
      <c r="O4" s="340"/>
      <c r="P4" s="349" t="s">
        <v>92</v>
      </c>
      <c r="Q4" s="340"/>
      <c r="R4" s="340"/>
      <c r="S4" s="341"/>
      <c r="T4" s="362"/>
      <c r="U4" s="351" t="s">
        <v>157</v>
      </c>
      <c r="V4" s="341"/>
      <c r="W4" s="342" t="s">
        <v>93</v>
      </c>
      <c r="X4" s="343"/>
      <c r="Y4" s="344"/>
      <c r="Z4" s="353">
        <f>AVERAGE(Z5:Z5)</f>
        <v>190.47619047619048</v>
      </c>
      <c r="AA4" s="354">
        <f>AVERAGE(AA5:AA5)</f>
        <v>3.1666666666666665</v>
      </c>
      <c r="AB4" s="965" t="s">
        <v>650</v>
      </c>
      <c r="AC4" s="955"/>
      <c r="AD4" s="345"/>
      <c r="AE4" s="193"/>
      <c r="AF4" s="226"/>
      <c r="AG4" s="1261"/>
    </row>
    <row r="5" spans="1:34" s="237" customFormat="1" ht="13.5" thickBot="1" x14ac:dyDescent="0.25">
      <c r="A5" s="523" t="s">
        <v>26</v>
      </c>
      <c r="B5" s="1199"/>
      <c r="C5" s="1200"/>
      <c r="D5" s="1200"/>
      <c r="E5" s="1212" t="s">
        <v>1587</v>
      </c>
      <c r="F5" s="1201" t="s">
        <v>352</v>
      </c>
      <c r="G5" s="1202">
        <v>90.7</v>
      </c>
      <c r="H5" s="1203"/>
      <c r="I5" s="1203"/>
      <c r="J5" s="1201" t="s">
        <v>353</v>
      </c>
      <c r="K5" s="1202">
        <v>124.7</v>
      </c>
      <c r="L5" s="1204">
        <v>8000</v>
      </c>
      <c r="M5" s="1205"/>
      <c r="N5" s="1205">
        <f>IF(AND(G5&lt;&gt;"",L5&lt;&gt;""),L5/G5,"")</f>
        <v>88.202866593164273</v>
      </c>
      <c r="O5" s="1205"/>
      <c r="P5" s="1206">
        <v>24</v>
      </c>
      <c r="Q5" s="1205"/>
      <c r="R5" s="1205"/>
      <c r="S5" s="1206">
        <v>133</v>
      </c>
      <c r="T5" s="1207" t="s">
        <v>807</v>
      </c>
      <c r="U5" s="1206">
        <v>42</v>
      </c>
      <c r="V5" s="1206"/>
      <c r="W5" s="1205">
        <f>L5/16</f>
        <v>500</v>
      </c>
      <c r="X5" s="1208">
        <v>22</v>
      </c>
      <c r="Y5" s="1209">
        <f>IF(AND(L5&lt;&gt;"",X5&lt;&gt;""),L5/X5,"")</f>
        <v>363.63636363636363</v>
      </c>
      <c r="Z5" s="1209">
        <f>L5/U5</f>
        <v>190.47619047619048</v>
      </c>
      <c r="AA5" s="1210">
        <f>S5/U5</f>
        <v>3.1666666666666665</v>
      </c>
      <c r="AB5" s="1211">
        <f>128*36*U5/1000000</f>
        <v>0.19353600000000001</v>
      </c>
      <c r="AC5" s="956"/>
      <c r="AD5" s="213"/>
      <c r="AE5" s="41" t="s">
        <v>940</v>
      </c>
      <c r="AF5" s="227" t="s">
        <v>1799</v>
      </c>
      <c r="AG5" s="1262">
        <v>50</v>
      </c>
    </row>
    <row r="6" spans="1:34" s="237" customFormat="1" ht="16.5" customHeight="1" x14ac:dyDescent="0.2">
      <c r="A6" s="182"/>
      <c r="B6" s="317" t="s">
        <v>717</v>
      </c>
      <c r="C6" s="306"/>
      <c r="D6" s="306"/>
      <c r="E6" s="307" t="s">
        <v>91</v>
      </c>
      <c r="F6" s="308"/>
      <c r="G6" s="309" t="s">
        <v>22</v>
      </c>
      <c r="H6" s="310"/>
      <c r="I6" s="310"/>
      <c r="J6" s="311" t="s">
        <v>512</v>
      </c>
      <c r="K6" s="309" t="s">
        <v>22</v>
      </c>
      <c r="L6" s="347" t="s">
        <v>23</v>
      </c>
      <c r="M6" s="312"/>
      <c r="N6" s="312"/>
      <c r="O6" s="312"/>
      <c r="P6" s="350" t="s">
        <v>92</v>
      </c>
      <c r="Q6" s="312"/>
      <c r="R6" s="312"/>
      <c r="S6" s="329"/>
      <c r="T6" s="367"/>
      <c r="U6" s="352" t="s">
        <v>76</v>
      </c>
      <c r="V6" s="329"/>
      <c r="W6" s="313" t="s">
        <v>93</v>
      </c>
      <c r="X6" s="314"/>
      <c r="Y6" s="315"/>
      <c r="Z6" s="355">
        <f>AVERAGE(Z7:Z7)</f>
        <v>316.34285714285716</v>
      </c>
      <c r="AA6" s="356">
        <f>AVERAGE(AA7:AA7)</f>
        <v>0.34285714285714286</v>
      </c>
      <c r="AB6" s="966" t="s">
        <v>650</v>
      </c>
      <c r="AC6" s="955"/>
      <c r="AD6" s="345"/>
      <c r="AE6" s="17"/>
      <c r="AF6" s="227"/>
      <c r="AG6" s="1263"/>
    </row>
    <row r="7" spans="1:34" s="237" customFormat="1" ht="13.5" thickBot="1" x14ac:dyDescent="0.25">
      <c r="A7" s="182" t="s">
        <v>804</v>
      </c>
      <c r="B7" s="25"/>
      <c r="C7" s="239"/>
      <c r="D7" s="239"/>
      <c r="E7" s="999" t="s">
        <v>98</v>
      </c>
      <c r="F7" s="26" t="s">
        <v>352</v>
      </c>
      <c r="G7" s="27">
        <v>90.7</v>
      </c>
      <c r="H7" s="127"/>
      <c r="I7" s="127"/>
      <c r="J7" s="26" t="s">
        <v>353</v>
      </c>
      <c r="K7" s="27">
        <v>124.7</v>
      </c>
      <c r="L7" s="324">
        <v>33216</v>
      </c>
      <c r="M7" s="73"/>
      <c r="N7" s="73">
        <f>IF(AND(G7&lt;&gt;"",L7&lt;&gt;""),L7/G7,"")</f>
        <v>366.21830209481806</v>
      </c>
      <c r="O7" s="73"/>
      <c r="P7" s="328">
        <v>35</v>
      </c>
      <c r="Q7" s="73">
        <v>4</v>
      </c>
      <c r="R7" s="73"/>
      <c r="S7" s="328">
        <v>36</v>
      </c>
      <c r="T7" s="365" t="s">
        <v>807</v>
      </c>
      <c r="U7" s="328">
        <v>105</v>
      </c>
      <c r="V7" s="328"/>
      <c r="W7" s="73">
        <f>L7/16</f>
        <v>2076</v>
      </c>
      <c r="X7" s="908">
        <v>22</v>
      </c>
      <c r="Y7" s="301">
        <f>IF(AND(L7&lt;&gt;"",X7&lt;&gt;""),L7/X7,"")</f>
        <v>1509.8181818181818</v>
      </c>
      <c r="Z7" s="301">
        <f>L7/U7</f>
        <v>316.34285714285716</v>
      </c>
      <c r="AA7" s="101">
        <f>S7/U7</f>
        <v>0.34285714285714286</v>
      </c>
      <c r="AB7" s="478">
        <f>128*36*U7/1000000</f>
        <v>0.48383999999999999</v>
      </c>
      <c r="AC7" s="956"/>
      <c r="AD7" s="213"/>
      <c r="AE7" s="17" t="s">
        <v>804</v>
      </c>
      <c r="AF7" s="227" t="s">
        <v>1801</v>
      </c>
      <c r="AG7" s="1263"/>
    </row>
    <row r="8" spans="1:34" s="237" customFormat="1" ht="16.5" customHeight="1" x14ac:dyDescent="0.2">
      <c r="A8" s="182"/>
      <c r="B8" s="317" t="s">
        <v>717</v>
      </c>
      <c r="C8" s="306"/>
      <c r="D8" s="306"/>
      <c r="E8" s="307" t="s">
        <v>1041</v>
      </c>
      <c r="F8" s="308"/>
      <c r="G8" s="309" t="s">
        <v>22</v>
      </c>
      <c r="H8" s="310"/>
      <c r="I8" s="310"/>
      <c r="J8" s="311" t="s">
        <v>512</v>
      </c>
      <c r="K8" s="309" t="s">
        <v>22</v>
      </c>
      <c r="L8" s="347" t="s">
        <v>431</v>
      </c>
      <c r="M8" s="312"/>
      <c r="N8" s="312"/>
      <c r="O8" s="684" t="s">
        <v>1074</v>
      </c>
      <c r="P8" s="350" t="s">
        <v>986</v>
      </c>
      <c r="Q8" s="312"/>
      <c r="R8" s="312"/>
      <c r="S8" s="329"/>
      <c r="T8" s="367"/>
      <c r="U8" s="352" t="s">
        <v>76</v>
      </c>
      <c r="V8" s="329"/>
      <c r="W8" s="313" t="s">
        <v>93</v>
      </c>
      <c r="X8" s="314"/>
      <c r="Y8" s="315"/>
      <c r="Z8" s="355">
        <f>AVERAGE(Z9:Z9)</f>
        <v>82.687250996015933</v>
      </c>
      <c r="AA8" s="356">
        <f>AVERAGE(AA9:AA9)</f>
        <v>0.1752988047808765</v>
      </c>
      <c r="AB8" s="966" t="s">
        <v>650</v>
      </c>
      <c r="AC8" s="955"/>
      <c r="AD8" s="345"/>
      <c r="AE8" s="17"/>
      <c r="AF8" s="227"/>
      <c r="AG8" s="1263"/>
    </row>
    <row r="9" spans="1:34" s="788" customFormat="1" x14ac:dyDescent="0.2">
      <c r="A9" s="769" t="s">
        <v>717</v>
      </c>
      <c r="B9" s="573"/>
      <c r="C9" s="574"/>
      <c r="D9" s="574"/>
      <c r="E9" s="1606" t="s">
        <v>1395</v>
      </c>
      <c r="F9" s="751" t="s">
        <v>1279</v>
      </c>
      <c r="G9" s="791">
        <v>209.78</v>
      </c>
      <c r="H9" s="792">
        <v>23</v>
      </c>
      <c r="I9" s="792">
        <v>312</v>
      </c>
      <c r="J9" s="790"/>
      <c r="K9" s="791"/>
      <c r="L9" s="1607">
        <v>41509</v>
      </c>
      <c r="M9" s="583">
        <f>2.65*L9/1000</f>
        <v>109.99884999999999</v>
      </c>
      <c r="N9" s="564">
        <f>IF(AND(G9&lt;&gt;"",L9&lt;&gt;""),L9/G9,"")</f>
        <v>197.86919630088664</v>
      </c>
      <c r="O9" s="564">
        <v>2</v>
      </c>
      <c r="P9" s="1608">
        <v>112</v>
      </c>
      <c r="Q9" s="564">
        <v>9</v>
      </c>
      <c r="R9" s="564">
        <v>9</v>
      </c>
      <c r="S9" s="1608">
        <v>88</v>
      </c>
      <c r="T9" s="1609" t="s">
        <v>1396</v>
      </c>
      <c r="U9" s="1608">
        <v>502</v>
      </c>
      <c r="V9" s="1608">
        <v>2</v>
      </c>
      <c r="W9" s="564">
        <v>4150</v>
      </c>
      <c r="X9" s="1453"/>
      <c r="Y9" s="822" t="str">
        <f>IF(AND(L9&lt;&gt;"",X9&lt;&gt;""),L9/X9,"")</f>
        <v/>
      </c>
      <c r="Z9" s="822">
        <f>L9/U9</f>
        <v>82.687250996015933</v>
      </c>
      <c r="AA9" s="571">
        <f>S9/U9</f>
        <v>0.1752988047808765</v>
      </c>
      <c r="AB9" s="572">
        <f>256*40*U9/1000000</f>
        <v>5.1404800000000002</v>
      </c>
      <c r="AC9" s="1610"/>
      <c r="AD9" s="554"/>
      <c r="AE9" s="573" t="s">
        <v>891</v>
      </c>
      <c r="AF9" s="574" t="s">
        <v>1808</v>
      </c>
      <c r="AG9" s="1611" t="s">
        <v>1818</v>
      </c>
    </row>
    <row r="10" spans="1:34" s="237" customFormat="1" x14ac:dyDescent="0.2">
      <c r="A10" s="523" t="s">
        <v>717</v>
      </c>
      <c r="B10" s="17"/>
      <c r="C10" s="227"/>
      <c r="D10" s="227"/>
      <c r="E10" s="289" t="s">
        <v>1395</v>
      </c>
      <c r="F10" t="s">
        <v>1279</v>
      </c>
      <c r="G10" s="19">
        <v>209.78</v>
      </c>
      <c r="H10" s="124">
        <v>23</v>
      </c>
      <c r="I10" s="124">
        <v>312</v>
      </c>
      <c r="J10" s="18"/>
      <c r="K10" s="19"/>
      <c r="L10" s="323">
        <v>41509</v>
      </c>
      <c r="M10" s="457">
        <f>2.65*L10/1000</f>
        <v>109.99884999999999</v>
      </c>
      <c r="N10" s="65">
        <f>IF(AND(G10&lt;&gt;"",L10&lt;&gt;""),L10/G10,"")</f>
        <v>197.86919630088664</v>
      </c>
      <c r="O10" s="65">
        <v>2</v>
      </c>
      <c r="P10" s="327">
        <v>112</v>
      </c>
      <c r="Q10" s="65">
        <v>9</v>
      </c>
      <c r="R10" s="65">
        <v>9</v>
      </c>
      <c r="S10" s="327">
        <v>88</v>
      </c>
      <c r="T10" s="364" t="s">
        <v>1396</v>
      </c>
      <c r="U10" s="327">
        <v>502</v>
      </c>
      <c r="V10" s="327">
        <v>2</v>
      </c>
      <c r="W10" s="65">
        <v>4150</v>
      </c>
      <c r="X10" s="281"/>
      <c r="Y10" s="282" t="str">
        <f>IF(AND(L10&lt;&gt;"",X10&lt;&gt;""),L10/X10,"")</f>
        <v/>
      </c>
      <c r="Z10" s="282">
        <f>L10/U10</f>
        <v>82.687250996015933</v>
      </c>
      <c r="AA10" s="99">
        <f>S10/U10</f>
        <v>0.1752988047808765</v>
      </c>
      <c r="AB10" s="191">
        <f>256*40*U10/1000000</f>
        <v>5.1404800000000002</v>
      </c>
      <c r="AC10" s="956"/>
      <c r="AD10" s="213"/>
      <c r="AE10" s="17" t="s">
        <v>891</v>
      </c>
      <c r="AF10" s="230" t="s">
        <v>1808</v>
      </c>
      <c r="AG10" s="1264" t="s">
        <v>1818</v>
      </c>
      <c r="AH10" s="1389" t="s">
        <v>2245</v>
      </c>
    </row>
    <row r="11" spans="1:34" ht="16.5" customHeight="1" x14ac:dyDescent="0.2">
      <c r="A11" s="182"/>
      <c r="B11" s="317" t="s">
        <v>717</v>
      </c>
      <c r="C11" s="306"/>
      <c r="D11" s="306"/>
      <c r="E11" s="307" t="s">
        <v>101</v>
      </c>
      <c r="F11" s="348" t="s">
        <v>102</v>
      </c>
      <c r="G11" s="309" t="s">
        <v>22</v>
      </c>
      <c r="H11" s="310"/>
      <c r="I11" s="310"/>
      <c r="J11" s="311" t="s">
        <v>102</v>
      </c>
      <c r="K11" s="309" t="s">
        <v>22</v>
      </c>
      <c r="L11" s="347" t="s">
        <v>23</v>
      </c>
      <c r="M11" s="312"/>
      <c r="N11" s="312"/>
      <c r="O11" s="312"/>
      <c r="P11" s="350" t="s">
        <v>92</v>
      </c>
      <c r="Q11" s="312"/>
      <c r="R11" s="312"/>
      <c r="S11" s="329"/>
      <c r="T11" s="366" t="s">
        <v>104</v>
      </c>
      <c r="U11" s="352" t="s">
        <v>76</v>
      </c>
      <c r="V11" s="350" t="s">
        <v>105</v>
      </c>
      <c r="W11" s="313" t="s">
        <v>25</v>
      </c>
      <c r="X11" s="314"/>
      <c r="Y11" s="315"/>
      <c r="Z11" s="355">
        <f>AVERAGE(Z12:Z12)</f>
        <v>176.16666666666666</v>
      </c>
      <c r="AA11" s="356">
        <f>AVERAGE(AA12:AA12)</f>
        <v>0.68333333333333335</v>
      </c>
      <c r="AB11" s="966"/>
      <c r="AC11" s="957"/>
      <c r="AD11" s="316">
        <f>AVERAGE(AD12:AD12)</f>
        <v>83.600756859035002</v>
      </c>
      <c r="AE11" s="17"/>
      <c r="AF11" s="227"/>
      <c r="AG11" s="1263"/>
    </row>
    <row r="12" spans="1:34" x14ac:dyDescent="0.2">
      <c r="A12" s="182" t="s">
        <v>717</v>
      </c>
      <c r="B12" s="29"/>
      <c r="C12" s="296"/>
      <c r="D12" s="296"/>
      <c r="E12" s="297" t="s">
        <v>106</v>
      </c>
      <c r="F12" s="30" t="s">
        <v>580</v>
      </c>
      <c r="G12" s="31">
        <v>205</v>
      </c>
      <c r="H12" s="126">
        <v>23</v>
      </c>
      <c r="I12" s="126">
        <v>335</v>
      </c>
      <c r="J12" s="30" t="s">
        <v>107</v>
      </c>
      <c r="K12" s="31">
        <v>517.5</v>
      </c>
      <c r="L12" s="322">
        <v>10570</v>
      </c>
      <c r="M12" s="71"/>
      <c r="N12" s="71">
        <f>IF(AND(G12&lt;&gt;"",L12&lt;&gt;""),L12/G12,"")</f>
        <v>51.560975609756099</v>
      </c>
      <c r="O12" s="71"/>
      <c r="P12" s="326">
        <v>24</v>
      </c>
      <c r="Q12" s="71">
        <v>6</v>
      </c>
      <c r="R12" s="71"/>
      <c r="S12" s="326">
        <v>41</v>
      </c>
      <c r="T12" s="363">
        <v>94</v>
      </c>
      <c r="U12" s="326">
        <v>60</v>
      </c>
      <c r="V12" s="326">
        <v>1</v>
      </c>
      <c r="W12" s="71">
        <f>L12/10</f>
        <v>1057</v>
      </c>
      <c r="X12" s="298"/>
      <c r="Y12" s="299"/>
      <c r="Z12" s="299">
        <f>L12/U12</f>
        <v>176.16666666666666</v>
      </c>
      <c r="AA12" s="102">
        <f>S12/U12</f>
        <v>0.68333333333333335</v>
      </c>
      <c r="AB12" s="194">
        <f>(32*18*T12+128*36*U12+4096*144*V12)/1000000</f>
        <v>0.92044800000000004</v>
      </c>
      <c r="AC12" s="958">
        <v>3.53464</v>
      </c>
      <c r="AD12" s="302">
        <f>250000*AC12/L12</f>
        <v>83.600756859035002</v>
      </c>
      <c r="AE12" s="17" t="s">
        <v>717</v>
      </c>
      <c r="AF12" s="227" t="s">
        <v>1797</v>
      </c>
      <c r="AG12" s="1263">
        <v>50</v>
      </c>
    </row>
    <row r="13" spans="1:34" ht="16.5" customHeight="1" x14ac:dyDescent="0.2">
      <c r="A13" s="182"/>
      <c r="B13" s="317" t="s">
        <v>716</v>
      </c>
      <c r="C13" s="306"/>
      <c r="D13" s="306"/>
      <c r="E13" s="307" t="s">
        <v>156</v>
      </c>
      <c r="F13" s="308"/>
      <c r="G13" s="309" t="s">
        <v>22</v>
      </c>
      <c r="H13" s="318" t="s">
        <v>528</v>
      </c>
      <c r="I13" s="310"/>
      <c r="J13" s="311"/>
      <c r="K13" s="309" t="s">
        <v>22</v>
      </c>
      <c r="L13" s="347" t="s">
        <v>23</v>
      </c>
      <c r="M13" s="312"/>
      <c r="N13" s="312"/>
      <c r="O13" s="312"/>
      <c r="P13" s="350" t="s">
        <v>92</v>
      </c>
      <c r="Q13" s="312"/>
      <c r="R13" s="312"/>
      <c r="S13" s="329"/>
      <c r="T13" s="367"/>
      <c r="U13" s="352" t="s">
        <v>157</v>
      </c>
      <c r="V13" s="329"/>
      <c r="W13" s="313" t="s">
        <v>158</v>
      </c>
      <c r="X13" s="314"/>
      <c r="Y13" s="315"/>
      <c r="Z13" s="355">
        <f>AVERAGE(Z14:Z14)</f>
        <v>564.9655172413793</v>
      </c>
      <c r="AA13" s="356">
        <f>AVERAGE(AA14:AA14)</f>
        <v>0.62068965517241381</v>
      </c>
      <c r="AB13" s="966" t="s">
        <v>650</v>
      </c>
      <c r="AC13" s="957"/>
      <c r="AD13" s="316"/>
      <c r="AE13" s="17"/>
      <c r="AF13" s="227"/>
      <c r="AG13" s="1263"/>
    </row>
    <row r="14" spans="1:34" x14ac:dyDescent="0.2">
      <c r="A14" s="182" t="s">
        <v>804</v>
      </c>
      <c r="B14" s="41" t="s">
        <v>702</v>
      </c>
      <c r="C14" s="227"/>
      <c r="D14" s="227"/>
      <c r="E14" s="280" t="s">
        <v>178</v>
      </c>
      <c r="F14" s="18" t="s">
        <v>737</v>
      </c>
      <c r="G14" s="19">
        <v>83.99</v>
      </c>
      <c r="H14" s="124">
        <v>23</v>
      </c>
      <c r="I14" s="124">
        <v>360</v>
      </c>
      <c r="J14" s="18" t="s">
        <v>179</v>
      </c>
      <c r="K14" s="19">
        <v>159.02000000000001</v>
      </c>
      <c r="L14" s="323">
        <f>8*W14</f>
        <v>32768</v>
      </c>
      <c r="M14" s="65"/>
      <c r="N14" s="65">
        <f>IF(AND(G14&lt;&gt;"",L14&lt;&gt;""),L14/G14,"")</f>
        <v>390.14168353375402</v>
      </c>
      <c r="O14" s="65"/>
      <c r="P14" s="327">
        <v>32</v>
      </c>
      <c r="Q14" s="65">
        <v>4</v>
      </c>
      <c r="R14" s="65"/>
      <c r="S14" s="327">
        <v>36</v>
      </c>
      <c r="T14" s="364" t="s">
        <v>808</v>
      </c>
      <c r="U14" s="327">
        <v>58</v>
      </c>
      <c r="V14" s="327"/>
      <c r="W14" s="65">
        <v>4096</v>
      </c>
      <c r="X14" s="281"/>
      <c r="Y14" s="282"/>
      <c r="Z14" s="282">
        <f>L14/U14</f>
        <v>564.9655172413793</v>
      </c>
      <c r="AA14" s="99">
        <f>S14/U14</f>
        <v>0.62068965517241381</v>
      </c>
      <c r="AB14" s="191">
        <f>256*36*U14/1000000</f>
        <v>0.534528</v>
      </c>
      <c r="AC14" s="956"/>
      <c r="AD14" s="218"/>
      <c r="AE14" s="17" t="s">
        <v>804</v>
      </c>
      <c r="AF14" s="227" t="s">
        <v>1801</v>
      </c>
      <c r="AG14" s="1263">
        <v>50</v>
      </c>
    </row>
    <row r="15" spans="1:34" ht="19.5" customHeight="1" x14ac:dyDescent="0.2">
      <c r="A15" s="182"/>
      <c r="B15" s="283" t="s">
        <v>716</v>
      </c>
      <c r="C15" s="227"/>
      <c r="D15" s="227"/>
      <c r="E15" s="284" t="s">
        <v>514</v>
      </c>
      <c r="F15" s="42"/>
      <c r="G15" s="43" t="s">
        <v>22</v>
      </c>
      <c r="H15" s="285" t="s">
        <v>528</v>
      </c>
      <c r="I15" s="128"/>
      <c r="J15" s="288"/>
      <c r="K15" s="43" t="s">
        <v>22</v>
      </c>
      <c r="L15" s="323" t="s">
        <v>23</v>
      </c>
      <c r="M15" s="65"/>
      <c r="N15" s="65"/>
      <c r="O15" s="65"/>
      <c r="P15" s="327"/>
      <c r="Q15" s="65"/>
      <c r="R15" s="65"/>
      <c r="S15" s="327"/>
      <c r="T15" s="364"/>
      <c r="U15" s="330" t="s">
        <v>206</v>
      </c>
      <c r="V15" s="327" t="s">
        <v>66</v>
      </c>
      <c r="W15" s="75" t="s">
        <v>158</v>
      </c>
      <c r="X15" s="286"/>
      <c r="Y15" s="282"/>
      <c r="Z15" s="287">
        <f>AVERAGE(Z16:Z16)</f>
        <v>555.55555555555554</v>
      </c>
      <c r="AA15" s="271">
        <f>AVERAGE(AA16:AA16)</f>
        <v>4.4444444444444446</v>
      </c>
      <c r="AB15" s="115" t="s">
        <v>650</v>
      </c>
      <c r="AC15" s="956"/>
      <c r="AD15" s="213"/>
      <c r="AE15" s="17"/>
      <c r="AF15" s="227"/>
      <c r="AG15" s="1263"/>
    </row>
    <row r="16" spans="1:34" x14ac:dyDescent="0.2">
      <c r="A16" s="182" t="s">
        <v>26</v>
      </c>
      <c r="B16" s="41" t="s">
        <v>701</v>
      </c>
      <c r="C16" s="230" t="s">
        <v>697</v>
      </c>
      <c r="D16" s="227" t="s">
        <v>708</v>
      </c>
      <c r="E16" s="280" t="s">
        <v>515</v>
      </c>
      <c r="F16" s="18"/>
      <c r="G16" s="19">
        <v>13.2</v>
      </c>
      <c r="H16" s="124">
        <v>8</v>
      </c>
      <c r="I16" s="124">
        <v>86</v>
      </c>
      <c r="J16" s="18"/>
      <c r="K16" s="19"/>
      <c r="L16" s="323">
        <f>8*W16</f>
        <v>5000</v>
      </c>
      <c r="M16" s="65"/>
      <c r="N16" s="65">
        <f>IF(AND(G16&lt;&gt;"",L16&lt;&gt;""),L16/G16,"")</f>
        <v>378.78787878787881</v>
      </c>
      <c r="O16" s="65"/>
      <c r="P16" s="327">
        <v>12</v>
      </c>
      <c r="Q16" s="65">
        <v>2</v>
      </c>
      <c r="R16" s="65"/>
      <c r="S16" s="327">
        <v>40</v>
      </c>
      <c r="T16" s="364"/>
      <c r="U16" s="327">
        <v>9</v>
      </c>
      <c r="V16" s="327"/>
      <c r="W16" s="65">
        <v>625</v>
      </c>
      <c r="X16" s="281"/>
      <c r="Y16" s="282" t="str">
        <f>IF(AND(L16&lt;&gt;"",X16&lt;&gt;""),L16/X16,"")</f>
        <v/>
      </c>
      <c r="Z16" s="282">
        <f>L16/U16</f>
        <v>555.55555555555554</v>
      </c>
      <c r="AA16" s="99">
        <f>S16/U16</f>
        <v>4.4444444444444446</v>
      </c>
      <c r="AB16" s="191">
        <f>512*36*U16/1000000</f>
        <v>0.16588800000000001</v>
      </c>
      <c r="AC16" s="956"/>
      <c r="AD16" s="218"/>
      <c r="AE16" s="17" t="s">
        <v>1032</v>
      </c>
      <c r="AF16" s="227" t="s">
        <v>1798</v>
      </c>
      <c r="AG16" s="1265">
        <v>50</v>
      </c>
    </row>
    <row r="17" spans="1:36" ht="16.5" customHeight="1" x14ac:dyDescent="0.2">
      <c r="A17" s="183"/>
      <c r="B17" s="317" t="s">
        <v>715</v>
      </c>
      <c r="C17" s="306"/>
      <c r="D17" s="306"/>
      <c r="E17" s="307" t="s">
        <v>184</v>
      </c>
      <c r="F17" s="308"/>
      <c r="G17" s="309" t="s">
        <v>185</v>
      </c>
      <c r="H17" s="310"/>
      <c r="I17" s="310"/>
      <c r="J17" s="311"/>
      <c r="K17" s="309" t="s">
        <v>22</v>
      </c>
      <c r="L17" s="347" t="s">
        <v>23</v>
      </c>
      <c r="M17" s="312" t="s">
        <v>186</v>
      </c>
      <c r="N17" s="312"/>
      <c r="O17" s="312"/>
      <c r="P17" s="329"/>
      <c r="Q17" s="312"/>
      <c r="R17" s="312"/>
      <c r="S17" s="329"/>
      <c r="T17" s="366" t="s">
        <v>187</v>
      </c>
      <c r="U17" s="352" t="s">
        <v>52</v>
      </c>
      <c r="V17" s="329"/>
      <c r="W17" s="313" t="s">
        <v>188</v>
      </c>
      <c r="X17" s="314"/>
      <c r="Y17" s="315"/>
      <c r="Z17" s="355">
        <f>AVERAGE(Z18:Z18)</f>
        <v>336</v>
      </c>
      <c r="AA17" s="356">
        <f>AVERAGE(AA18:AA18)</f>
        <v>10.214285714285714</v>
      </c>
      <c r="AB17" s="967" t="s">
        <v>1397</v>
      </c>
      <c r="AC17" s="957"/>
      <c r="AD17" s="319">
        <f>AVERAGE(AD18:AD18)</f>
        <v>76.636904761904759</v>
      </c>
      <c r="AE17" s="17"/>
      <c r="AF17" s="227"/>
      <c r="AG17" s="1263"/>
    </row>
    <row r="18" spans="1:36" x14ac:dyDescent="0.2">
      <c r="A18" s="182" t="s">
        <v>805</v>
      </c>
      <c r="B18" s="17"/>
      <c r="C18" s="227"/>
      <c r="D18" s="227"/>
      <c r="E18" s="280" t="s">
        <v>197</v>
      </c>
      <c r="F18" s="18" t="s">
        <v>198</v>
      </c>
      <c r="G18" s="19">
        <v>26.73</v>
      </c>
      <c r="H18" s="124"/>
      <c r="I18" s="124"/>
      <c r="J18" s="18" t="s">
        <v>195</v>
      </c>
      <c r="K18" s="19">
        <v>47.465000000000003</v>
      </c>
      <c r="L18" s="323">
        <f>4*W18</f>
        <v>4704</v>
      </c>
      <c r="M18" s="65">
        <f>4.5*W18</f>
        <v>5292</v>
      </c>
      <c r="N18" s="65">
        <f>IF(AND(G18&lt;&gt;"",L18&lt;&gt;""),L18/G18,"")</f>
        <v>175.98204264870932</v>
      </c>
      <c r="O18" s="65"/>
      <c r="P18" s="327"/>
      <c r="Q18" s="65"/>
      <c r="R18" s="65"/>
      <c r="S18" s="327">
        <v>143</v>
      </c>
      <c r="T18" s="364" t="s">
        <v>809</v>
      </c>
      <c r="U18" s="327">
        <v>14</v>
      </c>
      <c r="V18" s="327"/>
      <c r="W18" s="65">
        <v>1176</v>
      </c>
      <c r="X18" s="281"/>
      <c r="Y18" s="282"/>
      <c r="Z18" s="282">
        <f>L18/U18</f>
        <v>336</v>
      </c>
      <c r="AA18" s="99">
        <f>S18/U18</f>
        <v>10.214285714285714</v>
      </c>
      <c r="AB18" s="110">
        <f>256*16*U18</f>
        <v>57344</v>
      </c>
      <c r="AC18" s="959">
        <v>1.4419999999999999</v>
      </c>
      <c r="AD18" s="198">
        <f>250000*AC18/L18</f>
        <v>76.636904761904759</v>
      </c>
      <c r="AE18" s="17" t="s">
        <v>805</v>
      </c>
      <c r="AF18" s="227" t="s">
        <v>1800</v>
      </c>
      <c r="AG18" s="1263">
        <v>50</v>
      </c>
    </row>
    <row r="19" spans="1:36" ht="16.5" customHeight="1" x14ac:dyDescent="0.2">
      <c r="A19" s="182"/>
      <c r="B19" s="317" t="s">
        <v>715</v>
      </c>
      <c r="C19" s="306"/>
      <c r="D19" s="306"/>
      <c r="E19" s="307" t="s">
        <v>205</v>
      </c>
      <c r="F19" s="308"/>
      <c r="G19" s="309" t="s">
        <v>21</v>
      </c>
      <c r="H19" s="318" t="s">
        <v>530</v>
      </c>
      <c r="I19" s="310"/>
      <c r="J19" s="311"/>
      <c r="K19" s="309" t="s">
        <v>22</v>
      </c>
      <c r="L19" s="347" t="s">
        <v>23</v>
      </c>
      <c r="M19" s="312" t="s">
        <v>186</v>
      </c>
      <c r="N19" s="312"/>
      <c r="O19" s="312"/>
      <c r="P19" s="350" t="s">
        <v>92</v>
      </c>
      <c r="Q19" s="312"/>
      <c r="R19" s="312"/>
      <c r="S19" s="329"/>
      <c r="T19" s="366" t="s">
        <v>187</v>
      </c>
      <c r="U19" s="352" t="s">
        <v>206</v>
      </c>
      <c r="V19" s="350" t="s">
        <v>587</v>
      </c>
      <c r="W19" s="313" t="s">
        <v>207</v>
      </c>
      <c r="X19" s="314" t="s">
        <v>65</v>
      </c>
      <c r="Y19" s="315"/>
      <c r="Z19" s="355">
        <f>AVERAGE(Z20:Z23)</f>
        <v>576</v>
      </c>
      <c r="AA19" s="356">
        <f>AVERAGE(AA20:AA23)</f>
        <v>4</v>
      </c>
      <c r="AB19" s="966" t="s">
        <v>650</v>
      </c>
      <c r="AC19" s="960"/>
      <c r="AD19" s="319">
        <f>AVERAGE(AD20:AD23)</f>
        <v>57.286933037665456</v>
      </c>
      <c r="AE19" s="17"/>
      <c r="AF19" s="227"/>
      <c r="AG19" s="1263"/>
    </row>
    <row r="20" spans="1:36" x14ac:dyDescent="0.2">
      <c r="A20" s="182" t="s">
        <v>805</v>
      </c>
      <c r="B20" s="17"/>
      <c r="C20" s="227"/>
      <c r="D20" s="227"/>
      <c r="E20" s="280" t="s">
        <v>213</v>
      </c>
      <c r="F20" s="18" t="s">
        <v>214</v>
      </c>
      <c r="G20" s="19">
        <v>11.22</v>
      </c>
      <c r="H20" s="124">
        <v>16</v>
      </c>
      <c r="I20" s="124">
        <v>63</v>
      </c>
      <c r="J20" s="18" t="s">
        <v>215</v>
      </c>
      <c r="K20" s="19">
        <v>32.340000000000003</v>
      </c>
      <c r="L20" s="323">
        <f>8*W20</f>
        <v>3840</v>
      </c>
      <c r="M20" s="65">
        <f>9*W20</f>
        <v>4320</v>
      </c>
      <c r="N20" s="65">
        <f>IF(AND(G20&lt;&gt;"",L20&lt;&gt;""),L20/G20,"")</f>
        <v>342.24598930481284</v>
      </c>
      <c r="O20" s="65"/>
      <c r="P20" s="327">
        <v>12</v>
      </c>
      <c r="Q20" s="65">
        <v>4</v>
      </c>
      <c r="R20" s="65"/>
      <c r="S20" s="327">
        <v>96</v>
      </c>
      <c r="T20" s="364" t="s">
        <v>810</v>
      </c>
      <c r="U20" s="327">
        <v>12</v>
      </c>
      <c r="V20" s="332"/>
      <c r="W20" s="65">
        <v>480</v>
      </c>
      <c r="X20" s="281">
        <v>4</v>
      </c>
      <c r="Y20" s="282">
        <f>IF(AND(L20&lt;&gt;"",X20&lt;&gt;""),L20/X20,"")</f>
        <v>960</v>
      </c>
      <c r="Z20" s="282">
        <f>L20/U20</f>
        <v>320</v>
      </c>
      <c r="AA20" s="99">
        <f>S20/U20</f>
        <v>8</v>
      </c>
      <c r="AB20" s="191">
        <f>512*36*U20/1000000</f>
        <v>0.22118399999999999</v>
      </c>
      <c r="AC20" s="208">
        <v>1.0469999999999999</v>
      </c>
      <c r="AD20" s="198">
        <f>250000*AC20/L20</f>
        <v>68.164062499999986</v>
      </c>
      <c r="AE20" s="17" t="s">
        <v>805</v>
      </c>
      <c r="AF20" s="227" t="s">
        <v>1802</v>
      </c>
      <c r="AG20" s="1263">
        <v>50</v>
      </c>
    </row>
    <row r="21" spans="1:36" x14ac:dyDescent="0.2">
      <c r="A21" s="182" t="s">
        <v>806</v>
      </c>
      <c r="B21" s="17"/>
      <c r="C21" s="227"/>
      <c r="D21" s="227"/>
      <c r="E21" s="280" t="s">
        <v>217</v>
      </c>
      <c r="F21" s="18" t="s">
        <v>218</v>
      </c>
      <c r="G21" s="19">
        <v>18.260000000000002</v>
      </c>
      <c r="H21" s="124">
        <v>17</v>
      </c>
      <c r="I21" s="124">
        <v>173</v>
      </c>
      <c r="J21" s="18" t="s">
        <v>219</v>
      </c>
      <c r="K21" s="19">
        <v>59.564999999999998</v>
      </c>
      <c r="L21" s="323">
        <f>8*W21</f>
        <v>7168</v>
      </c>
      <c r="M21" s="65">
        <f>9*W21</f>
        <v>8064</v>
      </c>
      <c r="N21" s="65">
        <f>IF(AND(G21&lt;&gt;"",L21&lt;&gt;""),L21/G21,"")</f>
        <v>392.552026286966</v>
      </c>
      <c r="O21" s="65"/>
      <c r="P21" s="327">
        <v>16</v>
      </c>
      <c r="Q21" s="65">
        <v>4</v>
      </c>
      <c r="R21" s="65"/>
      <c r="S21" s="327">
        <v>92</v>
      </c>
      <c r="T21" s="364" t="s">
        <v>810</v>
      </c>
      <c r="U21" s="327">
        <v>16</v>
      </c>
      <c r="V21" s="332"/>
      <c r="W21" s="65">
        <v>896</v>
      </c>
      <c r="X21" s="281">
        <v>6.5</v>
      </c>
      <c r="Y21" s="282">
        <f>IF(AND(L21&lt;&gt;"",X21&lt;&gt;""),L21/X21,"")</f>
        <v>1102.7692307692307</v>
      </c>
      <c r="Z21" s="282">
        <f>L21/U21</f>
        <v>448</v>
      </c>
      <c r="AA21" s="99">
        <f>S21/U21</f>
        <v>5.75</v>
      </c>
      <c r="AB21" s="191">
        <f>512*36*U21/1000000</f>
        <v>0.29491200000000001</v>
      </c>
      <c r="AC21" s="208">
        <v>1.6990000000000001</v>
      </c>
      <c r="AD21" s="198">
        <f>250000*AC21/L21</f>
        <v>59.256417410714285</v>
      </c>
      <c r="AE21" s="17" t="s">
        <v>806</v>
      </c>
      <c r="AF21" s="227" t="s">
        <v>1800</v>
      </c>
      <c r="AG21" s="1263">
        <v>48</v>
      </c>
    </row>
    <row r="22" spans="1:36" x14ac:dyDescent="0.2">
      <c r="A22" s="182" t="s">
        <v>804</v>
      </c>
      <c r="B22" s="17"/>
      <c r="C22" s="227"/>
      <c r="D22" s="227"/>
      <c r="E22" s="280" t="s">
        <v>538</v>
      </c>
      <c r="F22" s="18" t="s">
        <v>604</v>
      </c>
      <c r="G22" s="19">
        <v>70.8125</v>
      </c>
      <c r="H22" s="124">
        <v>23</v>
      </c>
      <c r="I22" s="124">
        <v>375</v>
      </c>
      <c r="J22" s="18"/>
      <c r="K22" s="19"/>
      <c r="L22" s="323">
        <f>8*W22</f>
        <v>22528</v>
      </c>
      <c r="M22" s="65">
        <f>9*W22</f>
        <v>25344</v>
      </c>
      <c r="N22" s="65">
        <f>IF(AND(G22&lt;&gt;"",L22&lt;&gt;""),L22/G22,"")</f>
        <v>318.13592233009706</v>
      </c>
      <c r="O22" s="65"/>
      <c r="P22" s="327">
        <v>32</v>
      </c>
      <c r="Q22" s="65">
        <v>8</v>
      </c>
      <c r="R22" s="65"/>
      <c r="S22" s="327">
        <v>36</v>
      </c>
      <c r="T22" s="364"/>
      <c r="U22" s="327">
        <v>32</v>
      </c>
      <c r="V22" s="332">
        <v>1.7301504000000001</v>
      </c>
      <c r="W22" s="65">
        <v>2816</v>
      </c>
      <c r="X22" s="281">
        <v>9</v>
      </c>
      <c r="Y22" s="282">
        <f>IF(AND(L22&lt;&gt;"",X22&lt;&gt;""),L22/X22,"")</f>
        <v>2503.1111111111113</v>
      </c>
      <c r="Z22" s="282">
        <f>L22/U22</f>
        <v>704</v>
      </c>
      <c r="AA22" s="99">
        <f>S22/U22</f>
        <v>1.125</v>
      </c>
      <c r="AB22" s="191">
        <f>512*36*U22/1000000</f>
        <v>0.58982400000000001</v>
      </c>
      <c r="AC22" s="208">
        <v>4.7549999999999999</v>
      </c>
      <c r="AD22" s="198">
        <f>250000*AC22/L22</f>
        <v>52.767666903409093</v>
      </c>
      <c r="AE22" s="17" t="s">
        <v>804</v>
      </c>
      <c r="AF22" s="227" t="s">
        <v>1801</v>
      </c>
      <c r="AG22" s="1263"/>
    </row>
    <row r="23" spans="1:36" x14ac:dyDescent="0.2">
      <c r="A23" s="182" t="s">
        <v>804</v>
      </c>
      <c r="B23" s="17"/>
      <c r="C23" s="227"/>
      <c r="D23" s="227"/>
      <c r="E23" s="280" t="s">
        <v>224</v>
      </c>
      <c r="F23" s="18" t="s">
        <v>225</v>
      </c>
      <c r="G23" s="19">
        <v>61.545000000000002</v>
      </c>
      <c r="H23" s="124">
        <v>19</v>
      </c>
      <c r="I23" s="124">
        <v>221</v>
      </c>
      <c r="J23" s="18" t="s">
        <v>226</v>
      </c>
      <c r="K23" s="19">
        <v>152.9</v>
      </c>
      <c r="L23" s="323">
        <f>8*W23</f>
        <v>26624</v>
      </c>
      <c r="M23" s="65">
        <f>9*W23</f>
        <v>29952</v>
      </c>
      <c r="N23" s="65">
        <f>IF(AND(G23&lt;&gt;"",L23&lt;&gt;""),L23/G23,"")</f>
        <v>432.59403688358111</v>
      </c>
      <c r="O23" s="65"/>
      <c r="P23" s="327">
        <v>32</v>
      </c>
      <c r="Q23" s="65">
        <v>4</v>
      </c>
      <c r="R23" s="65"/>
      <c r="S23" s="327">
        <v>36</v>
      </c>
      <c r="T23" s="364" t="s">
        <v>810</v>
      </c>
      <c r="U23" s="327">
        <v>32</v>
      </c>
      <c r="V23" s="332"/>
      <c r="W23" s="65">
        <v>3328</v>
      </c>
      <c r="X23" s="281">
        <v>18</v>
      </c>
      <c r="Y23" s="282">
        <f>IF(AND(L23&lt;&gt;"",X23&lt;&gt;""),L23/X23,"")</f>
        <v>1479.1111111111111</v>
      </c>
      <c r="Z23" s="282">
        <f>L23/U23</f>
        <v>832</v>
      </c>
      <c r="AA23" s="99">
        <f>S23/U23</f>
        <v>1.125</v>
      </c>
      <c r="AB23" s="191">
        <f>512*36*U23/1000000</f>
        <v>0.58982400000000001</v>
      </c>
      <c r="AC23" s="208">
        <v>5.2140000000000004</v>
      </c>
      <c r="AD23" s="198">
        <f>250000*AC23/L23</f>
        <v>48.95958533653846</v>
      </c>
      <c r="AE23" s="17" t="s">
        <v>804</v>
      </c>
      <c r="AF23" s="227" t="s">
        <v>1801</v>
      </c>
      <c r="AG23" s="1263"/>
    </row>
    <row r="24" spans="1:36" ht="16.5" customHeight="1" x14ac:dyDescent="0.2">
      <c r="A24" s="182"/>
      <c r="B24" s="317" t="s">
        <v>715</v>
      </c>
      <c r="C24" s="306"/>
      <c r="D24" s="306"/>
      <c r="E24" s="307" t="s">
        <v>286</v>
      </c>
      <c r="F24" s="308"/>
      <c r="G24" s="309" t="s">
        <v>21</v>
      </c>
      <c r="H24" s="320" t="s">
        <v>530</v>
      </c>
      <c r="I24" s="310"/>
      <c r="J24" s="311"/>
      <c r="K24" s="309" t="s">
        <v>22</v>
      </c>
      <c r="L24" s="347" t="s">
        <v>23</v>
      </c>
      <c r="M24" s="312" t="s">
        <v>186</v>
      </c>
      <c r="N24" s="312"/>
      <c r="O24" s="312" t="s">
        <v>260</v>
      </c>
      <c r="P24" s="350" t="s">
        <v>92</v>
      </c>
      <c r="Q24" s="312"/>
      <c r="R24" s="312"/>
      <c r="S24" s="329"/>
      <c r="T24" s="366" t="s">
        <v>187</v>
      </c>
      <c r="U24" s="352" t="s">
        <v>206</v>
      </c>
      <c r="V24" s="329"/>
      <c r="W24" s="313" t="s">
        <v>207</v>
      </c>
      <c r="X24" s="314" t="s">
        <v>288</v>
      </c>
      <c r="Y24" s="315"/>
      <c r="Z24" s="355">
        <f>AVERAGE(Z25:Z25)</f>
        <v>359.55555555555554</v>
      </c>
      <c r="AA24" s="356">
        <f>AVERAGE(AA25:AA25)</f>
        <v>8.8888888888888893</v>
      </c>
      <c r="AB24" s="966" t="s">
        <v>650</v>
      </c>
      <c r="AC24" s="957"/>
      <c r="AD24" s="319">
        <f>AVERAGE(AD25:AD25)</f>
        <v>92.707045735475901</v>
      </c>
      <c r="AE24" s="17"/>
      <c r="AF24" s="227"/>
      <c r="AG24" s="1263"/>
    </row>
    <row r="25" spans="1:36" x14ac:dyDescent="0.2">
      <c r="A25" s="182" t="s">
        <v>715</v>
      </c>
      <c r="B25" s="17" t="s">
        <v>702</v>
      </c>
      <c r="C25" s="227"/>
      <c r="D25" s="227"/>
      <c r="E25" s="280" t="s">
        <v>301</v>
      </c>
      <c r="F25" s="18" t="s">
        <v>291</v>
      </c>
      <c r="G25" s="19">
        <v>118.8</v>
      </c>
      <c r="H25" s="124">
        <v>17</v>
      </c>
      <c r="I25" s="124">
        <v>240</v>
      </c>
      <c r="J25" s="18" t="s">
        <v>292</v>
      </c>
      <c r="K25" s="19">
        <v>331.1</v>
      </c>
      <c r="L25" s="323">
        <v>12944</v>
      </c>
      <c r="M25" s="65">
        <v>14562</v>
      </c>
      <c r="N25" s="65">
        <f>IF(AND(G25&lt;&gt;"",L25&lt;&gt;""),L25/G25,"")</f>
        <v>108.95622895622895</v>
      </c>
      <c r="O25" s="65">
        <v>1</v>
      </c>
      <c r="P25" s="327">
        <v>32</v>
      </c>
      <c r="Q25" s="65">
        <v>4</v>
      </c>
      <c r="R25" s="65"/>
      <c r="S25" s="327">
        <v>64</v>
      </c>
      <c r="T25" s="364" t="s">
        <v>810</v>
      </c>
      <c r="U25" s="327">
        <v>36</v>
      </c>
      <c r="V25" s="327"/>
      <c r="W25" s="65">
        <v>1618</v>
      </c>
      <c r="X25" s="281">
        <v>29.99</v>
      </c>
      <c r="Y25" s="282">
        <v>431.61053684561523</v>
      </c>
      <c r="Z25" s="282">
        <v>359.55555555555554</v>
      </c>
      <c r="AA25" s="99">
        <v>8.8888888888888893</v>
      </c>
      <c r="AB25" s="191">
        <f>512*36*U25/1000000</f>
        <v>0.66355200000000003</v>
      </c>
      <c r="AC25" s="208">
        <v>4.8</v>
      </c>
      <c r="AD25" s="198">
        <f>250000*AC25/L25</f>
        <v>92.707045735475901</v>
      </c>
      <c r="AE25" s="17" t="s">
        <v>715</v>
      </c>
      <c r="AF25" s="230" t="s">
        <v>1805</v>
      </c>
      <c r="AG25" s="1265">
        <v>100</v>
      </c>
    </row>
    <row r="26" spans="1:36" x14ac:dyDescent="0.2">
      <c r="A26" s="182"/>
      <c r="B26" s="500" t="s">
        <v>715</v>
      </c>
      <c r="C26" s="501"/>
      <c r="D26" s="501"/>
      <c r="E26" s="502" t="s">
        <v>664</v>
      </c>
      <c r="F26" s="503"/>
      <c r="G26" s="504" t="s">
        <v>22</v>
      </c>
      <c r="H26" s="505" t="s">
        <v>531</v>
      </c>
      <c r="I26" s="506"/>
      <c r="J26" s="507"/>
      <c r="K26" s="504" t="s">
        <v>22</v>
      </c>
      <c r="L26" s="697" t="s">
        <v>665</v>
      </c>
      <c r="M26" s="684" t="s">
        <v>696</v>
      </c>
      <c r="N26" s="684"/>
      <c r="O26" s="684"/>
      <c r="P26" s="684" t="s">
        <v>92</v>
      </c>
      <c r="Q26" s="684"/>
      <c r="R26" s="684"/>
      <c r="S26" s="1255"/>
      <c r="T26" s="698" t="s">
        <v>634</v>
      </c>
      <c r="U26" s="685" t="s">
        <v>677</v>
      </c>
      <c r="V26" s="684"/>
      <c r="W26" s="699" t="s">
        <v>188</v>
      </c>
      <c r="X26" s="509" t="s">
        <v>695</v>
      </c>
      <c r="Y26" s="700"/>
      <c r="Z26" s="700">
        <f>AVERAGE(Z27:Z27)</f>
        <v>177.75</v>
      </c>
      <c r="AA26" s="701">
        <f>AVERAGE(AA27:AA27)</f>
        <v>0.5</v>
      </c>
      <c r="AB26" s="968" t="s">
        <v>650</v>
      </c>
      <c r="AC26" s="961"/>
      <c r="AD26" s="512"/>
      <c r="AE26" s="17"/>
      <c r="AF26" s="227"/>
      <c r="AG26" s="1263"/>
    </row>
    <row r="27" spans="1:36" x14ac:dyDescent="0.2">
      <c r="A27" s="494" t="s">
        <v>189</v>
      </c>
      <c r="B27" s="17"/>
      <c r="C27" s="227"/>
      <c r="D27" s="227"/>
      <c r="E27" s="289" t="s">
        <v>667</v>
      </c>
      <c r="F27" s="143"/>
      <c r="G27" s="43">
        <v>14.75</v>
      </c>
      <c r="H27" s="128">
        <v>13</v>
      </c>
      <c r="I27" s="128">
        <v>100</v>
      </c>
      <c r="J27" s="18"/>
      <c r="K27" s="43"/>
      <c r="L27" s="323">
        <f>4*W27</f>
        <v>5688</v>
      </c>
      <c r="M27" s="65">
        <f>6.4*W27</f>
        <v>9100.8000000000011</v>
      </c>
      <c r="N27" s="65">
        <f>IF(AND(G27&lt;&gt;"",L27&lt;&gt;""),L27/G27,"")</f>
        <v>385.62711864406782</v>
      </c>
      <c r="O27" s="65"/>
      <c r="P27" s="327">
        <v>16</v>
      </c>
      <c r="Q27" s="65">
        <v>2</v>
      </c>
      <c r="R27" s="65"/>
      <c r="S27" s="327">
        <v>16</v>
      </c>
      <c r="T27" s="364"/>
      <c r="U27" s="327">
        <v>32</v>
      </c>
      <c r="V27" s="327"/>
      <c r="W27" s="75">
        <v>1422</v>
      </c>
      <c r="X27" s="291"/>
      <c r="Y27" s="282" t="str">
        <f>IF(AND(L27&lt;&gt;"",X27&lt;&gt;""),L27/X27,"")</f>
        <v/>
      </c>
      <c r="Z27" s="282">
        <f>L27/U27</f>
        <v>177.75</v>
      </c>
      <c r="AA27" s="99">
        <f>S27/U27</f>
        <v>0.5</v>
      </c>
      <c r="AB27" s="191">
        <f>256*72*U27/1000000</f>
        <v>0.58982400000000001</v>
      </c>
      <c r="AC27" s="208"/>
      <c r="AD27" s="198"/>
      <c r="AE27" s="41" t="s">
        <v>189</v>
      </c>
      <c r="AF27" s="230" t="s">
        <v>1806</v>
      </c>
      <c r="AG27" s="1265" t="s">
        <v>1817</v>
      </c>
    </row>
    <row r="28" spans="1:36" x14ac:dyDescent="0.2">
      <c r="A28" s="494" t="s">
        <v>2232</v>
      </c>
      <c r="B28" s="25"/>
      <c r="C28" s="239"/>
      <c r="D28" s="239"/>
      <c r="E28" s="1315" t="s">
        <v>667</v>
      </c>
      <c r="F28" s="179"/>
      <c r="G28" s="275">
        <v>14.75</v>
      </c>
      <c r="H28" s="158">
        <v>13</v>
      </c>
      <c r="I28" s="158">
        <v>100</v>
      </c>
      <c r="J28" s="26"/>
      <c r="K28" s="275"/>
      <c r="L28" s="324">
        <f>4*W28</f>
        <v>5688</v>
      </c>
      <c r="M28" s="73">
        <f>6.4*W28</f>
        <v>9100.8000000000011</v>
      </c>
      <c r="N28" s="73">
        <f>IF(AND(G28&lt;&gt;"",L28&lt;&gt;""),L28/G28,"")</f>
        <v>385.62711864406782</v>
      </c>
      <c r="O28" s="73"/>
      <c r="P28" s="328">
        <v>16</v>
      </c>
      <c r="Q28" s="73">
        <v>2</v>
      </c>
      <c r="R28" s="73"/>
      <c r="S28" s="328">
        <v>68</v>
      </c>
      <c r="T28" s="365"/>
      <c r="U28" s="328">
        <v>32</v>
      </c>
      <c r="V28" s="328"/>
      <c r="W28" s="1317">
        <v>1422</v>
      </c>
      <c r="X28" s="1318"/>
      <c r="Y28" s="301" t="str">
        <f>IF(AND(L28&lt;&gt;"",X28&lt;&gt;""),L28/X28,"")</f>
        <v/>
      </c>
      <c r="Z28" s="301">
        <f>L28/U28</f>
        <v>177.75</v>
      </c>
      <c r="AA28" s="101">
        <f>S28/U28</f>
        <v>2.125</v>
      </c>
      <c r="AB28" s="478">
        <f>256*72*U28/1000000</f>
        <v>0.58982400000000001</v>
      </c>
      <c r="AC28" s="528"/>
      <c r="AD28" s="220"/>
      <c r="AE28" s="157" t="s">
        <v>2225</v>
      </c>
      <c r="AF28" s="303" t="s">
        <v>2231</v>
      </c>
      <c r="AG28" s="1730">
        <v>50</v>
      </c>
      <c r="AH28" s="493" t="s">
        <v>2224</v>
      </c>
      <c r="AI28" s="1383" t="s">
        <v>2230</v>
      </c>
      <c r="AJ28" s="1383" t="s">
        <v>2233</v>
      </c>
    </row>
    <row r="29" spans="1:36" x14ac:dyDescent="0.2">
      <c r="A29" s="182"/>
      <c r="B29" s="500" t="s">
        <v>715</v>
      </c>
      <c r="C29" s="501"/>
      <c r="D29" s="501"/>
      <c r="E29" s="502" t="s">
        <v>1785</v>
      </c>
      <c r="F29" s="682" t="s">
        <v>1018</v>
      </c>
      <c r="G29" s="504" t="s">
        <v>22</v>
      </c>
      <c r="H29" s="505" t="s">
        <v>531</v>
      </c>
      <c r="I29" s="506"/>
      <c r="J29" s="507"/>
      <c r="K29" s="504" t="s">
        <v>22</v>
      </c>
      <c r="L29" s="683" t="s">
        <v>665</v>
      </c>
      <c r="M29" s="499" t="s">
        <v>696</v>
      </c>
      <c r="N29" s="511"/>
      <c r="O29" s="700"/>
      <c r="P29" s="499" t="s">
        <v>432</v>
      </c>
      <c r="Q29" s="684" t="s">
        <v>1341</v>
      </c>
      <c r="R29" s="499" t="s">
        <v>965</v>
      </c>
      <c r="S29" s="499"/>
      <c r="T29" s="499" t="s">
        <v>963</v>
      </c>
      <c r="U29" s="1737" t="s">
        <v>433</v>
      </c>
      <c r="V29" s="684" t="s">
        <v>1167</v>
      </c>
      <c r="W29" s="508" t="s">
        <v>207</v>
      </c>
      <c r="X29" s="509" t="s">
        <v>695</v>
      </c>
      <c r="Y29" s="510"/>
      <c r="Z29" s="511"/>
      <c r="AA29" s="511"/>
      <c r="AB29" s="1738"/>
      <c r="AC29" s="508" t="s">
        <v>650</v>
      </c>
      <c r="AD29" s="1746"/>
      <c r="AE29" s="1748"/>
      <c r="AF29" s="501"/>
      <c r="AG29" s="1847"/>
    </row>
    <row r="30" spans="1:36" ht="15.75" x14ac:dyDescent="0.25">
      <c r="A30" s="494" t="s">
        <v>2520</v>
      </c>
      <c r="B30" s="1739" t="s">
        <v>702</v>
      </c>
      <c r="C30" s="687" t="s">
        <v>697</v>
      </c>
      <c r="D30" s="687"/>
      <c r="E30" s="688" t="s">
        <v>1789</v>
      </c>
      <c r="F30" s="689" t="s">
        <v>1934</v>
      </c>
      <c r="G30" s="1740">
        <v>41.25</v>
      </c>
      <c r="H30" s="690">
        <v>15</v>
      </c>
      <c r="I30" s="690">
        <v>210</v>
      </c>
      <c r="J30" s="1741" t="s">
        <v>2519</v>
      </c>
      <c r="K30" s="1559">
        <v>69</v>
      </c>
      <c r="L30" s="691">
        <f>8*W30/1000</f>
        <v>32.603999999999999</v>
      </c>
      <c r="M30" s="692">
        <f>12.8*W30/1000</f>
        <v>52.166400000000003</v>
      </c>
      <c r="N30" s="1742">
        <f>IF(AND(G30&lt;&gt;"",M30&lt;&gt;""),1000*M30/G30,"")</f>
        <v>1264.6400000000001</v>
      </c>
      <c r="O30" s="693"/>
      <c r="P30" s="693">
        <v>120</v>
      </c>
      <c r="Q30" s="693">
        <v>5</v>
      </c>
      <c r="R30" s="693"/>
      <c r="S30" s="693">
        <v>250</v>
      </c>
      <c r="T30" s="693">
        <v>1</v>
      </c>
      <c r="U30" s="693">
        <v>75</v>
      </c>
      <c r="V30" s="693">
        <v>1</v>
      </c>
      <c r="W30" s="694">
        <v>4075.5</v>
      </c>
      <c r="X30" s="1743"/>
      <c r="Y30" s="695"/>
      <c r="Z30" s="695">
        <f>1000*M30/P30</f>
        <v>434.72</v>
      </c>
      <c r="AA30" s="1744">
        <f>S30/U30</f>
        <v>3.3333333333333335</v>
      </c>
      <c r="AB30" s="1562">
        <f>512*72*U30/1000000</f>
        <v>2.7648000000000001</v>
      </c>
      <c r="AC30" s="1745">
        <f>512*72*U30/1000000</f>
        <v>2.7648000000000001</v>
      </c>
      <c r="AD30" s="1747" t="s">
        <v>2544</v>
      </c>
      <c r="AE30" s="1749" t="s">
        <v>2544</v>
      </c>
      <c r="AF30" s="227"/>
      <c r="AG30" s="1265">
        <v>100</v>
      </c>
    </row>
    <row r="31" spans="1:36" x14ac:dyDescent="0.2">
      <c r="A31" s="494"/>
      <c r="B31" s="448" t="s">
        <v>715</v>
      </c>
      <c r="C31" s="296"/>
      <c r="D31" s="296"/>
      <c r="E31" s="1731" t="s">
        <v>960</v>
      </c>
      <c r="F31" s="304" t="s">
        <v>1018</v>
      </c>
      <c r="G31" s="38" t="s">
        <v>22</v>
      </c>
      <c r="H31" s="1732" t="s">
        <v>531</v>
      </c>
      <c r="I31" s="129"/>
      <c r="J31" s="30"/>
      <c r="K31" s="38" t="s">
        <v>22</v>
      </c>
      <c r="L31" s="1218" t="s">
        <v>665</v>
      </c>
      <c r="M31" s="71" t="s">
        <v>696</v>
      </c>
      <c r="N31" s="305">
        <f>AVERAGE(N33:O39)</f>
        <v>218.15354582740494</v>
      </c>
      <c r="O31" s="1004"/>
      <c r="P31" s="71" t="s">
        <v>432</v>
      </c>
      <c r="Q31" s="71" t="s">
        <v>976</v>
      </c>
      <c r="R31" s="71"/>
      <c r="S31" s="326"/>
      <c r="T31" s="1004" t="s">
        <v>964</v>
      </c>
      <c r="U31" s="1733" t="s">
        <v>433</v>
      </c>
      <c r="V31" s="1734" t="s">
        <v>1075</v>
      </c>
      <c r="W31" s="1152" t="s">
        <v>207</v>
      </c>
      <c r="X31" s="1735" t="s">
        <v>695</v>
      </c>
      <c r="Y31" s="299"/>
      <c r="Z31" s="305"/>
      <c r="AA31" s="305"/>
      <c r="AB31" s="117" t="s">
        <v>650</v>
      </c>
      <c r="AC31" s="443"/>
      <c r="AD31" s="1249"/>
      <c r="AE31" s="36"/>
      <c r="AF31" s="296"/>
      <c r="AG31" s="1736"/>
    </row>
    <row r="32" spans="1:36" x14ac:dyDescent="0.2">
      <c r="A32" s="494" t="s">
        <v>805</v>
      </c>
      <c r="B32" s="29"/>
      <c r="C32" s="296"/>
      <c r="D32" s="296"/>
      <c r="E32" s="1247" t="s">
        <v>1598</v>
      </c>
      <c r="F32" s="440"/>
      <c r="G32" s="38"/>
      <c r="H32" s="129"/>
      <c r="I32" s="129"/>
      <c r="J32" s="30"/>
      <c r="K32" s="38"/>
      <c r="L32" s="691">
        <f>8*W32/1000</f>
        <v>20.8</v>
      </c>
      <c r="M32" s="692">
        <f>12.8*W32/1000</f>
        <v>33.28</v>
      </c>
      <c r="N32" s="71"/>
      <c r="O32" s="71"/>
      <c r="P32" s="326">
        <v>45</v>
      </c>
      <c r="Q32" s="71"/>
      <c r="R32" s="71"/>
      <c r="S32" s="326">
        <v>54</v>
      </c>
      <c r="T32" s="363"/>
      <c r="U32" s="326">
        <v>25</v>
      </c>
      <c r="V32" s="326"/>
      <c r="W32" s="77">
        <v>2600</v>
      </c>
      <c r="X32" s="1248"/>
      <c r="Y32" s="299"/>
      <c r="Z32" s="695">
        <f>1000*M32/P32</f>
        <v>739.55555555555554</v>
      </c>
      <c r="AA32" s="102"/>
      <c r="AB32" s="194">
        <f>512*72*U32/1000000</f>
        <v>0.92159999999999997</v>
      </c>
      <c r="AC32" s="443"/>
      <c r="AD32" s="1249"/>
      <c r="AE32" s="41" t="s">
        <v>805</v>
      </c>
      <c r="AF32" s="230" t="s">
        <v>1807</v>
      </c>
      <c r="AG32" s="1265" t="s">
        <v>1814</v>
      </c>
    </row>
    <row r="33" spans="1:33" x14ac:dyDescent="0.2">
      <c r="A33" s="182"/>
      <c r="B33" s="500" t="s">
        <v>715</v>
      </c>
      <c r="C33" s="501"/>
      <c r="D33" s="501"/>
      <c r="E33" s="502" t="s">
        <v>1073</v>
      </c>
      <c r="F33" s="682" t="s">
        <v>1018</v>
      </c>
      <c r="G33" s="504" t="s">
        <v>22</v>
      </c>
      <c r="H33" s="505" t="s">
        <v>531</v>
      </c>
      <c r="I33" s="506"/>
      <c r="J33" s="507"/>
      <c r="K33" s="504" t="s">
        <v>22</v>
      </c>
      <c r="L33" s="683" t="s">
        <v>665</v>
      </c>
      <c r="M33" s="499" t="s">
        <v>696</v>
      </c>
      <c r="N33" s="511">
        <f>AVERAGE(N38:O41)</f>
        <v>194.85393409336905</v>
      </c>
      <c r="O33" s="684" t="s">
        <v>1074</v>
      </c>
      <c r="P33" s="499" t="s">
        <v>432</v>
      </c>
      <c r="Q33" s="499" t="s">
        <v>976</v>
      </c>
      <c r="R33" s="499"/>
      <c r="S33" s="1255"/>
      <c r="T33" s="684" t="s">
        <v>964</v>
      </c>
      <c r="U33" s="685" t="s">
        <v>433</v>
      </c>
      <c r="V33" s="686" t="s">
        <v>1075</v>
      </c>
      <c r="W33" s="508" t="s">
        <v>188</v>
      </c>
      <c r="X33" s="509" t="s">
        <v>695</v>
      </c>
      <c r="Y33" s="510"/>
      <c r="Z33" s="511"/>
      <c r="AA33" s="511"/>
      <c r="AB33" s="969" t="s">
        <v>650</v>
      </c>
      <c r="AC33" s="962"/>
      <c r="AD33" s="512"/>
      <c r="AE33" s="17"/>
      <c r="AF33" s="227"/>
      <c r="AG33" s="1263"/>
    </row>
    <row r="34" spans="1:33" ht="13.5" thickBot="1" x14ac:dyDescent="0.25">
      <c r="A34" s="188" t="s">
        <v>189</v>
      </c>
      <c r="B34" s="25" t="s">
        <v>702</v>
      </c>
      <c r="C34" s="239"/>
      <c r="D34" s="239"/>
      <c r="E34" s="1315" t="s">
        <v>1176</v>
      </c>
      <c r="F34" s="179" t="s">
        <v>1175</v>
      </c>
      <c r="G34" s="275">
        <v>148.65</v>
      </c>
      <c r="H34" s="158">
        <v>15</v>
      </c>
      <c r="I34" s="158">
        <v>80</v>
      </c>
      <c r="J34" s="26"/>
      <c r="K34" s="275"/>
      <c r="L34" s="1316">
        <f>4*W34/1000</f>
        <v>53.2</v>
      </c>
      <c r="M34" s="474">
        <f>6.4*W34/1000</f>
        <v>85.12</v>
      </c>
      <c r="N34" s="73">
        <f>IF(AND(G34&lt;&gt;"",M34&lt;&gt;""),1000*M34/G34,"")</f>
        <v>572.62024890682812</v>
      </c>
      <c r="O34" s="73">
        <v>2</v>
      </c>
      <c r="P34" s="73">
        <v>220</v>
      </c>
      <c r="Q34" s="73">
        <v>14</v>
      </c>
      <c r="R34" s="73"/>
      <c r="S34" s="328">
        <v>114</v>
      </c>
      <c r="T34" s="73"/>
      <c r="U34" s="73">
        <v>140</v>
      </c>
      <c r="V34" s="73">
        <v>768</v>
      </c>
      <c r="W34" s="1317">
        <v>13300</v>
      </c>
      <c r="X34" s="1318"/>
      <c r="Y34" s="301" t="str">
        <f>IF(AND(L34&lt;&gt;"",X34&lt;&gt;""),1000*L34/X34,"")</f>
        <v/>
      </c>
      <c r="Z34" s="301">
        <f>1000*M34/P34</f>
        <v>386.90909090909093</v>
      </c>
      <c r="AA34" s="101">
        <f>S34/U34</f>
        <v>0.81428571428571428</v>
      </c>
      <c r="AB34" s="1319">
        <v>5.1609600000000002</v>
      </c>
      <c r="AC34" s="963"/>
      <c r="AD34" s="696"/>
      <c r="AE34" s="41" t="s">
        <v>189</v>
      </c>
      <c r="AF34" s="230" t="s">
        <v>1804</v>
      </c>
      <c r="AG34" s="1265" t="s">
        <v>1815</v>
      </c>
    </row>
    <row r="35" spans="1:33" x14ac:dyDescent="0.2">
      <c r="A35" s="182"/>
      <c r="B35" s="500" t="s">
        <v>715</v>
      </c>
      <c r="C35" s="501"/>
      <c r="D35" s="501"/>
      <c r="E35" s="502" t="s">
        <v>1629</v>
      </c>
      <c r="F35" s="682" t="s">
        <v>1630</v>
      </c>
      <c r="G35" s="504" t="s">
        <v>22</v>
      </c>
      <c r="H35" s="505" t="s">
        <v>1878</v>
      </c>
      <c r="I35" s="1320" t="s">
        <v>1879</v>
      </c>
      <c r="J35" s="507"/>
      <c r="K35" s="504" t="s">
        <v>22</v>
      </c>
      <c r="L35" s="683" t="s">
        <v>665</v>
      </c>
      <c r="M35" s="499" t="s">
        <v>1704</v>
      </c>
      <c r="N35" s="511">
        <f>AVERAGE(N36:N47)</f>
        <v>380.43173890193901</v>
      </c>
      <c r="O35" s="684" t="s">
        <v>1631</v>
      </c>
      <c r="P35" s="684" t="s">
        <v>2323</v>
      </c>
      <c r="Q35" s="684" t="s">
        <v>1341</v>
      </c>
      <c r="R35" s="499"/>
      <c r="S35" s="499"/>
      <c r="T35" s="684" t="s">
        <v>1637</v>
      </c>
      <c r="U35" s="685" t="s">
        <v>433</v>
      </c>
      <c r="V35" s="686" t="s">
        <v>1638</v>
      </c>
      <c r="W35" s="508" t="s">
        <v>207</v>
      </c>
      <c r="X35" s="509" t="s">
        <v>695</v>
      </c>
      <c r="Y35" s="510"/>
      <c r="Z35" s="511"/>
      <c r="AA35" s="511"/>
      <c r="AB35" s="1321"/>
      <c r="AC35" s="1314" t="s">
        <v>650</v>
      </c>
      <c r="AD35" s="1322"/>
      <c r="AE35" s="197"/>
      <c r="AF35" s="1564" t="s">
        <v>1756</v>
      </c>
      <c r="AG35" s="1263"/>
    </row>
    <row r="36" spans="1:33" s="751" customFormat="1" x14ac:dyDescent="0.2">
      <c r="A36" s="749" t="s">
        <v>189</v>
      </c>
      <c r="B36" s="573" t="s">
        <v>702</v>
      </c>
      <c r="C36" s="574"/>
      <c r="D36" s="574" t="s">
        <v>704</v>
      </c>
      <c r="E36" s="1600" t="s">
        <v>1822</v>
      </c>
      <c r="F36" s="595" t="s">
        <v>1832</v>
      </c>
      <c r="G36" s="596">
        <v>334.16500000000002</v>
      </c>
      <c r="H36" s="578">
        <v>19</v>
      </c>
      <c r="I36" s="578">
        <v>245</v>
      </c>
      <c r="J36" s="790"/>
      <c r="K36" s="596"/>
      <c r="L36" s="1601">
        <f>8*W36/1000</f>
        <v>70.56</v>
      </c>
      <c r="M36" s="583">
        <f>17.5*W36/1000</f>
        <v>154.35</v>
      </c>
      <c r="N36" s="564">
        <f>IF(AND(G36&lt;&gt;"",M36&lt;&gt;""),1000*M36/G36,"")</f>
        <v>461.89756557389313</v>
      </c>
      <c r="O36" s="564">
        <v>6</v>
      </c>
      <c r="P36" s="564">
        <v>360</v>
      </c>
      <c r="Q36" s="564">
        <v>3</v>
      </c>
      <c r="R36" s="564">
        <v>0</v>
      </c>
      <c r="S36" s="564">
        <v>462</v>
      </c>
      <c r="T36" s="564"/>
      <c r="U36" s="564">
        <v>216</v>
      </c>
      <c r="V36" s="564"/>
      <c r="W36" s="835">
        <v>8820</v>
      </c>
      <c r="X36" s="1602"/>
      <c r="Y36" s="822"/>
      <c r="Z36" s="822">
        <f>1000*M36/P36</f>
        <v>428.75</v>
      </c>
      <c r="AA36" s="822"/>
      <c r="AB36" s="1603">
        <v>7.9626239999999999</v>
      </c>
      <c r="AC36" s="1604">
        <f>(512*72*U36+4096*72*V36)/1000000</f>
        <v>7.9626239999999999</v>
      </c>
      <c r="AD36" s="603"/>
      <c r="AE36" s="1089" t="s">
        <v>189</v>
      </c>
      <c r="AF36" s="1605" t="s">
        <v>2221</v>
      </c>
      <c r="AG36" s="1848"/>
    </row>
    <row r="37" spans="1:33" x14ac:dyDescent="0.2">
      <c r="A37" s="188"/>
      <c r="B37" s="1323" t="s">
        <v>702</v>
      </c>
      <c r="C37" s="687"/>
      <c r="D37" s="1324" t="s">
        <v>704</v>
      </c>
      <c r="E37" s="688" t="s">
        <v>1824</v>
      </c>
      <c r="F37" s="689" t="s">
        <v>1882</v>
      </c>
      <c r="G37" s="1557">
        <v>1235</v>
      </c>
      <c r="H37" s="690">
        <v>23</v>
      </c>
      <c r="I37" s="690">
        <v>414</v>
      </c>
      <c r="J37" s="1558" t="s">
        <v>2373</v>
      </c>
      <c r="K37" s="1559">
        <v>199</v>
      </c>
      <c r="L37" s="691">
        <f>8*W37/1000</f>
        <v>117.12</v>
      </c>
      <c r="M37" s="692">
        <f>17.5*W37/1000</f>
        <v>256.2</v>
      </c>
      <c r="N37" s="693">
        <f>IF(AND(G37&lt;&gt;"",M37&lt;&gt;""),1000*M37/G37,"")</f>
        <v>207.4493927125506</v>
      </c>
      <c r="O37" s="693">
        <v>6</v>
      </c>
      <c r="P37" s="695">
        <v>1248</v>
      </c>
      <c r="Q37" s="693">
        <v>4</v>
      </c>
      <c r="R37" s="693">
        <v>16</v>
      </c>
      <c r="S37" s="693">
        <v>462</v>
      </c>
      <c r="T37" s="1560">
        <v>2</v>
      </c>
      <c r="U37" s="693">
        <v>144</v>
      </c>
      <c r="V37" s="693">
        <v>64</v>
      </c>
      <c r="W37" s="694">
        <v>14640</v>
      </c>
      <c r="X37" s="695"/>
      <c r="Y37" s="695"/>
      <c r="Z37" s="695"/>
      <c r="AA37" s="1561">
        <f>R37/T37</f>
        <v>8</v>
      </c>
      <c r="AB37" s="1562">
        <v>24.182784000000002</v>
      </c>
      <c r="AC37" s="1563"/>
      <c r="AD37" s="479"/>
      <c r="AE37" s="1565" t="s">
        <v>715</v>
      </c>
      <c r="AF37" s="230" t="s">
        <v>2389</v>
      </c>
      <c r="AG37" s="1263"/>
    </row>
    <row r="38" spans="1:33" x14ac:dyDescent="0.2">
      <c r="A38" s="188"/>
      <c r="B38" s="317" t="s">
        <v>362</v>
      </c>
      <c r="C38" s="306"/>
      <c r="D38" s="306"/>
      <c r="E38" s="357" t="s">
        <v>455</v>
      </c>
      <c r="F38" s="311"/>
      <c r="G38" s="358" t="s">
        <v>456</v>
      </c>
      <c r="H38" s="359" t="s">
        <v>533</v>
      </c>
      <c r="I38" s="359"/>
      <c r="J38" s="311"/>
      <c r="K38" s="358"/>
      <c r="L38" s="347" t="s">
        <v>305</v>
      </c>
      <c r="M38" s="312"/>
      <c r="N38" s="312"/>
      <c r="O38" s="312"/>
      <c r="P38" s="329"/>
      <c r="Q38" s="312"/>
      <c r="R38" s="312"/>
      <c r="S38" s="329"/>
      <c r="T38" s="367"/>
      <c r="U38" s="350" t="s">
        <v>306</v>
      </c>
      <c r="V38" s="329"/>
      <c r="W38" s="312"/>
      <c r="X38" s="360"/>
      <c r="Y38" s="315"/>
      <c r="Z38" s="315"/>
      <c r="AA38" s="361"/>
      <c r="AB38" s="970"/>
      <c r="AC38" s="957"/>
      <c r="AD38" s="316"/>
      <c r="AE38" s="17"/>
      <c r="AF38" s="227"/>
      <c r="AG38" s="1263"/>
    </row>
    <row r="39" spans="1:33" x14ac:dyDescent="0.2">
      <c r="A39" s="182" t="s">
        <v>362</v>
      </c>
      <c r="B39" s="17"/>
      <c r="C39" s="227"/>
      <c r="D39" s="227" t="s">
        <v>704</v>
      </c>
      <c r="E39" s="280" t="s">
        <v>774</v>
      </c>
      <c r="F39" s="18" t="s">
        <v>573</v>
      </c>
      <c r="G39" s="19">
        <v>62</v>
      </c>
      <c r="H39" s="124">
        <v>13</v>
      </c>
      <c r="I39" s="124">
        <v>100</v>
      </c>
      <c r="J39" s="18" t="s">
        <v>457</v>
      </c>
      <c r="K39" s="19">
        <v>128.69999999999999</v>
      </c>
      <c r="L39" s="323">
        <v>8192</v>
      </c>
      <c r="M39" s="65"/>
      <c r="N39" s="65">
        <f>IF(AND(G39&lt;&gt;"",L39&lt;&gt;""),L39/G39,"")</f>
        <v>132.12903225806451</v>
      </c>
      <c r="O39" s="65"/>
      <c r="P39" s="327"/>
      <c r="Q39" s="65">
        <v>2</v>
      </c>
      <c r="R39" s="65"/>
      <c r="S39" s="327"/>
      <c r="T39" s="364"/>
      <c r="U39" s="327">
        <v>32</v>
      </c>
      <c r="V39" s="327"/>
      <c r="W39" s="65"/>
      <c r="X39" s="281"/>
      <c r="Y39" s="282"/>
      <c r="Z39" s="282">
        <f>L39/U39</f>
        <v>256</v>
      </c>
      <c r="AA39" s="99">
        <f>S39/U39</f>
        <v>0</v>
      </c>
      <c r="AB39" s="110">
        <f>9*256*U39</f>
        <v>73728</v>
      </c>
      <c r="AC39" s="956"/>
      <c r="AD39" s="213"/>
      <c r="AE39" s="17" t="s">
        <v>362</v>
      </c>
      <c r="AF39" s="227"/>
      <c r="AG39" s="1263"/>
    </row>
    <row r="40" spans="1:33" ht="16.5" customHeight="1" x14ac:dyDescent="0.2">
      <c r="A40" s="182"/>
      <c r="B40" s="321" t="s">
        <v>362</v>
      </c>
      <c r="C40" s="306"/>
      <c r="D40" s="306"/>
      <c r="E40" s="307" t="s">
        <v>311</v>
      </c>
      <c r="F40" s="311"/>
      <c r="G40" s="309" t="s">
        <v>798</v>
      </c>
      <c r="H40" s="318" t="s">
        <v>532</v>
      </c>
      <c r="I40" s="310"/>
      <c r="J40" s="311"/>
      <c r="K40" s="309"/>
      <c r="L40" s="347" t="s">
        <v>305</v>
      </c>
      <c r="M40" s="312"/>
      <c r="N40" s="312"/>
      <c r="O40" s="312" t="s">
        <v>502</v>
      </c>
      <c r="P40" s="329"/>
      <c r="Q40" s="312"/>
      <c r="R40" s="312"/>
      <c r="S40" s="329"/>
      <c r="T40" s="367"/>
      <c r="U40" s="352" t="s">
        <v>182</v>
      </c>
      <c r="V40" s="350" t="s">
        <v>797</v>
      </c>
      <c r="W40" s="313"/>
      <c r="X40" s="314"/>
      <c r="Y40" s="315"/>
      <c r="Z40" s="355"/>
      <c r="AA40" s="356"/>
      <c r="AB40" s="966" t="s">
        <v>650</v>
      </c>
      <c r="AC40" s="957"/>
      <c r="AD40" s="316"/>
      <c r="AE40" s="17"/>
      <c r="AF40" s="227"/>
      <c r="AG40" s="1263"/>
    </row>
    <row r="41" spans="1:33" x14ac:dyDescent="0.2">
      <c r="A41" s="182" t="s">
        <v>362</v>
      </c>
      <c r="B41" s="17" t="s">
        <v>711</v>
      </c>
      <c r="C41" s="227"/>
      <c r="D41" s="230" t="s">
        <v>704</v>
      </c>
      <c r="E41" s="280" t="s">
        <v>1672</v>
      </c>
      <c r="F41" s="18" t="s">
        <v>569</v>
      </c>
      <c r="G41" s="19">
        <v>54.44</v>
      </c>
      <c r="H41" s="124">
        <v>13</v>
      </c>
      <c r="I41" s="124">
        <v>97</v>
      </c>
      <c r="J41" s="18" t="s">
        <v>464</v>
      </c>
      <c r="K41" s="19">
        <v>226.55</v>
      </c>
      <c r="L41" s="323">
        <v>24576</v>
      </c>
      <c r="M41" s="65"/>
      <c r="N41" s="65">
        <f>IF(AND(G41&lt;&gt;"",L41&lt;&gt;""),L41/G41,"")</f>
        <v>451.43277002204263</v>
      </c>
      <c r="O41" s="135">
        <v>1</v>
      </c>
      <c r="P41" s="327"/>
      <c r="Q41" s="65">
        <v>1</v>
      </c>
      <c r="R41" s="65"/>
      <c r="S41" s="327">
        <v>36</v>
      </c>
      <c r="T41" s="364"/>
      <c r="U41" s="327">
        <v>32</v>
      </c>
      <c r="V41" s="327">
        <v>1</v>
      </c>
      <c r="W41" s="65"/>
      <c r="X41" s="281"/>
      <c r="Y41" s="282"/>
      <c r="Z41" s="282">
        <f>L41/U41</f>
        <v>768</v>
      </c>
      <c r="AA41" s="99">
        <f>S41/U41</f>
        <v>1.125</v>
      </c>
      <c r="AB41" s="191">
        <f>256*18*U41/1000000</f>
        <v>0.147456</v>
      </c>
      <c r="AC41" s="956"/>
      <c r="AD41" s="213"/>
      <c r="AE41" s="17" t="s">
        <v>362</v>
      </c>
      <c r="AF41" s="230" t="s">
        <v>1810</v>
      </c>
      <c r="AG41" s="1265">
        <v>48</v>
      </c>
    </row>
    <row r="42" spans="1:33" ht="16.5" customHeight="1" x14ac:dyDescent="0.2">
      <c r="A42" s="182"/>
      <c r="B42" s="321" t="s">
        <v>362</v>
      </c>
      <c r="C42" s="306"/>
      <c r="D42" s="306"/>
      <c r="E42" s="307" t="s">
        <v>539</v>
      </c>
      <c r="F42" s="311"/>
      <c r="G42" s="309" t="s">
        <v>798</v>
      </c>
      <c r="H42" s="320" t="s">
        <v>530</v>
      </c>
      <c r="I42" s="310"/>
      <c r="J42" s="311"/>
      <c r="K42" s="309"/>
      <c r="L42" s="347" t="s">
        <v>305</v>
      </c>
      <c r="M42" s="312"/>
      <c r="N42" s="312"/>
      <c r="O42" s="312" t="s">
        <v>502</v>
      </c>
      <c r="P42" s="329"/>
      <c r="Q42" s="312"/>
      <c r="R42" s="312"/>
      <c r="S42" s="329"/>
      <c r="T42" s="367"/>
      <c r="U42" s="352" t="s">
        <v>182</v>
      </c>
      <c r="V42" s="350" t="s">
        <v>797</v>
      </c>
      <c r="W42" s="313"/>
      <c r="X42" s="314"/>
      <c r="Y42" s="315"/>
      <c r="Z42" s="355"/>
      <c r="AA42" s="356"/>
      <c r="AB42" s="966" t="s">
        <v>650</v>
      </c>
      <c r="AC42" s="957"/>
      <c r="AD42" s="316"/>
      <c r="AE42" s="17"/>
      <c r="AF42" s="227"/>
      <c r="AG42" s="1263"/>
    </row>
    <row r="43" spans="1:33" x14ac:dyDescent="0.2">
      <c r="A43" s="182" t="s">
        <v>362</v>
      </c>
      <c r="B43" s="17" t="s">
        <v>711</v>
      </c>
      <c r="C43" s="227"/>
      <c r="D43" s="227"/>
      <c r="E43" s="280" t="s">
        <v>518</v>
      </c>
      <c r="F43" s="18" t="s">
        <v>784</v>
      </c>
      <c r="G43" s="19">
        <v>11.57</v>
      </c>
      <c r="H43" s="124">
        <v>5</v>
      </c>
      <c r="I43" s="124">
        <v>66</v>
      </c>
      <c r="J43" s="18"/>
      <c r="K43" s="19"/>
      <c r="L43" s="323">
        <v>3072</v>
      </c>
      <c r="M43" s="65"/>
      <c r="N43" s="65">
        <f>IF(AND(G43&lt;&gt;"",L43&lt;&gt;""),L43/G43,"")</f>
        <v>265.51426101987897</v>
      </c>
      <c r="O43" s="65"/>
      <c r="P43" s="327"/>
      <c r="Q43" s="65">
        <v>1</v>
      </c>
      <c r="R43" s="65"/>
      <c r="S43" s="327">
        <v>34</v>
      </c>
      <c r="T43" s="364"/>
      <c r="U43" s="327">
        <v>8</v>
      </c>
      <c r="V43" s="327">
        <v>1</v>
      </c>
      <c r="W43" s="65"/>
      <c r="X43" s="281"/>
      <c r="Y43" s="282"/>
      <c r="Z43" s="282">
        <f>L43/U43</f>
        <v>384</v>
      </c>
      <c r="AA43" s="99">
        <f>S43/U43</f>
        <v>4.25</v>
      </c>
      <c r="AB43" s="191">
        <f>256*18*U43/1000000</f>
        <v>3.6864000000000001E-2</v>
      </c>
      <c r="AC43" s="956"/>
      <c r="AD43" s="213"/>
      <c r="AE43" s="17" t="s">
        <v>362</v>
      </c>
      <c r="AF43" s="230" t="s">
        <v>1800</v>
      </c>
      <c r="AG43" s="1264" t="s">
        <v>1809</v>
      </c>
    </row>
    <row r="44" spans="1:33" ht="16.5" customHeight="1" x14ac:dyDescent="0.2">
      <c r="A44" s="182"/>
      <c r="B44" s="321" t="s">
        <v>362</v>
      </c>
      <c r="C44" s="306"/>
      <c r="D44" s="306"/>
      <c r="E44" s="307" t="s">
        <v>1443</v>
      </c>
      <c r="F44" s="311"/>
      <c r="G44" s="309" t="s">
        <v>798</v>
      </c>
      <c r="H44" s="320" t="s">
        <v>530</v>
      </c>
      <c r="I44" s="310"/>
      <c r="J44" s="311"/>
      <c r="K44" s="309"/>
      <c r="L44" s="347" t="s">
        <v>23</v>
      </c>
      <c r="M44" s="312"/>
      <c r="N44" s="312"/>
      <c r="O44" s="312"/>
      <c r="P44" s="329" t="s">
        <v>92</v>
      </c>
      <c r="Q44" s="312"/>
      <c r="R44" s="312"/>
      <c r="S44" s="329"/>
      <c r="T44" s="367"/>
      <c r="U44" s="1075" t="s">
        <v>206</v>
      </c>
      <c r="V44" s="350" t="s">
        <v>797</v>
      </c>
      <c r="W44" s="313" t="s">
        <v>1329</v>
      </c>
      <c r="X44" s="314"/>
      <c r="Y44" s="315"/>
      <c r="Z44" s="355"/>
      <c r="AA44" s="356"/>
      <c r="AB44" s="966" t="s">
        <v>650</v>
      </c>
      <c r="AC44" s="957"/>
      <c r="AD44" s="316"/>
      <c r="AE44" s="17"/>
      <c r="AF44" s="227"/>
      <c r="AG44" s="1263"/>
    </row>
    <row r="45" spans="1:33" x14ac:dyDescent="0.2">
      <c r="A45" s="182" t="s">
        <v>362</v>
      </c>
      <c r="B45" s="17" t="s">
        <v>711</v>
      </c>
      <c r="C45" s="227"/>
      <c r="D45" s="227"/>
      <c r="E45" s="280" t="s">
        <v>1445</v>
      </c>
      <c r="F45" s="18" t="s">
        <v>784</v>
      </c>
      <c r="G45" s="19">
        <v>11.57</v>
      </c>
      <c r="H45" s="124">
        <v>5</v>
      </c>
      <c r="I45" s="124">
        <v>66</v>
      </c>
      <c r="J45" s="18"/>
      <c r="K45" s="19"/>
      <c r="L45" s="1076">
        <v>12084</v>
      </c>
      <c r="M45" s="65">
        <f>L45</f>
        <v>12084</v>
      </c>
      <c r="N45" s="65">
        <f>IF(AND(G45&lt;&gt;"",M45&lt;&gt;""),M45/G45,"")</f>
        <v>1044.4252376836646</v>
      </c>
      <c r="O45" s="625"/>
      <c r="P45" s="674">
        <v>22</v>
      </c>
      <c r="Q45" s="625">
        <v>4</v>
      </c>
      <c r="R45" s="625">
        <v>16</v>
      </c>
      <c r="S45" s="674">
        <v>51</v>
      </c>
      <c r="T45" s="625">
        <v>233</v>
      </c>
      <c r="U45" s="674">
        <v>22</v>
      </c>
      <c r="V45" s="625">
        <v>21</v>
      </c>
      <c r="W45" s="625">
        <v>256</v>
      </c>
      <c r="X45" s="637"/>
      <c r="Y45" s="282"/>
      <c r="Z45" s="282">
        <f>L45/U45</f>
        <v>549.27272727272725</v>
      </c>
      <c r="AA45" s="99">
        <f>S45/U45</f>
        <v>2.3181818181818183</v>
      </c>
      <c r="AB45" s="191">
        <f>512*36*U45/1000000</f>
        <v>0.40550399999999998</v>
      </c>
      <c r="AC45" s="956"/>
      <c r="AD45" s="213"/>
      <c r="AE45" s="17" t="s">
        <v>362</v>
      </c>
      <c r="AF45" s="230" t="s">
        <v>1811</v>
      </c>
      <c r="AG45" s="1264" t="s">
        <v>1816</v>
      </c>
    </row>
    <row r="46" spans="1:33" ht="16.5" customHeight="1" x14ac:dyDescent="0.2">
      <c r="A46" s="188"/>
      <c r="B46" s="321" t="s">
        <v>362</v>
      </c>
      <c r="C46" s="306"/>
      <c r="D46" s="306"/>
      <c r="E46" s="307" t="s">
        <v>364</v>
      </c>
      <c r="F46" s="311"/>
      <c r="G46" s="309" t="s">
        <v>798</v>
      </c>
      <c r="H46" s="318" t="s">
        <v>532</v>
      </c>
      <c r="I46" s="310"/>
      <c r="J46" s="311"/>
      <c r="K46" s="309"/>
      <c r="L46" s="347" t="s">
        <v>305</v>
      </c>
      <c r="M46" s="312"/>
      <c r="N46" s="312"/>
      <c r="O46" s="350" t="s">
        <v>502</v>
      </c>
      <c r="P46" s="350" t="s">
        <v>469</v>
      </c>
      <c r="Q46" s="312"/>
      <c r="R46" s="312"/>
      <c r="S46" s="329"/>
      <c r="T46" s="499" t="s">
        <v>368</v>
      </c>
      <c r="U46" s="352" t="s">
        <v>182</v>
      </c>
      <c r="V46" s="350" t="s">
        <v>367</v>
      </c>
      <c r="W46" s="313"/>
      <c r="X46" s="314"/>
      <c r="Y46" s="315"/>
      <c r="Z46" s="355"/>
      <c r="AA46" s="356"/>
      <c r="AB46" s="966" t="s">
        <v>650</v>
      </c>
      <c r="AC46" s="957" t="s">
        <v>368</v>
      </c>
      <c r="AD46" s="316"/>
      <c r="AE46" s="17"/>
      <c r="AF46" s="227"/>
      <c r="AG46" s="1263"/>
    </row>
    <row r="47" spans="1:33" x14ac:dyDescent="0.2">
      <c r="A47" s="182"/>
      <c r="B47" s="25" t="s">
        <v>701</v>
      </c>
      <c r="C47" s="239"/>
      <c r="D47" s="227"/>
      <c r="E47" s="463" t="s">
        <v>952</v>
      </c>
      <c r="F47" s="18" t="s">
        <v>569</v>
      </c>
      <c r="G47" s="19">
        <v>46</v>
      </c>
      <c r="H47" s="124">
        <v>11</v>
      </c>
      <c r="I47" s="124">
        <v>117</v>
      </c>
      <c r="J47" s="18"/>
      <c r="K47" s="19"/>
      <c r="L47" s="151">
        <v>4608</v>
      </c>
      <c r="M47" s="65">
        <v>1843</v>
      </c>
      <c r="N47" s="65">
        <f>IF(AND(G47&lt;&gt;"",L47&lt;&gt;""),L47/G47,"")</f>
        <v>100.17391304347827</v>
      </c>
      <c r="O47" s="290" t="s">
        <v>1010</v>
      </c>
      <c r="P47" s="71">
        <v>1</v>
      </c>
      <c r="Q47" s="71"/>
      <c r="R47" s="71">
        <v>2</v>
      </c>
      <c r="S47" s="326"/>
      <c r="T47" s="71">
        <v>24</v>
      </c>
      <c r="U47" s="71">
        <v>8</v>
      </c>
      <c r="V47" s="77"/>
      <c r="W47" s="71" t="s">
        <v>955</v>
      </c>
      <c r="X47" s="117"/>
      <c r="Y47" s="89"/>
      <c r="Z47" s="464"/>
      <c r="AA47" s="282"/>
      <c r="AB47" s="971"/>
      <c r="AC47" s="434"/>
      <c r="AD47" s="117"/>
      <c r="AE47" s="17" t="s">
        <v>362</v>
      </c>
      <c r="AF47" s="972"/>
      <c r="AG47" s="1263"/>
    </row>
    <row r="48" spans="1:33" ht="13.5" thickBot="1" x14ac:dyDescent="0.25">
      <c r="A48" s="182" t="s">
        <v>362</v>
      </c>
      <c r="B48" s="21" t="s">
        <v>701</v>
      </c>
      <c r="C48" s="228"/>
      <c r="D48" s="228"/>
      <c r="E48" s="292" t="s">
        <v>371</v>
      </c>
      <c r="F48" s="22" t="s">
        <v>568</v>
      </c>
      <c r="G48" s="23">
        <v>79.72</v>
      </c>
      <c r="H48" s="125">
        <v>17</v>
      </c>
      <c r="I48" s="125">
        <v>119</v>
      </c>
      <c r="J48" s="22"/>
      <c r="K48" s="23"/>
      <c r="L48" s="325">
        <v>13824</v>
      </c>
      <c r="M48" s="68"/>
      <c r="N48" s="68">
        <f>IF(AND(G48&lt;&gt;"",L48&lt;&gt;""),L48/G48,"")</f>
        <v>173.40692423482187</v>
      </c>
      <c r="O48" s="293">
        <v>1</v>
      </c>
      <c r="P48" s="331">
        <v>1</v>
      </c>
      <c r="Q48" s="68"/>
      <c r="R48" s="68">
        <v>10</v>
      </c>
      <c r="S48" s="331">
        <v>65</v>
      </c>
      <c r="T48" s="368"/>
      <c r="U48" s="331">
        <v>24</v>
      </c>
      <c r="V48" s="331">
        <v>2</v>
      </c>
      <c r="W48" s="68"/>
      <c r="X48" s="294"/>
      <c r="Y48" s="295"/>
      <c r="Z48" s="295">
        <f>L48/U48</f>
        <v>576</v>
      </c>
      <c r="AA48" s="100">
        <f>S48/U48</f>
        <v>2.7083333333333335</v>
      </c>
      <c r="AB48" s="192">
        <f>256*18*U48/1000000</f>
        <v>0.110592</v>
      </c>
      <c r="AC48" s="964">
        <v>40</v>
      </c>
      <c r="AD48" s="214"/>
      <c r="AE48" s="21" t="s">
        <v>362</v>
      </c>
      <c r="AF48" s="232" t="s">
        <v>1802</v>
      </c>
      <c r="AG48" s="1266">
        <v>50</v>
      </c>
    </row>
  </sheetData>
  <hyperlinks>
    <hyperlink ref="AI28" r:id="rId1"/>
    <hyperlink ref="AJ28" r:id="rId2"/>
  </hyperlinks>
  <pageMargins left="0.25" right="0.25" top="0.75" bottom="0.75" header="0.3" footer="0.3"/>
  <pageSetup scale="79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3" workbookViewId="0">
      <pane ySplit="1" topLeftCell="A28" activePane="bottomLeft" state="frozenSplit"/>
      <selection pane="bottomLeft" activeCell="AZ54" sqref="AZ54"/>
    </sheetView>
  </sheetViews>
  <sheetFormatPr defaultRowHeight="12.75" x14ac:dyDescent="0.2"/>
  <cols>
    <col min="1" max="1" width="10.7109375" customWidth="1"/>
    <col min="2" max="4" width="3.5703125" customWidth="1"/>
    <col min="5" max="5" width="11.5703125" customWidth="1"/>
    <col min="6" max="6" width="6.42578125" customWidth="1"/>
    <col min="7" max="7" width="6.7109375" customWidth="1"/>
    <col min="8" max="8" width="6.140625" customWidth="1"/>
    <col min="9" max="9" width="5" customWidth="1"/>
    <col min="10" max="10" width="22.42578125" customWidth="1"/>
    <col min="11" max="11" width="4.85546875" customWidth="1"/>
    <col min="12" max="13" width="6.7109375" customWidth="1"/>
    <col min="14" max="15" width="6.7109375" hidden="1" customWidth="1"/>
    <col min="16" max="22" width="4.42578125" customWidth="1"/>
    <col min="23" max="24" width="6.7109375" customWidth="1"/>
    <col min="25" max="26" width="6.7109375" hidden="1" customWidth="1"/>
    <col min="27" max="27" width="6.7109375" customWidth="1"/>
    <col min="28" max="29" width="6.7109375" hidden="1" customWidth="1"/>
    <col min="30" max="30" width="6.7109375" customWidth="1"/>
    <col min="31" max="32" width="3.85546875" customWidth="1"/>
    <col min="33" max="34" width="3" customWidth="1"/>
    <col min="35" max="35" width="5.140625" customWidth="1"/>
    <col min="36" max="38" width="3" customWidth="1"/>
    <col min="39" max="39" width="2.85546875" style="1752" customWidth="1"/>
    <col min="40" max="40" width="3" customWidth="1"/>
    <col min="41" max="41" width="2.85546875" customWidth="1"/>
    <col min="42" max="45" width="3" customWidth="1"/>
    <col min="46" max="46" width="3.5703125" customWidth="1"/>
  </cols>
  <sheetData>
    <row r="1" spans="1:49" ht="15" x14ac:dyDescent="0.25">
      <c r="B1" s="1625" t="s">
        <v>2434</v>
      </c>
    </row>
    <row r="2" spans="1:49" ht="13.5" thickBot="1" x14ac:dyDescent="0.25"/>
    <row r="3" spans="1:49" s="10" customFormat="1" ht="57.75" customHeight="1" thickBot="1" x14ac:dyDescent="0.25">
      <c r="A3" s="51" t="s">
        <v>0</v>
      </c>
      <c r="B3" s="223" t="s">
        <v>699</v>
      </c>
      <c r="C3" s="224" t="s">
        <v>700</v>
      </c>
      <c r="D3" s="225" t="s">
        <v>698</v>
      </c>
      <c r="E3" s="7" t="s">
        <v>1</v>
      </c>
      <c r="F3" s="8" t="s">
        <v>2</v>
      </c>
      <c r="G3" s="9" t="s">
        <v>928</v>
      </c>
      <c r="H3" s="122" t="s">
        <v>527</v>
      </c>
      <c r="I3" s="122" t="s">
        <v>526</v>
      </c>
      <c r="J3" s="8" t="s">
        <v>875</v>
      </c>
      <c r="K3" s="9" t="s">
        <v>927</v>
      </c>
      <c r="L3" s="243" t="s">
        <v>5</v>
      </c>
      <c r="M3" s="59" t="s">
        <v>6</v>
      </c>
      <c r="N3" s="59" t="s">
        <v>824</v>
      </c>
      <c r="O3" s="59" t="s">
        <v>7</v>
      </c>
      <c r="P3" s="59" t="s">
        <v>8</v>
      </c>
      <c r="Q3" s="59" t="s">
        <v>9</v>
      </c>
      <c r="R3" s="59" t="s">
        <v>435</v>
      </c>
      <c r="S3" s="59" t="s">
        <v>10</v>
      </c>
      <c r="T3" s="59" t="s">
        <v>11</v>
      </c>
      <c r="U3" s="540" t="s">
        <v>1183</v>
      </c>
      <c r="V3" s="59" t="s">
        <v>13</v>
      </c>
      <c r="W3" s="540" t="s">
        <v>1184</v>
      </c>
      <c r="X3" s="59" t="s">
        <v>15</v>
      </c>
      <c r="Y3" s="79" t="s">
        <v>16</v>
      </c>
      <c r="Z3" s="90" t="s">
        <v>17</v>
      </c>
      <c r="AA3" s="369" t="s">
        <v>822</v>
      </c>
      <c r="AB3" s="91" t="s">
        <v>18</v>
      </c>
      <c r="AC3" s="97" t="s">
        <v>19</v>
      </c>
      <c r="AD3" s="108" t="s">
        <v>2563</v>
      </c>
      <c r="AE3" s="7" t="s">
        <v>2435</v>
      </c>
      <c r="AF3" s="8" t="s">
        <v>2436</v>
      </c>
      <c r="AG3" s="8" t="s">
        <v>2228</v>
      </c>
      <c r="AH3" s="8" t="s">
        <v>2438</v>
      </c>
      <c r="AI3" s="11" t="s">
        <v>2551</v>
      </c>
      <c r="AJ3" s="11" t="s">
        <v>2552</v>
      </c>
      <c r="AK3" s="11" t="s">
        <v>2549</v>
      </c>
      <c r="AL3" s="11" t="s">
        <v>2545</v>
      </c>
      <c r="AM3" s="1753" t="s">
        <v>2547</v>
      </c>
      <c r="AN3" s="8" t="s">
        <v>2548</v>
      </c>
      <c r="AO3" s="8" t="s">
        <v>2555</v>
      </c>
      <c r="AP3" s="8" t="s">
        <v>2546</v>
      </c>
      <c r="AQ3" s="11" t="s">
        <v>2437</v>
      </c>
      <c r="AR3" s="11" t="s">
        <v>2439</v>
      </c>
      <c r="AS3" s="541" t="s">
        <v>2440</v>
      </c>
      <c r="AT3" s="1000"/>
    </row>
    <row r="4" spans="1:49" s="1627" customFormat="1" ht="20.25" customHeight="1" thickBot="1" x14ac:dyDescent="0.25">
      <c r="A4" s="1694"/>
      <c r="B4" s="1626" t="s">
        <v>2480</v>
      </c>
      <c r="P4" s="1777"/>
      <c r="AM4" s="1754"/>
      <c r="AT4" s="1628"/>
    </row>
    <row r="5" spans="1:49" ht="12.75" customHeight="1" x14ac:dyDescent="0.2">
      <c r="A5" s="188"/>
      <c r="B5" s="12" t="s">
        <v>1289</v>
      </c>
      <c r="C5" s="226"/>
      <c r="D5" s="212"/>
      <c r="E5" s="193"/>
      <c r="F5" s="466" t="s">
        <v>1017</v>
      </c>
      <c r="G5" s="49"/>
      <c r="H5" s="131" t="s">
        <v>943</v>
      </c>
      <c r="I5" s="1646"/>
      <c r="J5" s="1386"/>
      <c r="K5" s="1387"/>
      <c r="L5" s="248" t="s">
        <v>23</v>
      </c>
      <c r="M5" s="61"/>
      <c r="N5" s="61"/>
      <c r="O5" s="61"/>
      <c r="P5" s="61"/>
      <c r="Q5" s="61"/>
      <c r="R5" s="61"/>
      <c r="S5" s="61"/>
      <c r="T5" s="61"/>
      <c r="U5" s="61"/>
      <c r="V5" s="62" t="s">
        <v>52</v>
      </c>
      <c r="W5" s="61" t="s">
        <v>598</v>
      </c>
      <c r="X5" s="113" t="s">
        <v>158</v>
      </c>
      <c r="Y5" s="171"/>
      <c r="Z5" s="164"/>
      <c r="AA5" s="373"/>
      <c r="AB5" s="1305"/>
      <c r="AC5" s="105"/>
      <c r="AD5" s="109" t="s">
        <v>650</v>
      </c>
      <c r="AE5" s="1629"/>
      <c r="AF5" s="1630"/>
      <c r="AG5" s="1638"/>
      <c r="AH5" s="1638"/>
      <c r="AI5" s="1755"/>
      <c r="AJ5" s="1755"/>
      <c r="AK5" s="1755"/>
      <c r="AL5" s="1755"/>
      <c r="AM5" s="1755"/>
      <c r="AN5" s="1755"/>
      <c r="AO5" s="1755"/>
      <c r="AP5" s="1755"/>
      <c r="AQ5" s="1638"/>
      <c r="AR5" s="1638"/>
      <c r="AS5" s="1639"/>
      <c r="AU5" s="236" t="s">
        <v>653</v>
      </c>
    </row>
    <row r="6" spans="1:49" ht="12.75" customHeight="1" thickBot="1" x14ac:dyDescent="0.25">
      <c r="A6" s="494" t="s">
        <v>2441</v>
      </c>
      <c r="B6" s="33" t="s">
        <v>701</v>
      </c>
      <c r="C6" s="228"/>
      <c r="D6" s="214"/>
      <c r="E6" s="1112" t="s">
        <v>2292</v>
      </c>
      <c r="F6" s="133"/>
      <c r="G6" s="1143">
        <v>5.45</v>
      </c>
      <c r="H6" s="1544">
        <v>2.34</v>
      </c>
      <c r="I6" s="1133">
        <v>21</v>
      </c>
      <c r="J6" s="529" t="s">
        <v>2433</v>
      </c>
      <c r="K6" s="415">
        <v>30</v>
      </c>
      <c r="L6" s="1136">
        <v>5280</v>
      </c>
      <c r="M6" s="533">
        <f>L6</f>
        <v>5280</v>
      </c>
      <c r="N6" s="533">
        <f>IF(AND(G6&lt;&gt;"",M6&lt;&gt;""),M6/G6,"")</f>
        <v>968.80733944954125</v>
      </c>
      <c r="O6" s="1647">
        <f>IF(AND(G6&lt;&gt;"",L6&lt;&gt;""),L6/G6,"")</f>
        <v>968.80733944954125</v>
      </c>
      <c r="P6" s="533"/>
      <c r="Q6" s="533">
        <v>8</v>
      </c>
      <c r="R6" s="533">
        <v>1</v>
      </c>
      <c r="S6" s="533"/>
      <c r="T6" s="533">
        <v>39</v>
      </c>
      <c r="U6" s="533"/>
      <c r="V6" s="533">
        <v>30</v>
      </c>
      <c r="W6" s="1138" t="s">
        <v>1820</v>
      </c>
      <c r="X6" s="1139">
        <f>L6/8</f>
        <v>660</v>
      </c>
      <c r="Y6" s="82"/>
      <c r="Z6" s="142"/>
      <c r="AA6" s="374">
        <f>L6/Q6</f>
        <v>660</v>
      </c>
      <c r="AB6" s="55">
        <f>L6/V6</f>
        <v>176</v>
      </c>
      <c r="AC6" s="104">
        <f>T6/V6</f>
        <v>1.3</v>
      </c>
      <c r="AD6" s="1142">
        <f>V6*256*16/1000000</f>
        <v>0.12288</v>
      </c>
      <c r="AE6" s="1641">
        <v>0.9</v>
      </c>
      <c r="AF6" s="1642">
        <v>2</v>
      </c>
      <c r="AG6" s="1644" t="s">
        <v>697</v>
      </c>
      <c r="AH6" s="1650"/>
      <c r="AI6" s="1765"/>
      <c r="AJ6" s="1765"/>
      <c r="AK6" s="1765">
        <v>20</v>
      </c>
      <c r="AL6" s="1765"/>
      <c r="AM6" s="1756">
        <v>1</v>
      </c>
      <c r="AN6" s="1756"/>
      <c r="AO6" s="1756"/>
      <c r="AP6" s="1756"/>
      <c r="AQ6" s="1643" t="s">
        <v>697</v>
      </c>
      <c r="AR6" s="1773"/>
      <c r="AS6" s="1645"/>
      <c r="AT6" s="1306"/>
      <c r="AU6" s="530" t="s">
        <v>2442</v>
      </c>
    </row>
    <row r="7" spans="1:49" x14ac:dyDescent="0.2">
      <c r="A7" s="1240"/>
      <c r="B7" s="48" t="s">
        <v>374</v>
      </c>
      <c r="C7" s="226"/>
      <c r="D7" s="1078"/>
      <c r="E7" s="1185" t="s">
        <v>2301</v>
      </c>
      <c r="F7" s="497"/>
      <c r="G7" s="14"/>
      <c r="H7" s="123"/>
      <c r="I7" s="408"/>
      <c r="J7" s="1525"/>
      <c r="K7" s="414"/>
      <c r="L7" s="1551" t="s">
        <v>2368</v>
      </c>
      <c r="M7" s="1537"/>
      <c r="N7" s="380"/>
      <c r="O7" s="61"/>
      <c r="P7" s="491" t="s">
        <v>2362</v>
      </c>
      <c r="Q7" s="61" t="s">
        <v>2369</v>
      </c>
      <c r="R7" s="61"/>
      <c r="S7" s="61"/>
      <c r="T7" s="384"/>
      <c r="U7" s="61"/>
      <c r="V7" s="62" t="s">
        <v>375</v>
      </c>
      <c r="W7" s="61"/>
      <c r="X7" s="109"/>
      <c r="Y7" s="1526"/>
      <c r="Z7" s="1527"/>
      <c r="AA7" s="377"/>
      <c r="AB7" s="53"/>
      <c r="AC7" s="105"/>
      <c r="AD7" s="109" t="s">
        <v>650</v>
      </c>
      <c r="AE7" s="1629"/>
      <c r="AF7" s="1630"/>
      <c r="AG7" s="1630"/>
      <c r="AH7" s="1630"/>
      <c r="AI7" s="1766"/>
      <c r="AJ7" s="1766"/>
      <c r="AK7" s="1766"/>
      <c r="AL7" s="1766"/>
      <c r="AM7" s="1755"/>
      <c r="AN7" s="1755"/>
      <c r="AO7" s="1755"/>
      <c r="AP7" s="1755"/>
      <c r="AQ7" s="1631"/>
      <c r="AR7" s="1631"/>
      <c r="AS7" s="1632"/>
      <c r="AU7" s="516" t="s">
        <v>2364</v>
      </c>
    </row>
    <row r="8" spans="1:49" ht="15" thickBot="1" x14ac:dyDescent="0.25">
      <c r="A8" s="1448" t="s">
        <v>2406</v>
      </c>
      <c r="B8" s="283"/>
      <c r="C8" s="1528"/>
      <c r="D8" s="1393"/>
      <c r="E8" s="41" t="s">
        <v>2482</v>
      </c>
      <c r="F8" s="45" t="s">
        <v>2361</v>
      </c>
      <c r="G8" s="1518">
        <v>5.63</v>
      </c>
      <c r="H8" s="1538">
        <v>2.5</v>
      </c>
      <c r="I8" s="162">
        <v>27</v>
      </c>
      <c r="J8" s="487" t="s">
        <v>2481</v>
      </c>
      <c r="K8" s="1722">
        <v>45.95</v>
      </c>
      <c r="L8" s="249">
        <v>1200</v>
      </c>
      <c r="M8" s="65">
        <v>2400</v>
      </c>
      <c r="N8" s="68">
        <f>IF(AND(G8&lt;&gt;"",M8&lt;&gt;""),M8/G8,"")</f>
        <v>426.28774422735347</v>
      </c>
      <c r="O8" s="68">
        <f>IF(AND(G8&lt;&gt;"",L8&lt;&gt;""),L8/G8,"")</f>
        <v>213.14387211367674</v>
      </c>
      <c r="P8" s="65">
        <v>1</v>
      </c>
      <c r="Q8" s="65">
        <v>2</v>
      </c>
      <c r="R8" s="65"/>
      <c r="S8" s="65"/>
      <c r="T8" s="1774">
        <v>34</v>
      </c>
      <c r="U8" s="65"/>
      <c r="V8" s="65">
        <v>8</v>
      </c>
      <c r="W8" s="469" t="s">
        <v>1751</v>
      </c>
      <c r="X8" s="115"/>
      <c r="Y8" s="1529"/>
      <c r="Z8" s="1450"/>
      <c r="AA8" s="379">
        <f>M8/Q8</f>
        <v>1200</v>
      </c>
      <c r="AB8" s="55">
        <f>L8/V8</f>
        <v>150</v>
      </c>
      <c r="AC8" s="100">
        <f>T8/V8</f>
        <v>4.25</v>
      </c>
      <c r="AD8" s="191">
        <f>V8*9*512/1000000</f>
        <v>3.6864000000000001E-2</v>
      </c>
      <c r="AE8" s="1633">
        <v>0.9</v>
      </c>
      <c r="AF8" s="1634">
        <v>2.75</v>
      </c>
      <c r="AG8" s="1634" t="s">
        <v>697</v>
      </c>
      <c r="AH8" s="1634" t="s">
        <v>697</v>
      </c>
      <c r="AI8" s="1767"/>
      <c r="AJ8" s="1767"/>
      <c r="AK8" s="1767">
        <v>34</v>
      </c>
      <c r="AL8" s="1767"/>
      <c r="AM8" s="1757">
        <v>1</v>
      </c>
      <c r="AN8" s="1757"/>
      <c r="AO8" s="1757">
        <v>1</v>
      </c>
      <c r="AP8" s="1757"/>
      <c r="AQ8" s="1635" t="s">
        <v>697</v>
      </c>
      <c r="AR8" s="1776" t="s">
        <v>2559</v>
      </c>
      <c r="AS8" s="1636" t="s">
        <v>697</v>
      </c>
      <c r="AT8" s="1431"/>
      <c r="AU8" s="530" t="s">
        <v>2405</v>
      </c>
    </row>
    <row r="9" spans="1:49" ht="13.5" customHeight="1" x14ac:dyDescent="0.2">
      <c r="A9" s="188"/>
      <c r="B9" s="48" t="s">
        <v>716</v>
      </c>
      <c r="C9" s="226"/>
      <c r="D9" s="212"/>
      <c r="E9" s="12" t="s">
        <v>1538</v>
      </c>
      <c r="F9" s="466" t="s">
        <v>1017</v>
      </c>
      <c r="G9" s="14" t="s">
        <v>22</v>
      </c>
      <c r="H9" s="132" t="s">
        <v>528</v>
      </c>
      <c r="I9" s="161"/>
      <c r="J9" s="1307"/>
      <c r="K9" s="412" t="s">
        <v>22</v>
      </c>
      <c r="L9" s="411" t="s">
        <v>23</v>
      </c>
      <c r="M9" s="60"/>
      <c r="N9" s="380"/>
      <c r="O9" s="61"/>
      <c r="P9" s="61"/>
      <c r="Q9" s="61"/>
      <c r="R9" s="61"/>
      <c r="S9" s="61"/>
      <c r="T9" s="61"/>
      <c r="U9" s="61"/>
      <c r="V9" s="62" t="s">
        <v>206</v>
      </c>
      <c r="W9" s="61"/>
      <c r="X9" s="109" t="s">
        <v>158</v>
      </c>
      <c r="Y9" s="80"/>
      <c r="Z9" s="164"/>
      <c r="AA9" s="372"/>
      <c r="AB9" s="92"/>
      <c r="AC9" s="98"/>
      <c r="AD9" s="109" t="s">
        <v>650</v>
      </c>
      <c r="AE9" s="1629"/>
      <c r="AF9" s="1630"/>
      <c r="AG9" s="1638"/>
      <c r="AH9" s="1638"/>
      <c r="AI9" s="1755"/>
      <c r="AJ9" s="1755"/>
      <c r="AK9" s="1755"/>
      <c r="AL9" s="1755"/>
      <c r="AM9" s="1755"/>
      <c r="AN9" s="1755"/>
      <c r="AO9" s="1755"/>
      <c r="AP9" s="1755"/>
      <c r="AQ9" s="1637"/>
      <c r="AR9" s="1637"/>
      <c r="AS9" s="1639"/>
      <c r="AU9" s="269" t="s">
        <v>329</v>
      </c>
    </row>
    <row r="10" spans="1:49" ht="13.5" thickBot="1" x14ac:dyDescent="0.25">
      <c r="A10" s="1695" t="s">
        <v>2327</v>
      </c>
      <c r="B10" s="33"/>
      <c r="C10" s="232"/>
      <c r="D10" s="214"/>
      <c r="E10" s="21" t="s">
        <v>2000</v>
      </c>
      <c r="F10" s="22"/>
      <c r="G10" s="23">
        <v>29.32</v>
      </c>
      <c r="H10" s="125">
        <v>10</v>
      </c>
      <c r="I10" s="163">
        <v>118</v>
      </c>
      <c r="J10" s="1284" t="s">
        <v>2326</v>
      </c>
      <c r="K10" s="1135">
        <v>119</v>
      </c>
      <c r="L10" s="250">
        <v>24000</v>
      </c>
      <c r="M10" s="152">
        <v>24000</v>
      </c>
      <c r="N10" s="68">
        <f>IF(AND(G10&lt;&gt;"",M10&lt;&gt;""),M10/G10,"")</f>
        <v>818.55388813096863</v>
      </c>
      <c r="O10" s="68">
        <f>IF(AND(G10&lt;&gt;"",L10&lt;&gt;""),L10/G10,"")</f>
        <v>818.55388813096863</v>
      </c>
      <c r="P10" s="68"/>
      <c r="Q10" s="68">
        <v>28</v>
      </c>
      <c r="R10" s="68">
        <v>2</v>
      </c>
      <c r="S10" s="68">
        <v>2</v>
      </c>
      <c r="T10" s="68">
        <v>197</v>
      </c>
      <c r="U10" s="68"/>
      <c r="V10" s="68">
        <v>56</v>
      </c>
      <c r="W10" s="1640" t="s">
        <v>2239</v>
      </c>
      <c r="X10" s="111">
        <f>L10/8</f>
        <v>3000</v>
      </c>
      <c r="Y10" s="217"/>
      <c r="Z10" s="142" t="str">
        <f>IF(AND(L10&lt;&gt;"",Y10&lt;&gt;""),L10/Y10,"")</f>
        <v/>
      </c>
      <c r="AA10" s="374">
        <f>L10/Q10</f>
        <v>857.14285714285711</v>
      </c>
      <c r="AB10" s="55">
        <f>L10/V10</f>
        <v>428.57142857142856</v>
      </c>
      <c r="AC10" s="100">
        <f>T10/V10</f>
        <v>3.5178571428571428</v>
      </c>
      <c r="AD10" s="192">
        <f>512*36*V10/1000000</f>
        <v>1.032192</v>
      </c>
      <c r="AE10" s="1641">
        <v>0.9</v>
      </c>
      <c r="AF10" s="1642">
        <v>2</v>
      </c>
      <c r="AG10" s="1644" t="s">
        <v>697</v>
      </c>
      <c r="AH10" s="1644"/>
      <c r="AI10" s="1765"/>
      <c r="AJ10" s="1765"/>
      <c r="AK10" s="1765">
        <v>20</v>
      </c>
      <c r="AL10" s="1765"/>
      <c r="AM10" s="1756">
        <v>1</v>
      </c>
      <c r="AN10" s="1756"/>
      <c r="AO10" s="1756">
        <v>1</v>
      </c>
      <c r="AP10" s="1756"/>
      <c r="AQ10" s="1643" t="s">
        <v>697</v>
      </c>
      <c r="AR10" s="1773"/>
      <c r="AS10" s="1645"/>
      <c r="AU10" s="237"/>
    </row>
    <row r="11" spans="1:49" x14ac:dyDescent="0.2">
      <c r="A11" s="188"/>
      <c r="B11" s="48" t="s">
        <v>717</v>
      </c>
      <c r="C11" s="226"/>
      <c r="D11" s="212"/>
      <c r="E11" s="12" t="s">
        <v>1592</v>
      </c>
      <c r="F11" s="466" t="s">
        <v>1584</v>
      </c>
      <c r="G11" s="14" t="s">
        <v>22</v>
      </c>
      <c r="H11" s="132" t="s">
        <v>528</v>
      </c>
      <c r="I11" s="408"/>
      <c r="J11" s="1289"/>
      <c r="K11" s="1290" t="s">
        <v>22</v>
      </c>
      <c r="L11" s="411" t="s">
        <v>23</v>
      </c>
      <c r="M11" s="60"/>
      <c r="N11" s="385"/>
      <c r="O11" s="61"/>
      <c r="P11" s="61"/>
      <c r="Q11" s="61" t="s">
        <v>92</v>
      </c>
      <c r="R11" s="61"/>
      <c r="S11" s="61" t="s">
        <v>1595</v>
      </c>
      <c r="T11" s="61"/>
      <c r="U11" s="61" t="s">
        <v>1593</v>
      </c>
      <c r="V11" s="62" t="s">
        <v>157</v>
      </c>
      <c r="W11" s="61" t="s">
        <v>1329</v>
      </c>
      <c r="X11" s="109" t="s">
        <v>25</v>
      </c>
      <c r="Y11" s="80" t="s">
        <v>65</v>
      </c>
      <c r="Z11" s="164"/>
      <c r="AA11" s="372"/>
      <c r="AB11" s="210"/>
      <c r="AC11" s="98"/>
      <c r="AD11" s="109" t="s">
        <v>650</v>
      </c>
      <c r="AE11" s="1629"/>
      <c r="AF11" s="1630"/>
      <c r="AG11" s="1638"/>
      <c r="AH11" s="1638"/>
      <c r="AI11" s="1755"/>
      <c r="AJ11" s="1755"/>
      <c r="AK11" s="1755"/>
      <c r="AL11" s="1755"/>
      <c r="AM11" s="1755"/>
      <c r="AN11" s="1755"/>
      <c r="AO11" s="1755"/>
      <c r="AP11" s="1755"/>
      <c r="AQ11" s="1638"/>
      <c r="AR11" s="1638"/>
      <c r="AS11" s="1639"/>
      <c r="AU11" s="516" t="s">
        <v>1583</v>
      </c>
    </row>
    <row r="12" spans="1:49" ht="12.75" customHeight="1" thickBot="1" x14ac:dyDescent="0.3">
      <c r="A12" s="188" t="s">
        <v>26</v>
      </c>
      <c r="B12" s="1146" t="s">
        <v>1594</v>
      </c>
      <c r="C12" s="1275" t="s">
        <v>697</v>
      </c>
      <c r="D12" s="214" t="s">
        <v>702</v>
      </c>
      <c r="E12" s="417" t="s">
        <v>1591</v>
      </c>
      <c r="F12" s="133" t="s">
        <v>1710</v>
      </c>
      <c r="G12" s="23">
        <v>57.69</v>
      </c>
      <c r="H12" s="125">
        <v>17</v>
      </c>
      <c r="I12" s="410">
        <v>178</v>
      </c>
      <c r="J12" s="1648" t="s">
        <v>2443</v>
      </c>
      <c r="K12" s="1649">
        <v>119</v>
      </c>
      <c r="L12" s="453">
        <f>X12/100</f>
        <v>50</v>
      </c>
      <c r="M12" s="454">
        <f>X12/100</f>
        <v>50</v>
      </c>
      <c r="N12" s="68">
        <f>IF(AND(G12&lt;&gt;"",M12&lt;&gt;""),1000*M12/G12,"")</f>
        <v>866.70133472005546</v>
      </c>
      <c r="O12" s="68">
        <f>IF(AND(G12&lt;&gt;"",L12&lt;&gt;""),L12/G12,"")</f>
        <v>0.86670133472005551</v>
      </c>
      <c r="P12" s="68"/>
      <c r="Q12" s="68">
        <v>144</v>
      </c>
      <c r="R12" s="533">
        <v>4</v>
      </c>
      <c r="S12" s="68">
        <v>2</v>
      </c>
      <c r="T12" s="68">
        <v>500</v>
      </c>
      <c r="U12" s="68" t="s">
        <v>1184</v>
      </c>
      <c r="V12" s="68">
        <v>182</v>
      </c>
      <c r="W12" s="68">
        <v>736</v>
      </c>
      <c r="X12" s="111">
        <v>5000</v>
      </c>
      <c r="Y12" s="82"/>
      <c r="Z12" s="142" t="str">
        <f>IF(AND(L12&lt;&gt;"",Y12&lt;&gt;""),1000*L12/Y12,"")</f>
        <v/>
      </c>
      <c r="AA12" s="379">
        <f>M12*1000/Q12</f>
        <v>347.22222222222223</v>
      </c>
      <c r="AB12" s="55">
        <f>L12*1000/V12</f>
        <v>274.72527472527474</v>
      </c>
      <c r="AC12" s="100">
        <f>T12/V12</f>
        <v>2.7472527472527473</v>
      </c>
      <c r="AD12" s="192">
        <f>256*36*V12/1000000</f>
        <v>1.6773119999999999</v>
      </c>
      <c r="AE12" s="1641">
        <v>0.9</v>
      </c>
      <c r="AF12" s="1642">
        <v>2</v>
      </c>
      <c r="AG12" s="1644" t="s">
        <v>697</v>
      </c>
      <c r="AH12" s="1650" t="s">
        <v>697</v>
      </c>
      <c r="AI12" s="1765"/>
      <c r="AJ12" s="1765"/>
      <c r="AK12" s="1765"/>
      <c r="AL12" s="1765"/>
      <c r="AM12" s="1756"/>
      <c r="AN12" s="1756"/>
      <c r="AO12" s="1756"/>
      <c r="AP12" s="1756"/>
      <c r="AQ12" s="1643" t="s">
        <v>697</v>
      </c>
      <c r="AR12" s="1329" t="s">
        <v>2559</v>
      </c>
      <c r="AS12" s="1645" t="s">
        <v>697</v>
      </c>
      <c r="AU12" t="s">
        <v>2444</v>
      </c>
    </row>
    <row r="13" spans="1:49" ht="18" customHeight="1" thickBot="1" x14ac:dyDescent="0.3">
      <c r="A13" s="188"/>
      <c r="B13" s="1651" t="s">
        <v>2445</v>
      </c>
      <c r="C13" s="1627"/>
      <c r="AD13" s="237"/>
      <c r="AE13" s="1652"/>
      <c r="AF13" s="1652"/>
      <c r="AG13" s="1652"/>
      <c r="AH13" s="1652"/>
      <c r="AI13" s="1758"/>
      <c r="AJ13" s="1758"/>
      <c r="AK13" s="1758"/>
      <c r="AL13" s="1758"/>
      <c r="AM13" s="1758"/>
      <c r="AN13" s="1758"/>
      <c r="AO13" s="1758"/>
      <c r="AP13" s="1758"/>
      <c r="AQ13" s="1652"/>
      <c r="AR13" s="1652"/>
      <c r="AS13" s="1652"/>
      <c r="AT13" s="237"/>
    </row>
    <row r="14" spans="1:49" ht="13.5" customHeight="1" x14ac:dyDescent="0.2">
      <c r="A14" s="182"/>
      <c r="B14" s="48" t="s">
        <v>2128</v>
      </c>
      <c r="C14" s="226"/>
      <c r="D14" s="212"/>
      <c r="E14" s="12" t="s">
        <v>2129</v>
      </c>
      <c r="F14" s="466" t="s">
        <v>1584</v>
      </c>
      <c r="G14" s="14" t="s">
        <v>22</v>
      </c>
      <c r="H14" s="1029" t="s">
        <v>2130</v>
      </c>
      <c r="I14" s="161"/>
      <c r="J14" s="145"/>
      <c r="K14" s="16" t="s">
        <v>22</v>
      </c>
      <c r="L14" s="244" t="s">
        <v>23</v>
      </c>
      <c r="M14" s="60"/>
      <c r="N14" s="385"/>
      <c r="O14" s="61"/>
      <c r="P14" s="491" t="s">
        <v>2134</v>
      </c>
      <c r="Q14" s="399" t="s">
        <v>92</v>
      </c>
      <c r="R14" s="61"/>
      <c r="S14" s="399" t="s">
        <v>2144</v>
      </c>
      <c r="T14" s="399"/>
      <c r="U14" s="399"/>
      <c r="V14" s="468" t="s">
        <v>2146</v>
      </c>
      <c r="W14" s="61" t="s">
        <v>66</v>
      </c>
      <c r="X14" s="522" t="s">
        <v>158</v>
      </c>
      <c r="Y14" s="80"/>
      <c r="Z14" s="164"/>
      <c r="AA14" s="373"/>
      <c r="AB14" s="1305"/>
      <c r="AC14" s="98"/>
      <c r="AD14" s="109" t="s">
        <v>650</v>
      </c>
      <c r="AE14" s="1629"/>
      <c r="AF14" s="1630"/>
      <c r="AG14" s="1638"/>
      <c r="AH14" s="1638"/>
      <c r="AI14" s="1755"/>
      <c r="AJ14" s="1755"/>
      <c r="AK14" s="1755"/>
      <c r="AL14" s="1755"/>
      <c r="AM14" s="1755"/>
      <c r="AN14" s="1755"/>
      <c r="AO14" s="1755"/>
      <c r="AP14" s="1755"/>
      <c r="AQ14" s="1638"/>
      <c r="AR14" s="1638"/>
      <c r="AS14" s="1639"/>
      <c r="AU14" s="471" t="s">
        <v>2477</v>
      </c>
    </row>
    <row r="15" spans="1:49" ht="13.5" thickBot="1" x14ac:dyDescent="0.25">
      <c r="A15" s="182" t="s">
        <v>2475</v>
      </c>
      <c r="B15" s="36" t="s">
        <v>701</v>
      </c>
      <c r="C15" s="227"/>
      <c r="D15" s="470"/>
      <c r="E15" s="1036" t="s">
        <v>2272</v>
      </c>
      <c r="F15" s="45" t="s">
        <v>2136</v>
      </c>
      <c r="G15" s="19"/>
      <c r="H15" s="1538">
        <v>4.5</v>
      </c>
      <c r="I15" s="162">
        <v>44</v>
      </c>
      <c r="J15" s="1712" t="s">
        <v>2474</v>
      </c>
      <c r="K15" s="1620">
        <v>13.5</v>
      </c>
      <c r="L15" s="1325">
        <v>4068</v>
      </c>
      <c r="M15" s="1326">
        <f>L15</f>
        <v>4068</v>
      </c>
      <c r="N15" s="68" t="str">
        <f>IF(AND(G15&lt;&gt;"",M15&lt;&gt;""),1000*M15/G15,"")</f>
        <v/>
      </c>
      <c r="O15" s="65"/>
      <c r="P15" s="65">
        <v>1</v>
      </c>
      <c r="Q15" s="65">
        <v>16</v>
      </c>
      <c r="R15" s="469" t="s">
        <v>2138</v>
      </c>
      <c r="S15" s="65"/>
      <c r="T15" s="65">
        <v>70</v>
      </c>
      <c r="U15" s="65"/>
      <c r="V15" s="65">
        <v>10</v>
      </c>
      <c r="W15" s="469" t="s">
        <v>2137</v>
      </c>
      <c r="X15" s="110">
        <f>L15/8</f>
        <v>508.5</v>
      </c>
      <c r="Y15" s="81"/>
      <c r="Z15" s="141"/>
      <c r="AA15" s="371">
        <f>L15/Q15</f>
        <v>254.25</v>
      </c>
      <c r="AB15" s="55">
        <f>L15/V15</f>
        <v>406.8</v>
      </c>
      <c r="AC15" s="99">
        <f>T15/V15</f>
        <v>7</v>
      </c>
      <c r="AD15" s="191">
        <f>V15*18*1024/1000000</f>
        <v>0.18432000000000001</v>
      </c>
      <c r="AE15" s="1641">
        <v>0.9</v>
      </c>
      <c r="AF15" s="1642">
        <v>2.4</v>
      </c>
      <c r="AG15" s="1644" t="s">
        <v>697</v>
      </c>
      <c r="AH15" s="1676"/>
      <c r="AI15" s="1770" t="s">
        <v>2239</v>
      </c>
      <c r="AJ15" s="1770" t="s">
        <v>2553</v>
      </c>
      <c r="AK15" s="1765">
        <v>44</v>
      </c>
      <c r="AL15" s="1765"/>
      <c r="AM15" s="1756">
        <v>1</v>
      </c>
      <c r="AN15" s="1763"/>
      <c r="AO15" s="1763">
        <v>2</v>
      </c>
      <c r="AP15" s="1763"/>
      <c r="AQ15" s="1643"/>
      <c r="AR15" s="1676"/>
      <c r="AS15" s="1645"/>
      <c r="AU15" s="493" t="s">
        <v>2476</v>
      </c>
      <c r="AV15" s="6"/>
      <c r="AW15" s="516"/>
    </row>
    <row r="16" spans="1:49" ht="12.75" customHeight="1" x14ac:dyDescent="0.2">
      <c r="A16" s="187"/>
      <c r="B16" s="12" t="s">
        <v>1289</v>
      </c>
      <c r="C16" s="226"/>
      <c r="D16" s="212"/>
      <c r="E16" s="193"/>
      <c r="F16" s="466" t="s">
        <v>1017</v>
      </c>
      <c r="G16" s="49"/>
      <c r="H16" s="131" t="s">
        <v>943</v>
      </c>
      <c r="I16" s="165"/>
      <c r="J16" s="1386"/>
      <c r="K16" s="1387"/>
      <c r="L16" s="248" t="s">
        <v>23</v>
      </c>
      <c r="M16" s="61"/>
      <c r="N16" s="61"/>
      <c r="O16" s="61"/>
      <c r="P16" s="61"/>
      <c r="Q16" s="61"/>
      <c r="R16" s="61"/>
      <c r="S16" s="61"/>
      <c r="T16" s="61"/>
      <c r="U16" s="61"/>
      <c r="V16" s="61" t="s">
        <v>52</v>
      </c>
      <c r="W16" s="61" t="s">
        <v>598</v>
      </c>
      <c r="X16" s="113" t="s">
        <v>158</v>
      </c>
      <c r="Y16" s="171"/>
      <c r="Z16" s="164"/>
      <c r="AA16" s="373"/>
      <c r="AB16" s="1305"/>
      <c r="AC16" s="105"/>
      <c r="AD16" s="109" t="s">
        <v>650</v>
      </c>
      <c r="AE16" s="1629"/>
      <c r="AF16" s="1630"/>
      <c r="AG16" s="1638"/>
      <c r="AH16" s="1638"/>
      <c r="AI16" s="1755"/>
      <c r="AJ16" s="1755"/>
      <c r="AK16" s="1755"/>
      <c r="AL16" s="1755"/>
      <c r="AM16" s="1755"/>
      <c r="AN16" s="1755"/>
      <c r="AO16" s="1755"/>
      <c r="AP16" s="1755"/>
      <c r="AQ16" s="1638"/>
      <c r="AR16" s="1638"/>
      <c r="AS16" s="1639"/>
      <c r="AU16" s="236" t="s">
        <v>653</v>
      </c>
    </row>
    <row r="17" spans="1:51" ht="12.75" customHeight="1" thickBot="1" x14ac:dyDescent="0.25">
      <c r="A17" s="519" t="s">
        <v>2425</v>
      </c>
      <c r="B17" s="482"/>
      <c r="C17" s="296"/>
      <c r="D17" s="300"/>
      <c r="E17" s="910" t="s">
        <v>1819</v>
      </c>
      <c r="F17" s="45"/>
      <c r="G17" s="19"/>
      <c r="H17" s="124"/>
      <c r="I17" s="162"/>
      <c r="J17" s="1713" t="s">
        <v>2426</v>
      </c>
      <c r="K17" s="1714">
        <v>25</v>
      </c>
      <c r="L17" s="1067">
        <v>5280</v>
      </c>
      <c r="M17" s="469">
        <f>L17</f>
        <v>5280</v>
      </c>
      <c r="N17" s="469" t="str">
        <f>IF(AND(G17&lt;&gt;"",M17&lt;&gt;""),M17/G17,"")</f>
        <v/>
      </c>
      <c r="O17" s="469"/>
      <c r="P17" s="469"/>
      <c r="Q17" s="469">
        <v>8</v>
      </c>
      <c r="R17" s="469">
        <v>1</v>
      </c>
      <c r="S17" s="469"/>
      <c r="T17" s="469">
        <v>39</v>
      </c>
      <c r="U17" s="469"/>
      <c r="V17" s="469">
        <v>30</v>
      </c>
      <c r="W17" s="536" t="s">
        <v>1820</v>
      </c>
      <c r="X17" s="1131">
        <f>L17/8</f>
        <v>660</v>
      </c>
      <c r="Y17" s="83"/>
      <c r="Z17" s="172"/>
      <c r="AA17" s="371">
        <f>L17/Q17</f>
        <v>660</v>
      </c>
      <c r="AB17" s="211"/>
      <c r="AC17" s="103">
        <f>T17/V17</f>
        <v>1.3</v>
      </c>
      <c r="AD17" s="115"/>
      <c r="AE17" s="1641">
        <v>0.9</v>
      </c>
      <c r="AF17" s="1642">
        <v>2.4</v>
      </c>
      <c r="AG17" s="1644" t="s">
        <v>697</v>
      </c>
      <c r="AH17" s="1676"/>
      <c r="AI17" s="1765"/>
      <c r="AJ17" s="1765"/>
      <c r="AK17" s="1765">
        <v>39</v>
      </c>
      <c r="AL17" s="1765"/>
      <c r="AM17" s="1756">
        <v>1</v>
      </c>
      <c r="AN17" s="1763"/>
      <c r="AO17" s="1763"/>
      <c r="AP17" s="1763"/>
      <c r="AQ17" s="1643"/>
      <c r="AR17" s="1676" t="s">
        <v>697</v>
      </c>
      <c r="AS17" s="1645"/>
      <c r="AU17" s="516" t="s">
        <v>2050</v>
      </c>
    </row>
    <row r="18" spans="1:51" x14ac:dyDescent="0.2">
      <c r="A18" s="182"/>
      <c r="B18" s="48" t="s">
        <v>717</v>
      </c>
      <c r="C18" s="226"/>
      <c r="D18" s="212"/>
      <c r="E18" s="12" t="s">
        <v>1592</v>
      </c>
      <c r="F18" s="466" t="s">
        <v>1584</v>
      </c>
      <c r="G18" s="14" t="s">
        <v>22</v>
      </c>
      <c r="H18" s="132" t="s">
        <v>528</v>
      </c>
      <c r="I18" s="408"/>
      <c r="J18" s="1289"/>
      <c r="K18" s="1290" t="s">
        <v>22</v>
      </c>
      <c r="L18" s="411" t="s">
        <v>23</v>
      </c>
      <c r="M18" s="60"/>
      <c r="N18" s="385"/>
      <c r="O18" s="61"/>
      <c r="P18" s="61"/>
      <c r="Q18" s="61" t="s">
        <v>92</v>
      </c>
      <c r="R18" s="61"/>
      <c r="S18" s="61" t="s">
        <v>1595</v>
      </c>
      <c r="T18" s="61"/>
      <c r="U18" s="61" t="s">
        <v>1593</v>
      </c>
      <c r="V18" s="62" t="s">
        <v>157</v>
      </c>
      <c r="W18" s="61" t="s">
        <v>1329</v>
      </c>
      <c r="X18" s="109" t="s">
        <v>25</v>
      </c>
      <c r="Y18" s="80" t="s">
        <v>65</v>
      </c>
      <c r="Z18" s="164"/>
      <c r="AA18" s="372"/>
      <c r="AB18" s="53"/>
      <c r="AC18" s="98"/>
      <c r="AD18" s="109" t="s">
        <v>650</v>
      </c>
      <c r="AE18" s="1629"/>
      <c r="AF18" s="1630"/>
      <c r="AG18" s="1638"/>
      <c r="AH18" s="1638"/>
      <c r="AI18" s="1755"/>
      <c r="AJ18" s="1755"/>
      <c r="AK18" s="1755"/>
      <c r="AL18" s="1755"/>
      <c r="AM18" s="1755"/>
      <c r="AN18" s="1755"/>
      <c r="AO18" s="1755"/>
      <c r="AP18" s="1755"/>
      <c r="AQ18" s="1638"/>
      <c r="AR18" s="1638"/>
      <c r="AS18" s="1639"/>
      <c r="AU18" s="516" t="s">
        <v>1583</v>
      </c>
    </row>
    <row r="19" spans="1:51" ht="13.5" thickBot="1" x14ac:dyDescent="0.25">
      <c r="A19" s="182" t="s">
        <v>26</v>
      </c>
      <c r="B19" s="1146" t="s">
        <v>1594</v>
      </c>
      <c r="C19" s="1275" t="s">
        <v>697</v>
      </c>
      <c r="D19" s="231" t="s">
        <v>702</v>
      </c>
      <c r="E19" s="1112" t="s">
        <v>1587</v>
      </c>
      <c r="F19" s="133"/>
      <c r="G19" s="34">
        <v>11.16</v>
      </c>
      <c r="H19" s="130">
        <v>4</v>
      </c>
      <c r="I19" s="418">
        <v>56</v>
      </c>
      <c r="J19" s="529" t="s">
        <v>2454</v>
      </c>
      <c r="K19" s="419">
        <v>29</v>
      </c>
      <c r="L19" s="1675">
        <f>X19/100</f>
        <v>8</v>
      </c>
      <c r="M19" s="454">
        <f>X19/100</f>
        <v>8</v>
      </c>
      <c r="N19" s="68">
        <f>IF(AND(G19&lt;&gt;"",M19&lt;&gt;""),1000*M19/G19,"")</f>
        <v>716.84587813620067</v>
      </c>
      <c r="O19" s="68"/>
      <c r="P19" s="68"/>
      <c r="Q19" s="68">
        <v>24</v>
      </c>
      <c r="R19" s="533">
        <v>2</v>
      </c>
      <c r="S19" s="68">
        <v>1</v>
      </c>
      <c r="T19" s="68">
        <v>250</v>
      </c>
      <c r="U19" s="68"/>
      <c r="V19" s="76">
        <v>42</v>
      </c>
      <c r="W19" s="68">
        <v>172</v>
      </c>
      <c r="X19" s="116">
        <v>800</v>
      </c>
      <c r="Y19" s="88"/>
      <c r="Z19" s="142"/>
      <c r="AA19" s="379">
        <f>M19*1000/Q19</f>
        <v>333.33333333333331</v>
      </c>
      <c r="AB19" s="55">
        <f>L19*1000/V19</f>
        <v>190.47619047619048</v>
      </c>
      <c r="AC19" s="100">
        <f>T19/V19</f>
        <v>5.9523809523809526</v>
      </c>
      <c r="AD19" s="192">
        <f>256*36*V19/1000000</f>
        <v>0.38707200000000003</v>
      </c>
      <c r="AE19" s="1641">
        <v>0.9</v>
      </c>
      <c r="AF19" s="1642">
        <v>2</v>
      </c>
      <c r="AG19" s="1644" t="s">
        <v>697</v>
      </c>
      <c r="AH19" s="1676" t="s">
        <v>697</v>
      </c>
      <c r="AI19" s="1765"/>
      <c r="AJ19" s="1765"/>
      <c r="AK19" s="1765">
        <v>28</v>
      </c>
      <c r="AL19" s="1765"/>
      <c r="AM19" s="1756">
        <v>8</v>
      </c>
      <c r="AN19" s="1763"/>
      <c r="AO19" s="1763">
        <v>2</v>
      </c>
      <c r="AP19" s="1763"/>
      <c r="AQ19" s="1643"/>
      <c r="AR19" s="1676" t="s">
        <v>697</v>
      </c>
      <c r="AS19" s="1645"/>
      <c r="AU19" s="516" t="s">
        <v>2008</v>
      </c>
    </row>
    <row r="20" spans="1:51" ht="12.75" customHeight="1" x14ac:dyDescent="0.2">
      <c r="A20" s="182"/>
      <c r="B20" s="48" t="s">
        <v>715</v>
      </c>
      <c r="C20" s="226"/>
      <c r="D20" s="212"/>
      <c r="E20" s="12" t="s">
        <v>1785</v>
      </c>
      <c r="F20" s="466" t="s">
        <v>1018</v>
      </c>
      <c r="G20" s="14" t="s">
        <v>22</v>
      </c>
      <c r="H20" s="40" t="s">
        <v>531</v>
      </c>
      <c r="I20" s="408"/>
      <c r="J20" s="1386"/>
      <c r="K20" s="412" t="s">
        <v>22</v>
      </c>
      <c r="L20" s="248" t="s">
        <v>665</v>
      </c>
      <c r="M20" s="383" t="s">
        <v>696</v>
      </c>
      <c r="N20" s="380"/>
      <c r="O20" s="382">
        <f>AVERAGE(O23:O138)</f>
        <v>313.37587631254473</v>
      </c>
      <c r="P20" s="60"/>
      <c r="Q20" s="399" t="s">
        <v>1739</v>
      </c>
      <c r="R20" s="399" t="s">
        <v>1341</v>
      </c>
      <c r="S20" s="61"/>
      <c r="T20" s="61"/>
      <c r="U20" s="61" t="s">
        <v>963</v>
      </c>
      <c r="V20" s="74" t="s">
        <v>433</v>
      </c>
      <c r="W20" s="399" t="s">
        <v>1167</v>
      </c>
      <c r="X20" s="109" t="s">
        <v>207</v>
      </c>
      <c r="Y20" s="80" t="s">
        <v>695</v>
      </c>
      <c r="Z20" s="206"/>
      <c r="AA20" s="370"/>
      <c r="AB20" s="92"/>
      <c r="AC20" s="98"/>
      <c r="AD20" s="109" t="s">
        <v>650</v>
      </c>
      <c r="AE20" s="1629"/>
      <c r="AF20" s="1630"/>
      <c r="AG20" s="1638"/>
      <c r="AH20" s="1638"/>
      <c r="AI20" s="1755"/>
      <c r="AJ20" s="1755"/>
      <c r="AK20" s="1755"/>
      <c r="AL20" s="1755"/>
      <c r="AM20" s="1755"/>
      <c r="AN20" s="1755"/>
      <c r="AO20" s="1755"/>
      <c r="AP20" s="1755"/>
      <c r="AQ20" s="1638"/>
      <c r="AR20" s="1638"/>
      <c r="AS20" s="1639"/>
      <c r="AU20" s="493" t="s">
        <v>1168</v>
      </c>
    </row>
    <row r="21" spans="1:51" ht="13.5" thickBot="1" x14ac:dyDescent="0.25">
      <c r="A21" s="656" t="s">
        <v>2109</v>
      </c>
      <c r="B21" s="17" t="s">
        <v>702</v>
      </c>
      <c r="C21" s="227" t="s">
        <v>697</v>
      </c>
      <c r="D21" s="213"/>
      <c r="E21" s="910" t="s">
        <v>1788</v>
      </c>
      <c r="F21" s="1192" t="s">
        <v>1933</v>
      </c>
      <c r="G21" s="43">
        <v>25.4</v>
      </c>
      <c r="H21" s="128">
        <v>13</v>
      </c>
      <c r="I21" s="430">
        <v>150</v>
      </c>
      <c r="J21" s="529" t="s">
        <v>2469</v>
      </c>
      <c r="K21" s="1721">
        <v>29.57</v>
      </c>
      <c r="L21" s="456">
        <f>8*X21/1000</f>
        <v>14.6</v>
      </c>
      <c r="M21" s="457">
        <f>12.8*X21/1000</f>
        <v>23.36</v>
      </c>
      <c r="N21" s="889">
        <f>IF(AND(G21&lt;&gt;"",M21&lt;&gt;""),1000*M21/G21,"")</f>
        <v>919.68503937007881</v>
      </c>
      <c r="O21" s="65"/>
      <c r="P21" s="65"/>
      <c r="Q21" s="65">
        <v>80</v>
      </c>
      <c r="R21" s="65">
        <v>3</v>
      </c>
      <c r="S21" s="65"/>
      <c r="T21" s="65">
        <v>150</v>
      </c>
      <c r="U21" s="65">
        <v>1</v>
      </c>
      <c r="V21" s="65">
        <v>45</v>
      </c>
      <c r="W21" s="71">
        <v>1</v>
      </c>
      <c r="X21" s="115">
        <v>1825</v>
      </c>
      <c r="Y21" s="87"/>
      <c r="Z21" s="141"/>
      <c r="AA21" s="371">
        <f>1000*M21/Q21</f>
        <v>292</v>
      </c>
      <c r="AB21" s="55">
        <f>L21*1000/V21</f>
        <v>324.44444444444446</v>
      </c>
      <c r="AC21" s="99">
        <f>T21/V21</f>
        <v>3.3333333333333335</v>
      </c>
      <c r="AD21" s="191">
        <f>512*72*V21/1000000</f>
        <v>1.6588799999999999</v>
      </c>
      <c r="AE21" s="1641">
        <v>1</v>
      </c>
      <c r="AF21" s="1642">
        <v>2</v>
      </c>
      <c r="AG21" s="1644"/>
      <c r="AH21" s="1676" t="s">
        <v>697</v>
      </c>
      <c r="AI21" s="1770" t="s">
        <v>2239</v>
      </c>
      <c r="AJ21" s="1765"/>
      <c r="AK21" s="1765">
        <v>64</v>
      </c>
      <c r="AL21" s="1765"/>
      <c r="AM21" s="1756"/>
      <c r="AN21" s="1763"/>
      <c r="AO21" s="1763"/>
      <c r="AP21" s="1763"/>
      <c r="AQ21" s="1643"/>
      <c r="AR21" s="1676"/>
      <c r="AS21" s="1645"/>
      <c r="AU21" s="1689" t="s">
        <v>2483</v>
      </c>
    </row>
    <row r="22" spans="1:51" x14ac:dyDescent="0.2">
      <c r="A22" s="656"/>
      <c r="B22" s="915" t="s">
        <v>717</v>
      </c>
      <c r="C22" s="660"/>
      <c r="D22" s="658"/>
      <c r="E22" s="606" t="s">
        <v>1895</v>
      </c>
      <c r="F22" s="945" t="s">
        <v>1018</v>
      </c>
      <c r="G22" s="607" t="s">
        <v>22</v>
      </c>
      <c r="H22" s="644" t="s">
        <v>513</v>
      </c>
      <c r="I22" s="1285"/>
      <c r="J22" s="952"/>
      <c r="K22" s="1286"/>
      <c r="L22" s="1030" t="s">
        <v>1848</v>
      </c>
      <c r="M22" s="61"/>
      <c r="N22" s="385"/>
      <c r="O22" s="61"/>
      <c r="P22" s="61"/>
      <c r="Q22" s="399" t="s">
        <v>92</v>
      </c>
      <c r="R22" s="61"/>
      <c r="S22" s="399"/>
      <c r="T22" s="61"/>
      <c r="U22" s="399"/>
      <c r="V22" s="468" t="s">
        <v>157</v>
      </c>
      <c r="W22" s="61"/>
      <c r="X22" s="109" t="s">
        <v>25</v>
      </c>
      <c r="Y22" s="80" t="s">
        <v>65</v>
      </c>
      <c r="Z22" s="164"/>
      <c r="AA22" s="372"/>
      <c r="AB22" s="210"/>
      <c r="AC22" s="98"/>
      <c r="AD22" s="109" t="s">
        <v>650</v>
      </c>
      <c r="AE22" s="1629"/>
      <c r="AF22" s="1630"/>
      <c r="AG22" s="1638"/>
      <c r="AH22" s="1638"/>
      <c r="AI22" s="1755"/>
      <c r="AJ22" s="1755"/>
      <c r="AK22" s="1755"/>
      <c r="AL22" s="1755"/>
      <c r="AM22" s="1755"/>
      <c r="AN22" s="1755"/>
      <c r="AO22" s="1755"/>
      <c r="AP22" s="1755"/>
      <c r="AQ22" s="1638"/>
      <c r="AR22" s="1638"/>
      <c r="AS22" s="1639"/>
      <c r="AU22" s="516" t="s">
        <v>1858</v>
      </c>
    </row>
    <row r="23" spans="1:51" ht="13.5" thickBot="1" x14ac:dyDescent="0.25">
      <c r="A23" s="656" t="s">
        <v>2109</v>
      </c>
      <c r="B23" s="17" t="s">
        <v>702</v>
      </c>
      <c r="C23" s="230"/>
      <c r="D23" s="213" t="s">
        <v>708</v>
      </c>
      <c r="E23" s="911" t="s">
        <v>1853</v>
      </c>
      <c r="F23" s="45"/>
      <c r="G23" s="19">
        <v>26.25</v>
      </c>
      <c r="H23" s="124">
        <v>14</v>
      </c>
      <c r="I23" s="409">
        <v>150</v>
      </c>
      <c r="J23" s="487" t="s">
        <v>2107</v>
      </c>
      <c r="K23" s="413">
        <v>45</v>
      </c>
      <c r="L23" s="451">
        <v>24.623999999999999</v>
      </c>
      <c r="M23" s="452">
        <v>24.623999999999999</v>
      </c>
      <c r="N23" s="65">
        <f>IF(AND(G23&lt;&gt;"",M23&lt;&gt;""),1000*M23/G23,"")</f>
        <v>938.05714285714282</v>
      </c>
      <c r="O23" s="65"/>
      <c r="P23" s="65"/>
      <c r="Q23" s="65">
        <v>66</v>
      </c>
      <c r="R23" s="469">
        <v>4</v>
      </c>
      <c r="S23" s="65"/>
      <c r="T23" s="65">
        <v>325</v>
      </c>
      <c r="U23" s="65"/>
      <c r="V23" s="65">
        <v>66</v>
      </c>
      <c r="W23" s="65"/>
      <c r="X23" s="110"/>
      <c r="Y23" s="81"/>
      <c r="Z23" s="141"/>
      <c r="AA23" s="378">
        <f>M23*1000/Q23</f>
        <v>373.09090909090907</v>
      </c>
      <c r="AB23" s="55">
        <f>L23*1000/V23</f>
        <v>373.09090909090907</v>
      </c>
      <c r="AC23" s="99">
        <f>T23/V23</f>
        <v>4.9242424242424239</v>
      </c>
      <c r="AD23" s="191">
        <f>256*36*V23/1000000</f>
        <v>0.60825600000000002</v>
      </c>
      <c r="AE23" s="1641">
        <v>0.9</v>
      </c>
      <c r="AF23" s="1642">
        <v>2</v>
      </c>
      <c r="AG23" s="1644" t="s">
        <v>697</v>
      </c>
      <c r="AH23" s="1676" t="s">
        <v>697</v>
      </c>
      <c r="AI23" s="1765"/>
      <c r="AJ23" s="1765"/>
      <c r="AK23" s="1765"/>
      <c r="AL23" s="1765"/>
      <c r="AM23" s="1756"/>
      <c r="AN23" s="1763"/>
      <c r="AO23" s="1763"/>
      <c r="AP23" s="1763"/>
      <c r="AQ23" s="1643"/>
      <c r="AR23" s="1676" t="s">
        <v>697</v>
      </c>
      <c r="AS23" s="1645"/>
      <c r="AU23" s="516" t="s">
        <v>2108</v>
      </c>
    </row>
    <row r="24" spans="1:51" x14ac:dyDescent="0.2">
      <c r="A24" s="182"/>
      <c r="B24" s="48" t="s">
        <v>717</v>
      </c>
      <c r="C24" s="226"/>
      <c r="D24" s="212"/>
      <c r="E24" s="12" t="s">
        <v>1592</v>
      </c>
      <c r="F24" s="466" t="s">
        <v>1584</v>
      </c>
      <c r="G24" s="14" t="s">
        <v>22</v>
      </c>
      <c r="H24" s="132" t="s">
        <v>528</v>
      </c>
      <c r="I24" s="408"/>
      <c r="J24" s="1307"/>
      <c r="K24" s="412" t="s">
        <v>22</v>
      </c>
      <c r="L24" s="248" t="s">
        <v>23</v>
      </c>
      <c r="M24" s="60"/>
      <c r="N24" s="385"/>
      <c r="O24" s="61"/>
      <c r="P24" s="61"/>
      <c r="Q24" s="399" t="s">
        <v>92</v>
      </c>
      <c r="R24" s="61"/>
      <c r="S24" s="61" t="s">
        <v>1595</v>
      </c>
      <c r="T24" s="61"/>
      <c r="U24" s="61" t="s">
        <v>1593</v>
      </c>
      <c r="V24" s="62" t="s">
        <v>157</v>
      </c>
      <c r="W24" s="61" t="s">
        <v>1329</v>
      </c>
      <c r="X24" s="109" t="s">
        <v>25</v>
      </c>
      <c r="Y24" s="80" t="s">
        <v>65</v>
      </c>
      <c r="Z24" s="164"/>
      <c r="AA24" s="372"/>
      <c r="AB24" s="210"/>
      <c r="AC24" s="98"/>
      <c r="AD24" s="109" t="s">
        <v>650</v>
      </c>
      <c r="AE24" s="1629"/>
      <c r="AF24" s="1630"/>
      <c r="AG24" s="1638"/>
      <c r="AH24" s="1638"/>
      <c r="AI24" s="1755"/>
      <c r="AJ24" s="1755"/>
      <c r="AK24" s="1755"/>
      <c r="AL24" s="1755"/>
      <c r="AM24" s="1755"/>
      <c r="AN24" s="1755"/>
      <c r="AO24" s="1755"/>
      <c r="AP24" s="1755"/>
      <c r="AQ24" s="1638"/>
      <c r="AR24" s="1638"/>
      <c r="AS24" s="1639"/>
      <c r="AU24" s="516" t="s">
        <v>1583</v>
      </c>
    </row>
    <row r="25" spans="1:51" ht="13.5" thickBot="1" x14ac:dyDescent="0.25">
      <c r="A25" s="182" t="s">
        <v>2479</v>
      </c>
      <c r="B25" s="1146" t="s">
        <v>1594</v>
      </c>
      <c r="C25" s="1275" t="s">
        <v>697</v>
      </c>
      <c r="D25" s="214" t="s">
        <v>702</v>
      </c>
      <c r="E25" s="1112" t="s">
        <v>1585</v>
      </c>
      <c r="F25" s="133" t="s">
        <v>1680</v>
      </c>
      <c r="G25" s="34">
        <v>3.78</v>
      </c>
      <c r="H25" s="1686">
        <v>3</v>
      </c>
      <c r="I25" s="418">
        <v>27</v>
      </c>
      <c r="J25" s="1693" t="s">
        <v>2466</v>
      </c>
      <c r="K25" s="1661">
        <v>38.85</v>
      </c>
      <c r="L25" s="453">
        <f>X25/100</f>
        <v>2</v>
      </c>
      <c r="M25" s="454">
        <f>X25/100</f>
        <v>2</v>
      </c>
      <c r="N25" s="68">
        <f>IF(AND(G25&lt;&gt;"",M25&lt;&gt;""),1000*M25/G25,"")</f>
        <v>529.10052910052912</v>
      </c>
      <c r="O25" s="68"/>
      <c r="P25" s="68"/>
      <c r="Q25" s="68">
        <v>16</v>
      </c>
      <c r="R25" s="533">
        <v>2</v>
      </c>
      <c r="S25" s="68"/>
      <c r="T25" s="68">
        <v>160</v>
      </c>
      <c r="U25" s="68"/>
      <c r="V25" s="76">
        <v>12</v>
      </c>
      <c r="W25" s="68">
        <v>12</v>
      </c>
      <c r="X25" s="116">
        <v>200</v>
      </c>
      <c r="Y25" s="88">
        <v>1.5</v>
      </c>
      <c r="Z25" s="142">
        <f>IF(AND(L25&lt;&gt;"",Y25&lt;&gt;""),1000*L25/Y25,"")</f>
        <v>1333.3333333333333</v>
      </c>
      <c r="AA25" s="379">
        <f>M25*1000/Q25</f>
        <v>125</v>
      </c>
      <c r="AB25" s="55">
        <f>L25*1000/V25</f>
        <v>166.66666666666666</v>
      </c>
      <c r="AC25" s="100">
        <f>T25/V25</f>
        <v>13.333333333333334</v>
      </c>
      <c r="AD25" s="192">
        <f>256*36*V25/1000000</f>
        <v>0.110592</v>
      </c>
      <c r="AE25" s="1641">
        <v>0.7</v>
      </c>
      <c r="AF25" s="1642">
        <v>2</v>
      </c>
      <c r="AG25" s="1644" t="s">
        <v>697</v>
      </c>
      <c r="AH25" s="1676"/>
      <c r="AI25" s="1765"/>
      <c r="AJ25" s="1765"/>
      <c r="AK25" s="1765">
        <v>30</v>
      </c>
      <c r="AL25" s="1765">
        <v>2</v>
      </c>
      <c r="AM25" s="1756">
        <v>10</v>
      </c>
      <c r="AN25" s="1763">
        <v>4</v>
      </c>
      <c r="AO25" s="1763">
        <v>4</v>
      </c>
      <c r="AP25" s="1763"/>
      <c r="AQ25" s="1643"/>
      <c r="AR25" s="1676"/>
      <c r="AS25" s="1645"/>
      <c r="AU25" s="1612" t="s">
        <v>2467</v>
      </c>
    </row>
    <row r="26" spans="1:51" ht="13.5" customHeight="1" x14ac:dyDescent="0.2">
      <c r="A26" s="182"/>
      <c r="B26" s="48" t="s">
        <v>716</v>
      </c>
      <c r="C26" s="226"/>
      <c r="D26" s="212"/>
      <c r="E26" s="12" t="s">
        <v>1020</v>
      </c>
      <c r="F26" s="466" t="s">
        <v>1012</v>
      </c>
      <c r="G26" s="14" t="s">
        <v>22</v>
      </c>
      <c r="H26" s="132" t="s">
        <v>529</v>
      </c>
      <c r="I26" s="161"/>
      <c r="J26" s="145"/>
      <c r="K26" s="16" t="s">
        <v>22</v>
      </c>
      <c r="L26" s="248" t="s">
        <v>23</v>
      </c>
      <c r="M26" s="61"/>
      <c r="N26" s="386"/>
      <c r="O26" s="61"/>
      <c r="P26" s="61"/>
      <c r="Q26" s="399" t="s">
        <v>1028</v>
      </c>
      <c r="R26" s="61"/>
      <c r="S26" s="61"/>
      <c r="T26" s="399" t="s">
        <v>1029</v>
      </c>
      <c r="U26" s="399" t="s">
        <v>1030</v>
      </c>
      <c r="V26" s="468" t="s">
        <v>1027</v>
      </c>
      <c r="W26" s="61" t="s">
        <v>66</v>
      </c>
      <c r="X26" s="109" t="s">
        <v>158</v>
      </c>
      <c r="Y26" s="80"/>
      <c r="Z26" s="164"/>
      <c r="AA26" s="373"/>
      <c r="AB26" s="92"/>
      <c r="AC26" s="98"/>
      <c r="AD26" s="109" t="s">
        <v>650</v>
      </c>
      <c r="AE26" s="1629"/>
      <c r="AF26" s="1630"/>
      <c r="AG26" s="1638"/>
      <c r="AH26" s="1638"/>
      <c r="AI26" s="1755"/>
      <c r="AJ26" s="1755"/>
      <c r="AK26" s="1755"/>
      <c r="AL26" s="1755"/>
      <c r="AM26" s="1755"/>
      <c r="AN26" s="1755"/>
      <c r="AO26" s="1755"/>
      <c r="AP26" s="1755"/>
      <c r="AQ26" s="1638"/>
      <c r="AR26" s="1638"/>
      <c r="AS26" s="1639"/>
      <c r="AU26" s="471" t="s">
        <v>1031</v>
      </c>
    </row>
    <row r="27" spans="1:51" ht="13.5" thickBot="1" x14ac:dyDescent="0.25">
      <c r="A27" s="182" t="s">
        <v>2479</v>
      </c>
      <c r="B27" s="33" t="s">
        <v>701</v>
      </c>
      <c r="C27" s="228"/>
      <c r="D27" s="231" t="s">
        <v>708</v>
      </c>
      <c r="E27" s="417" t="s">
        <v>1025</v>
      </c>
      <c r="F27" s="22" t="s">
        <v>1285</v>
      </c>
      <c r="G27" s="23">
        <v>10.65</v>
      </c>
      <c r="H27" s="1545">
        <v>8</v>
      </c>
      <c r="I27" s="163">
        <v>105</v>
      </c>
      <c r="J27" s="1691" t="s">
        <v>2473</v>
      </c>
      <c r="K27" s="1692">
        <v>38.85</v>
      </c>
      <c r="L27" s="1594">
        <v>4.32</v>
      </c>
      <c r="M27" s="68">
        <f>1000*L27</f>
        <v>4320</v>
      </c>
      <c r="N27" s="68">
        <f>IF(AND(G27&lt;&gt;"",M27&lt;&gt;""),M27/G27,"")</f>
        <v>405.63380281690138</v>
      </c>
      <c r="O27" s="68"/>
      <c r="P27" s="68"/>
      <c r="Q27" s="68">
        <v>4</v>
      </c>
      <c r="R27" s="68">
        <v>2</v>
      </c>
      <c r="S27" s="68"/>
      <c r="T27" s="68">
        <v>279</v>
      </c>
      <c r="U27" s="68"/>
      <c r="V27" s="68">
        <v>10</v>
      </c>
      <c r="W27" s="68">
        <v>96</v>
      </c>
      <c r="X27" s="111">
        <f>125*L27</f>
        <v>540</v>
      </c>
      <c r="Y27" s="82"/>
      <c r="Z27" s="142"/>
      <c r="AA27" s="374">
        <f>L27*1000/Q27</f>
        <v>1080</v>
      </c>
      <c r="AB27" s="55">
        <f>L27*1000/V27</f>
        <v>432</v>
      </c>
      <c r="AC27" s="100">
        <f>T27/V27</f>
        <v>27.9</v>
      </c>
      <c r="AD27" s="192">
        <f>V27*512*18/1000000</f>
        <v>9.2160000000000006E-2</v>
      </c>
      <c r="AE27" s="1641">
        <v>0.7</v>
      </c>
      <c r="AF27" s="1642">
        <v>2</v>
      </c>
      <c r="AG27" s="1644" t="s">
        <v>697</v>
      </c>
      <c r="AH27" s="1676"/>
      <c r="AI27" s="1765"/>
      <c r="AJ27" s="1765"/>
      <c r="AK27" s="1765">
        <v>30</v>
      </c>
      <c r="AL27" s="1765">
        <v>2</v>
      </c>
      <c r="AM27" s="1756">
        <v>10</v>
      </c>
      <c r="AN27" s="1763">
        <v>4</v>
      </c>
      <c r="AO27" s="1763">
        <v>4</v>
      </c>
      <c r="AP27" s="1763"/>
      <c r="AQ27" s="1643"/>
      <c r="AR27" s="1676"/>
      <c r="AS27" s="1645"/>
      <c r="AU27" s="1306" t="s">
        <v>2478</v>
      </c>
    </row>
    <row r="28" spans="1:51" ht="18.75" customHeight="1" thickBot="1" x14ac:dyDescent="0.25">
      <c r="A28" s="188"/>
      <c r="B28" s="1653" t="s">
        <v>2446</v>
      </c>
      <c r="AE28" s="1677"/>
      <c r="AF28" s="1677"/>
      <c r="AG28" s="1677"/>
      <c r="AH28" s="1677"/>
      <c r="AI28" s="1759"/>
      <c r="AJ28" s="1759"/>
      <c r="AK28" s="1759"/>
      <c r="AL28" s="1759"/>
      <c r="AM28" s="1759"/>
      <c r="AN28" s="1759"/>
      <c r="AO28" s="1759"/>
      <c r="AP28" s="1759"/>
      <c r="AQ28" s="1677"/>
      <c r="AR28" s="1677"/>
      <c r="AS28" s="1677"/>
    </row>
    <row r="29" spans="1:51" ht="12.75" customHeight="1" x14ac:dyDescent="0.2">
      <c r="A29" s="401"/>
      <c r="B29" s="12" t="s">
        <v>595</v>
      </c>
      <c r="C29" s="226"/>
      <c r="D29" s="212"/>
      <c r="E29" s="276"/>
      <c r="F29" s="466" t="s">
        <v>1017</v>
      </c>
      <c r="G29" s="49"/>
      <c r="H29" s="131" t="s">
        <v>943</v>
      </c>
      <c r="I29" s="1646"/>
      <c r="J29" s="1386"/>
      <c r="K29" s="1387"/>
      <c r="L29" s="248" t="s">
        <v>23</v>
      </c>
      <c r="M29" s="61"/>
      <c r="N29" s="380"/>
      <c r="O29" s="61"/>
      <c r="P29" s="61"/>
      <c r="Q29" s="61" t="s">
        <v>1570</v>
      </c>
      <c r="R29" s="61"/>
      <c r="S29" s="61"/>
      <c r="T29" s="61"/>
      <c r="U29" s="61"/>
      <c r="V29" s="61" t="s">
        <v>52</v>
      </c>
      <c r="W29" s="61" t="s">
        <v>598</v>
      </c>
      <c r="X29" s="113" t="s">
        <v>158</v>
      </c>
      <c r="Y29" s="171"/>
      <c r="Z29" s="164"/>
      <c r="AA29" s="373"/>
      <c r="AB29" s="53"/>
      <c r="AC29" s="105"/>
      <c r="AD29" s="109" t="s">
        <v>650</v>
      </c>
      <c r="AE29" s="1629"/>
      <c r="AF29" s="1630"/>
      <c r="AG29" s="1674"/>
      <c r="AH29" s="1638"/>
      <c r="AI29" s="1768"/>
      <c r="AJ29" s="1768"/>
      <c r="AK29" s="1768"/>
      <c r="AL29" s="1768"/>
      <c r="AM29" s="1755"/>
      <c r="AN29" s="1755"/>
      <c r="AO29" s="1755"/>
      <c r="AP29" s="1755"/>
      <c r="AQ29" s="1673"/>
      <c r="AR29" s="1638"/>
      <c r="AS29" s="1639"/>
      <c r="AU29" s="516" t="s">
        <v>1487</v>
      </c>
    </row>
    <row r="30" spans="1:51" s="493" customFormat="1" ht="12.75" customHeight="1" thickBot="1" x14ac:dyDescent="0.25">
      <c r="A30" s="188" t="s">
        <v>2449</v>
      </c>
      <c r="B30" s="33" t="s">
        <v>701</v>
      </c>
      <c r="C30" s="232"/>
      <c r="D30" s="231" t="s">
        <v>705</v>
      </c>
      <c r="E30" s="1112" t="s">
        <v>1488</v>
      </c>
      <c r="F30" s="133" t="s">
        <v>1097</v>
      </c>
      <c r="G30" s="1143">
        <v>5.03</v>
      </c>
      <c r="H30" s="1544">
        <v>5</v>
      </c>
      <c r="I30" s="1133">
        <v>93</v>
      </c>
      <c r="J30" s="529" t="s">
        <v>2451</v>
      </c>
      <c r="K30" s="415">
        <v>40</v>
      </c>
      <c r="L30" s="1136">
        <v>3520</v>
      </c>
      <c r="M30" s="1137">
        <f>L30</f>
        <v>3520</v>
      </c>
      <c r="N30" s="533">
        <f>IF(AND(G30&lt;&gt;"",M30&lt;&gt;""),M30/G30,"")</f>
        <v>699.80119284294233</v>
      </c>
      <c r="O30" s="533"/>
      <c r="P30" s="533"/>
      <c r="Q30" s="533"/>
      <c r="R30" s="533">
        <v>2</v>
      </c>
      <c r="S30" s="533"/>
      <c r="T30" s="533">
        <v>137</v>
      </c>
      <c r="U30" s="533"/>
      <c r="V30" s="533">
        <v>20</v>
      </c>
      <c r="W30" s="1138"/>
      <c r="X30" s="1139">
        <f>L30/8</f>
        <v>440</v>
      </c>
      <c r="Y30" s="1140"/>
      <c r="Z30" s="1662"/>
      <c r="AA30" s="1141"/>
      <c r="AB30" s="55">
        <f>L30/V30</f>
        <v>176</v>
      </c>
      <c r="AC30" s="104">
        <f>T30/V30</f>
        <v>6.85</v>
      </c>
      <c r="AD30" s="1142">
        <f>V30*256*16/1000000</f>
        <v>8.1920000000000007E-2</v>
      </c>
      <c r="AE30" s="1641">
        <v>1.18</v>
      </c>
      <c r="AF30" s="1642">
        <v>2.2000000000000002</v>
      </c>
      <c r="AG30" s="1644" t="s">
        <v>697</v>
      </c>
      <c r="AH30" s="1650"/>
      <c r="AI30" s="1770" t="s">
        <v>2557</v>
      </c>
      <c r="AJ30" s="1765"/>
      <c r="AK30" s="1765">
        <v>30</v>
      </c>
      <c r="AL30" s="1765"/>
      <c r="AM30" s="1756">
        <v>3</v>
      </c>
      <c r="AN30" s="1756"/>
      <c r="AO30" s="1756"/>
      <c r="AP30" s="1756"/>
      <c r="AQ30" s="1643"/>
      <c r="AR30" s="1650">
        <v>4</v>
      </c>
      <c r="AS30" s="1645"/>
      <c r="AU30" s="493" t="s">
        <v>2558</v>
      </c>
    </row>
    <row r="31" spans="1:51" ht="15" x14ac:dyDescent="0.25">
      <c r="A31" s="188"/>
      <c r="B31" s="48" t="s">
        <v>715</v>
      </c>
      <c r="C31" s="226"/>
      <c r="D31" s="212"/>
      <c r="E31" s="12" t="s">
        <v>1073</v>
      </c>
      <c r="F31" s="466" t="s">
        <v>1018</v>
      </c>
      <c r="G31" s="14" t="s">
        <v>22</v>
      </c>
      <c r="H31" s="40" t="s">
        <v>531</v>
      </c>
      <c r="I31" s="408"/>
      <c r="J31" s="1386"/>
      <c r="K31" s="412" t="s">
        <v>22</v>
      </c>
      <c r="L31" s="248" t="s">
        <v>665</v>
      </c>
      <c r="M31" s="383" t="s">
        <v>696</v>
      </c>
      <c r="N31" s="380"/>
      <c r="O31" s="382">
        <f>AVERAGE(O38:O180)</f>
        <v>313.37587631254473</v>
      </c>
      <c r="P31" s="1697" t="s">
        <v>1074</v>
      </c>
      <c r="Q31" s="399" t="s">
        <v>1739</v>
      </c>
      <c r="R31" s="61" t="s">
        <v>976</v>
      </c>
      <c r="S31" s="61" t="s">
        <v>1380</v>
      </c>
      <c r="T31" s="61"/>
      <c r="U31" s="399" t="s">
        <v>964</v>
      </c>
      <c r="V31" s="490" t="s">
        <v>433</v>
      </c>
      <c r="W31" s="491" t="s">
        <v>1075</v>
      </c>
      <c r="X31" s="109" t="s">
        <v>207</v>
      </c>
      <c r="Y31" s="80" t="s">
        <v>695</v>
      </c>
      <c r="Z31" s="206"/>
      <c r="AA31" s="370"/>
      <c r="AB31" s="92"/>
      <c r="AC31" s="1452"/>
      <c r="AD31" s="109" t="s">
        <v>650</v>
      </c>
      <c r="AE31" s="1629"/>
      <c r="AF31" s="1630"/>
      <c r="AG31" s="1638"/>
      <c r="AH31" s="1638"/>
      <c r="AI31" s="1755"/>
      <c r="AJ31" s="1755"/>
      <c r="AK31" s="1755"/>
      <c r="AL31" s="1755"/>
      <c r="AM31" s="1755"/>
      <c r="AN31" s="1755"/>
      <c r="AO31" s="1755"/>
      <c r="AP31" s="1755"/>
      <c r="AQ31" s="1638"/>
      <c r="AR31" s="1638"/>
      <c r="AS31" s="1639"/>
      <c r="AU31" s="492" t="s">
        <v>1076</v>
      </c>
      <c r="AY31" s="1625"/>
    </row>
    <row r="32" spans="1:51" hidden="1" x14ac:dyDescent="0.2">
      <c r="A32" s="188" t="s">
        <v>929</v>
      </c>
      <c r="B32" s="17" t="s">
        <v>702</v>
      </c>
      <c r="C32" s="227" t="s">
        <v>697</v>
      </c>
      <c r="D32" s="213"/>
      <c r="E32" s="910" t="s">
        <v>1370</v>
      </c>
      <c r="F32" s="143" t="s">
        <v>1455</v>
      </c>
      <c r="G32" s="43">
        <v>54.86</v>
      </c>
      <c r="H32" s="128">
        <v>15</v>
      </c>
      <c r="I32" s="430">
        <v>80</v>
      </c>
      <c r="J32" s="1654" t="s">
        <v>2447</v>
      </c>
      <c r="K32" s="1655" t="s">
        <v>2448</v>
      </c>
      <c r="L32" s="456">
        <f>8*X32/1000</f>
        <v>17.600000000000001</v>
      </c>
      <c r="M32" s="457">
        <f>12.8*X32/1000</f>
        <v>28.16</v>
      </c>
      <c r="N32" s="65">
        <f>IF(AND(G32&lt;&gt;"",M32&lt;&gt;""),1000*M32/G32,"")</f>
        <v>513.30659861465551</v>
      </c>
      <c r="O32" s="65"/>
      <c r="P32" s="65">
        <v>2</v>
      </c>
      <c r="Q32" s="65">
        <v>80</v>
      </c>
      <c r="R32" s="65">
        <v>14</v>
      </c>
      <c r="S32" s="65"/>
      <c r="T32" s="449">
        <v>154</v>
      </c>
      <c r="U32" s="65"/>
      <c r="V32" s="65">
        <v>60</v>
      </c>
      <c r="W32" s="65">
        <v>768</v>
      </c>
      <c r="X32" s="115">
        <v>2200</v>
      </c>
      <c r="Y32" s="87">
        <v>15</v>
      </c>
      <c r="Z32" s="141">
        <f>IF(AND(L32&lt;&gt;"",Y32&lt;&gt;""),1000*L32/Y32,"")</f>
        <v>1173.3333333333333</v>
      </c>
      <c r="AA32" s="371">
        <f>1000*M32/Q32</f>
        <v>352</v>
      </c>
      <c r="AB32" s="54"/>
      <c r="AC32" s="281">
        <f>T32/V32</f>
        <v>2.5666666666666669</v>
      </c>
      <c r="AD32" s="191">
        <f>512*72*V32/1000000</f>
        <v>2.21184</v>
      </c>
      <c r="AE32" s="1656"/>
      <c r="AF32" s="1657"/>
      <c r="AG32" s="1659" t="s">
        <v>697</v>
      </c>
      <c r="AH32" s="1678"/>
      <c r="AI32" s="1769"/>
      <c r="AJ32" s="1769"/>
      <c r="AK32" s="1769"/>
      <c r="AL32" s="1769"/>
      <c r="AM32" s="1760"/>
      <c r="AN32" s="1760"/>
      <c r="AO32" s="1760"/>
      <c r="AP32" s="1760"/>
      <c r="AQ32" s="1658"/>
      <c r="AR32" s="1678"/>
      <c r="AS32" s="1679"/>
      <c r="AU32" s="493" t="s">
        <v>1077</v>
      </c>
    </row>
    <row r="33" spans="1:47" ht="13.5" thickBot="1" x14ac:dyDescent="0.25">
      <c r="A33" s="1241" t="s">
        <v>2449</v>
      </c>
      <c r="B33" s="21" t="s">
        <v>702</v>
      </c>
      <c r="C33" s="228" t="s">
        <v>697</v>
      </c>
      <c r="D33" s="214"/>
      <c r="E33" s="1112" t="s">
        <v>1370</v>
      </c>
      <c r="F33" s="144" t="s">
        <v>1455</v>
      </c>
      <c r="G33" s="34">
        <v>54.86</v>
      </c>
      <c r="H33" s="130">
        <v>15</v>
      </c>
      <c r="I33" s="418">
        <v>80</v>
      </c>
      <c r="J33" s="1146" t="s">
        <v>2450</v>
      </c>
      <c r="K33" s="1661">
        <v>129</v>
      </c>
      <c r="L33" s="458">
        <f>8*X33/1000</f>
        <v>17.600000000000001</v>
      </c>
      <c r="M33" s="459">
        <f>12.8*X33/1000</f>
        <v>28.16</v>
      </c>
      <c r="N33" s="68">
        <f>IF(AND(G33&lt;&gt;"",M33&lt;&gt;""),1000*M33/G33,"")</f>
        <v>513.30659861465551</v>
      </c>
      <c r="O33" s="68"/>
      <c r="P33" s="68">
        <v>2</v>
      </c>
      <c r="Q33" s="68">
        <v>80</v>
      </c>
      <c r="R33" s="68">
        <v>14</v>
      </c>
      <c r="S33" s="68"/>
      <c r="T33" s="450">
        <v>154</v>
      </c>
      <c r="U33" s="68"/>
      <c r="V33" s="68">
        <v>60</v>
      </c>
      <c r="W33" s="68">
        <v>768</v>
      </c>
      <c r="X33" s="116">
        <v>2200</v>
      </c>
      <c r="Y33" s="205">
        <v>15</v>
      </c>
      <c r="Z33" s="142">
        <f>IF(AND(L33&lt;&gt;"",Y33&lt;&gt;""),1000*L33/Y33,"")</f>
        <v>1173.3333333333333</v>
      </c>
      <c r="AA33" s="374">
        <f>1000*M33/Q33</f>
        <v>352</v>
      </c>
      <c r="AB33" s="55">
        <f>L33*1000/V33</f>
        <v>293.33333333333331</v>
      </c>
      <c r="AC33" s="294">
        <f>T33/V33</f>
        <v>2.5666666666666669</v>
      </c>
      <c r="AD33" s="192">
        <f>512*72*V33/1000000</f>
        <v>2.21184</v>
      </c>
      <c r="AE33" s="1641">
        <v>1.18</v>
      </c>
      <c r="AF33" s="1642">
        <v>2.56</v>
      </c>
      <c r="AG33" s="1644" t="s">
        <v>697</v>
      </c>
      <c r="AH33" s="1676" t="s">
        <v>697</v>
      </c>
      <c r="AI33" s="1775" t="s">
        <v>2560</v>
      </c>
      <c r="AJ33" s="1770" t="s">
        <v>2553</v>
      </c>
      <c r="AK33" s="1765">
        <v>26</v>
      </c>
      <c r="AL33" s="1765"/>
      <c r="AM33" s="1756"/>
      <c r="AN33" s="1763"/>
      <c r="AO33" s="1763"/>
      <c r="AP33" s="1763"/>
      <c r="AQ33" s="1643"/>
      <c r="AR33" s="1329" t="s">
        <v>2561</v>
      </c>
      <c r="AS33" s="1645"/>
      <c r="AU33" s="493" t="s">
        <v>2562</v>
      </c>
    </row>
    <row r="34" spans="1:47" ht="18" customHeight="1" thickBot="1" x14ac:dyDescent="0.3">
      <c r="A34" s="188"/>
      <c r="B34" s="1651" t="s">
        <v>2452</v>
      </c>
      <c r="AE34" s="1677"/>
      <c r="AF34" s="1677"/>
      <c r="AG34" s="1677"/>
      <c r="AH34" s="1677"/>
      <c r="AI34" s="1759"/>
      <c r="AJ34" s="1759"/>
      <c r="AK34" s="1759"/>
      <c r="AL34" s="1759"/>
      <c r="AM34" s="1759"/>
      <c r="AN34" s="1759"/>
      <c r="AO34" s="1759"/>
      <c r="AP34" s="1759"/>
      <c r="AQ34" s="1677"/>
      <c r="AR34" s="1677"/>
      <c r="AS34" s="1677"/>
    </row>
    <row r="35" spans="1:47" ht="13.5" hidden="1" thickBot="1" x14ac:dyDescent="0.25">
      <c r="A35" s="188"/>
      <c r="B35" s="48" t="s">
        <v>715</v>
      </c>
      <c r="C35" s="226"/>
      <c r="D35" s="212"/>
      <c r="E35" s="12" t="s">
        <v>1073</v>
      </c>
      <c r="F35" s="466" t="s">
        <v>1018</v>
      </c>
      <c r="G35" s="14" t="s">
        <v>22</v>
      </c>
      <c r="H35" s="40" t="s">
        <v>531</v>
      </c>
      <c r="I35" s="408"/>
      <c r="J35" s="1386"/>
      <c r="K35" s="412" t="s">
        <v>22</v>
      </c>
      <c r="L35" s="248" t="s">
        <v>665</v>
      </c>
      <c r="M35" s="383" t="s">
        <v>696</v>
      </c>
      <c r="N35" s="380" t="e">
        <f>AVERAGE(N36:N66)</f>
        <v>#DIV/0!</v>
      </c>
      <c r="O35" s="382"/>
      <c r="P35" s="489" t="s">
        <v>1074</v>
      </c>
      <c r="Q35" s="399" t="s">
        <v>1739</v>
      </c>
      <c r="R35" s="61" t="s">
        <v>976</v>
      </c>
      <c r="S35" s="61" t="s">
        <v>1380</v>
      </c>
      <c r="T35" s="61"/>
      <c r="U35" s="399" t="s">
        <v>964</v>
      </c>
      <c r="V35" s="490" t="s">
        <v>433</v>
      </c>
      <c r="W35" s="491" t="s">
        <v>1075</v>
      </c>
      <c r="X35" s="109" t="s">
        <v>207</v>
      </c>
      <c r="Y35" s="80" t="s">
        <v>695</v>
      </c>
      <c r="Z35" s="206"/>
      <c r="AA35" s="370"/>
      <c r="AB35" s="92"/>
      <c r="AC35" s="1452"/>
      <c r="AD35" s="109" t="s">
        <v>650</v>
      </c>
      <c r="AE35" s="1629"/>
      <c r="AF35" s="1630"/>
      <c r="AG35" s="1638"/>
      <c r="AH35" s="1638"/>
      <c r="AI35" s="1755"/>
      <c r="AJ35" s="1755"/>
      <c r="AK35" s="1755"/>
      <c r="AL35" s="1755"/>
      <c r="AM35" s="1755"/>
      <c r="AN35" s="1755"/>
      <c r="AO35" s="1755"/>
      <c r="AP35" s="1755"/>
      <c r="AQ35" s="1638"/>
      <c r="AR35" s="1638"/>
      <c r="AS35" s="1639"/>
      <c r="AU35" s="492" t="s">
        <v>1076</v>
      </c>
    </row>
    <row r="36" spans="1:47" ht="13.5" hidden="1" thickBot="1" x14ac:dyDescent="0.25">
      <c r="A36" s="188" t="s">
        <v>929</v>
      </c>
      <c r="B36" s="17" t="s">
        <v>702</v>
      </c>
      <c r="C36" s="227" t="s">
        <v>697</v>
      </c>
      <c r="D36" s="213"/>
      <c r="E36" s="910" t="s">
        <v>1370</v>
      </c>
      <c r="F36" s="143" t="s">
        <v>1455</v>
      </c>
      <c r="G36" s="43">
        <v>54.86</v>
      </c>
      <c r="H36" s="128">
        <v>15</v>
      </c>
      <c r="I36" s="430">
        <v>80</v>
      </c>
      <c r="J36" s="1660" t="s">
        <v>2453</v>
      </c>
      <c r="K36" s="1661" t="s">
        <v>2448</v>
      </c>
      <c r="L36" s="456">
        <f>8*X36/1000</f>
        <v>17.600000000000001</v>
      </c>
      <c r="M36" s="457">
        <f>12.8*X36/1000</f>
        <v>28.16</v>
      </c>
      <c r="N36" s="65">
        <f>IF(AND(G36&lt;&gt;"",M36&lt;&gt;""),1000*M36/G36,"")</f>
        <v>513.30659861465551</v>
      </c>
      <c r="O36" s="65"/>
      <c r="P36" s="65">
        <v>2</v>
      </c>
      <c r="Q36" s="65">
        <v>80</v>
      </c>
      <c r="R36" s="65">
        <v>14</v>
      </c>
      <c r="S36" s="65"/>
      <c r="T36" s="449">
        <v>154</v>
      </c>
      <c r="U36" s="65"/>
      <c r="V36" s="65">
        <v>60</v>
      </c>
      <c r="W36" s="65">
        <v>768</v>
      </c>
      <c r="X36" s="115">
        <v>2200</v>
      </c>
      <c r="Y36" s="87">
        <v>15</v>
      </c>
      <c r="Z36" s="141">
        <f>IF(AND(L36&lt;&gt;"",Y36&lt;&gt;""),1000*L36/Y36,"")</f>
        <v>1173.3333333333333</v>
      </c>
      <c r="AA36" s="371">
        <f>1000*M36/Q36</f>
        <v>352</v>
      </c>
      <c r="AB36" s="54"/>
      <c r="AC36" s="281">
        <f>T36/V36</f>
        <v>2.5666666666666669</v>
      </c>
      <c r="AD36" s="191">
        <f>512*72*V36/1000000</f>
        <v>2.21184</v>
      </c>
      <c r="AE36" s="1641">
        <v>0.9</v>
      </c>
      <c r="AF36" s="1642">
        <v>2</v>
      </c>
      <c r="AG36" s="1644" t="s">
        <v>697</v>
      </c>
      <c r="AH36" s="1650"/>
      <c r="AI36" s="1765"/>
      <c r="AJ36" s="1765"/>
      <c r="AK36" s="1765"/>
      <c r="AL36" s="1765"/>
      <c r="AM36" s="1756"/>
      <c r="AN36" s="1756"/>
      <c r="AO36" s="1756"/>
      <c r="AP36" s="1756"/>
      <c r="AQ36" s="1643"/>
      <c r="AR36" s="1650"/>
      <c r="AS36" s="1645"/>
      <c r="AU36" s="493" t="s">
        <v>1077</v>
      </c>
    </row>
    <row r="37" spans="1:47" x14ac:dyDescent="0.2">
      <c r="A37" s="188"/>
      <c r="B37" s="48" t="s">
        <v>715</v>
      </c>
      <c r="C37" s="226"/>
      <c r="D37" s="212"/>
      <c r="E37" s="12" t="s">
        <v>1785</v>
      </c>
      <c r="F37" s="466" t="s">
        <v>1018</v>
      </c>
      <c r="G37" s="14" t="s">
        <v>22</v>
      </c>
      <c r="H37" s="40" t="s">
        <v>531</v>
      </c>
      <c r="I37" s="408"/>
      <c r="J37" s="1386"/>
      <c r="K37" s="412" t="s">
        <v>22</v>
      </c>
      <c r="L37" s="248" t="s">
        <v>665</v>
      </c>
      <c r="M37" s="383" t="s">
        <v>696</v>
      </c>
      <c r="N37" s="380"/>
      <c r="O37" s="382"/>
      <c r="P37" s="60"/>
      <c r="Q37" s="61" t="s">
        <v>432</v>
      </c>
      <c r="R37" s="399" t="s">
        <v>1341</v>
      </c>
      <c r="S37" s="61" t="s">
        <v>965</v>
      </c>
      <c r="T37" s="61"/>
      <c r="U37" s="61" t="s">
        <v>963</v>
      </c>
      <c r="V37" s="74" t="s">
        <v>433</v>
      </c>
      <c r="W37" s="399" t="s">
        <v>1167</v>
      </c>
      <c r="X37" s="109" t="s">
        <v>207</v>
      </c>
      <c r="Y37" s="80" t="s">
        <v>695</v>
      </c>
      <c r="Z37" s="206"/>
      <c r="AA37" s="370"/>
      <c r="AB37" s="92"/>
      <c r="AC37" s="98"/>
      <c r="AD37" s="156" t="s">
        <v>650</v>
      </c>
      <c r="AE37" s="1629"/>
      <c r="AF37" s="1630"/>
      <c r="AG37" s="1638"/>
      <c r="AH37" s="1638"/>
      <c r="AI37" s="1755"/>
      <c r="AJ37" s="1755"/>
      <c r="AK37" s="1755"/>
      <c r="AL37" s="1755"/>
      <c r="AM37" s="1755"/>
      <c r="AN37" s="1755"/>
      <c r="AO37" s="1755"/>
      <c r="AP37" s="1755"/>
      <c r="AQ37" s="1638"/>
      <c r="AR37" s="1638"/>
      <c r="AS37" s="1639"/>
    </row>
    <row r="38" spans="1:47" ht="13.5" thickBot="1" x14ac:dyDescent="0.25">
      <c r="A38" s="494" t="s">
        <v>2471</v>
      </c>
      <c r="B38" s="33" t="s">
        <v>702</v>
      </c>
      <c r="C38" s="232" t="s">
        <v>697</v>
      </c>
      <c r="D38" s="214"/>
      <c r="E38" s="1112" t="s">
        <v>1787</v>
      </c>
      <c r="F38" s="1663" t="s">
        <v>1933</v>
      </c>
      <c r="G38" s="1190">
        <v>20.689499999999999</v>
      </c>
      <c r="H38" s="1293">
        <v>8</v>
      </c>
      <c r="I38" s="1294">
        <v>86</v>
      </c>
      <c r="J38" s="1664" t="s">
        <v>2304</v>
      </c>
      <c r="K38" s="419">
        <v>39.5</v>
      </c>
      <c r="L38" s="1665">
        <f>8*X38/1000</f>
        <v>8</v>
      </c>
      <c r="M38" s="1666">
        <f>12.8*X38/1000</f>
        <v>12.8</v>
      </c>
      <c r="N38" s="1667">
        <f>IF(AND(G38&lt;&gt;"",M38&lt;&gt;""),1000*M38/G38,"")</f>
        <v>618.67130670146696</v>
      </c>
      <c r="O38" s="68">
        <f>IF(AND(G38&lt;&gt;"",L38&lt;&gt;""),1000*L38/G38,"")</f>
        <v>386.66956668841686</v>
      </c>
      <c r="P38" s="1668"/>
      <c r="Q38" s="533">
        <v>20</v>
      </c>
      <c r="R38" s="533">
        <v>2</v>
      </c>
      <c r="S38" s="533"/>
      <c r="T38" s="533">
        <v>100</v>
      </c>
      <c r="U38" s="533"/>
      <c r="V38" s="1640">
        <v>10</v>
      </c>
      <c r="W38" s="533">
        <v>1</v>
      </c>
      <c r="X38" s="1669">
        <v>1000</v>
      </c>
      <c r="Y38" s="88"/>
      <c r="Z38" s="1297"/>
      <c r="AA38" s="1670">
        <f>1000*M38/Q38</f>
        <v>640</v>
      </c>
      <c r="AB38" s="55">
        <f>L38*1000/V38</f>
        <v>800</v>
      </c>
      <c r="AC38" s="104">
        <f>T38/V38</f>
        <v>10</v>
      </c>
      <c r="AD38" s="1671">
        <f>512*72*V38/1000000</f>
        <v>0.36864000000000002</v>
      </c>
      <c r="AE38" s="1641">
        <v>2.1</v>
      </c>
      <c r="AF38" s="1642">
        <v>2.7</v>
      </c>
      <c r="AG38" s="1644" t="s">
        <v>697</v>
      </c>
      <c r="AH38" s="1650" t="s">
        <v>697</v>
      </c>
      <c r="AI38" s="1765"/>
      <c r="AJ38" s="1770" t="s">
        <v>2553</v>
      </c>
      <c r="AK38" s="1765">
        <v>20</v>
      </c>
      <c r="AL38" s="1765"/>
      <c r="AM38" s="1756">
        <v>4</v>
      </c>
      <c r="AN38" s="1756">
        <v>4</v>
      </c>
      <c r="AO38" s="1756">
        <v>2</v>
      </c>
      <c r="AP38" s="1756"/>
      <c r="AQ38" s="1643"/>
      <c r="AR38" s="1329" t="s">
        <v>2550</v>
      </c>
      <c r="AS38" s="1645">
        <v>2</v>
      </c>
      <c r="AU38" s="1672" t="s">
        <v>2470</v>
      </c>
    </row>
    <row r="39" spans="1:47" ht="18" customHeight="1" thickBot="1" x14ac:dyDescent="0.25">
      <c r="A39" s="188"/>
      <c r="B39" s="1682" t="s">
        <v>2455</v>
      </c>
      <c r="AE39" s="1677"/>
      <c r="AF39" s="1677"/>
      <c r="AG39" s="1677"/>
      <c r="AH39" s="1677"/>
      <c r="AI39" s="1759"/>
      <c r="AJ39" s="1759"/>
      <c r="AK39" s="1759"/>
      <c r="AL39" s="1759"/>
      <c r="AM39" s="1759"/>
      <c r="AN39" s="1759"/>
      <c r="AO39" s="1759"/>
      <c r="AP39" s="1759"/>
      <c r="AQ39" s="1677"/>
      <c r="AR39" s="1677"/>
      <c r="AS39" s="1677"/>
    </row>
    <row r="40" spans="1:47" x14ac:dyDescent="0.2">
      <c r="A40" s="213"/>
      <c r="B40" s="48" t="s">
        <v>715</v>
      </c>
      <c r="C40" s="226"/>
      <c r="D40" s="212"/>
      <c r="E40" s="12" t="s">
        <v>205</v>
      </c>
      <c r="F40" s="13"/>
      <c r="G40" s="14" t="s">
        <v>21</v>
      </c>
      <c r="H40" s="132" t="s">
        <v>530</v>
      </c>
      <c r="I40" s="408"/>
      <c r="J40" s="425"/>
      <c r="K40" s="414"/>
      <c r="L40" s="411" t="s">
        <v>23</v>
      </c>
      <c r="M40" s="383" t="s">
        <v>696</v>
      </c>
      <c r="N40" s="380"/>
      <c r="O40" s="382"/>
      <c r="P40" s="61"/>
      <c r="Q40" s="61" t="s">
        <v>92</v>
      </c>
      <c r="R40" s="61"/>
      <c r="S40" s="61"/>
      <c r="T40" s="61"/>
      <c r="U40" s="399" t="s">
        <v>1183</v>
      </c>
      <c r="V40" s="62" t="s">
        <v>206</v>
      </c>
      <c r="W40" s="399" t="s">
        <v>1184</v>
      </c>
      <c r="X40" s="109" t="s">
        <v>207</v>
      </c>
      <c r="Y40" s="215" t="s">
        <v>65</v>
      </c>
      <c r="Z40" s="164"/>
      <c r="AA40" s="372"/>
      <c r="AB40" s="92"/>
      <c r="AC40" s="98"/>
      <c r="AD40" s="109" t="s">
        <v>650</v>
      </c>
      <c r="AE40" s="201"/>
      <c r="AF40" s="1727"/>
      <c r="AG40" s="1728"/>
      <c r="AH40" s="226"/>
      <c r="AI40" s="1764"/>
      <c r="AJ40" s="1764"/>
      <c r="AK40" s="1764"/>
      <c r="AL40" s="1764"/>
      <c r="AM40" s="1761"/>
      <c r="AN40" s="1764"/>
      <c r="AO40" s="1764"/>
      <c r="AP40" s="1764"/>
      <c r="AQ40" s="226"/>
      <c r="AR40" s="226"/>
      <c r="AS40" s="212"/>
      <c r="AU40" s="237" t="s">
        <v>208</v>
      </c>
    </row>
    <row r="41" spans="1:47" ht="13.5" thickBot="1" x14ac:dyDescent="0.25">
      <c r="A41" s="188" t="s">
        <v>2533</v>
      </c>
      <c r="B41" s="448"/>
      <c r="C41" s="296"/>
      <c r="D41" s="300"/>
      <c r="E41" s="134" t="s">
        <v>213</v>
      </c>
      <c r="F41" s="45" t="s">
        <v>210</v>
      </c>
      <c r="G41" s="19">
        <v>11.22</v>
      </c>
      <c r="H41" s="124">
        <v>16</v>
      </c>
      <c r="I41" s="162">
        <v>32</v>
      </c>
      <c r="J41" s="1804" t="s">
        <v>2535</v>
      </c>
      <c r="K41" s="1553">
        <v>22.46</v>
      </c>
      <c r="L41" s="253">
        <f>8*X41</f>
        <v>3840</v>
      </c>
      <c r="M41" s="64">
        <f>9*X41</f>
        <v>4320</v>
      </c>
      <c r="N41" s="65">
        <f>IF(AND(G41&lt;&gt;"",M41&lt;&gt;""),M41/G41,"")</f>
        <v>385.02673796791441</v>
      </c>
      <c r="O41" s="65">
        <f>IF(AND(G41&lt;&gt;"",L41&lt;&gt;""),L41/G41,"")</f>
        <v>342.24598930481284</v>
      </c>
      <c r="P41" s="65"/>
      <c r="Q41" s="65">
        <v>12</v>
      </c>
      <c r="R41" s="65">
        <v>4</v>
      </c>
      <c r="S41" s="65"/>
      <c r="T41" s="65">
        <v>173</v>
      </c>
      <c r="U41" s="469"/>
      <c r="V41" s="65">
        <v>12</v>
      </c>
      <c r="W41" s="536"/>
      <c r="X41" s="110">
        <v>480</v>
      </c>
      <c r="Y41" s="216">
        <v>4</v>
      </c>
      <c r="Z41" s="141">
        <f>IF(AND(L41&lt;&gt;"",Y41&lt;&gt;""),L41/Y41,"")</f>
        <v>960</v>
      </c>
      <c r="AA41" s="371">
        <f>M41/Q41</f>
        <v>360</v>
      </c>
      <c r="AB41" s="54">
        <f>L41/V41</f>
        <v>320</v>
      </c>
      <c r="AC41" s="99">
        <f>T41/V41</f>
        <v>14.416666666666666</v>
      </c>
      <c r="AD41" s="191">
        <f>512*36*V41/1000000</f>
        <v>0.22118399999999999</v>
      </c>
      <c r="AE41" s="199">
        <v>1</v>
      </c>
      <c r="AF41" s="1729">
        <v>3.2</v>
      </c>
      <c r="AG41" s="1275" t="s">
        <v>697</v>
      </c>
      <c r="AH41" s="232"/>
      <c r="AI41" s="1667"/>
      <c r="AJ41" s="1667"/>
      <c r="AK41" s="1667">
        <v>28</v>
      </c>
      <c r="AL41" s="1667">
        <v>3</v>
      </c>
      <c r="AM41" s="1762">
        <v>8</v>
      </c>
      <c r="AN41" s="1667">
        <v>4</v>
      </c>
      <c r="AO41" s="1667">
        <v>4</v>
      </c>
      <c r="AP41" s="1667"/>
      <c r="AQ41" s="232"/>
      <c r="AR41" s="228"/>
      <c r="AS41" s="214"/>
      <c r="AU41" s="493" t="s">
        <v>2566</v>
      </c>
    </row>
    <row r="42" spans="1:47" ht="13.5" customHeight="1" x14ac:dyDescent="0.2">
      <c r="A42" s="183"/>
      <c r="B42" s="48" t="s">
        <v>2128</v>
      </c>
      <c r="C42" s="226"/>
      <c r="D42" s="212"/>
      <c r="E42" s="12" t="s">
        <v>2129</v>
      </c>
      <c r="F42" s="466" t="s">
        <v>1584</v>
      </c>
      <c r="G42" s="14" t="s">
        <v>22</v>
      </c>
      <c r="H42" s="1029" t="s">
        <v>2130</v>
      </c>
      <c r="I42" s="161"/>
      <c r="J42" s="145"/>
      <c r="K42" s="16" t="s">
        <v>22</v>
      </c>
      <c r="L42" s="244" t="s">
        <v>23</v>
      </c>
      <c r="M42" s="60"/>
      <c r="N42" s="385" t="e">
        <f>AVERAGE(N45:N46)</f>
        <v>#DIV/0!</v>
      </c>
      <c r="O42" s="61"/>
      <c r="P42" s="399" t="s">
        <v>2134</v>
      </c>
      <c r="Q42" s="399" t="s">
        <v>92</v>
      </c>
      <c r="R42" s="61"/>
      <c r="S42" s="399" t="s">
        <v>2144</v>
      </c>
      <c r="T42" s="399"/>
      <c r="U42" s="399"/>
      <c r="V42" s="468" t="s">
        <v>2146</v>
      </c>
      <c r="W42" s="61" t="s">
        <v>66</v>
      </c>
      <c r="X42" s="522" t="s">
        <v>158</v>
      </c>
      <c r="Y42" s="80"/>
      <c r="Z42" s="164"/>
      <c r="AA42" s="373"/>
      <c r="AB42" s="92" t="e">
        <f>AVERAGE(AB45:AB46)</f>
        <v>#DIV/0!</v>
      </c>
      <c r="AC42" s="98">
        <f>AVERAGE(AC45:AC46)</f>
        <v>7</v>
      </c>
      <c r="AD42" s="109" t="s">
        <v>650</v>
      </c>
      <c r="AE42" s="1801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212"/>
      <c r="AU42" s="471" t="s">
        <v>2147</v>
      </c>
    </row>
    <row r="43" spans="1:47" ht="13.5" thickBot="1" x14ac:dyDescent="0.25">
      <c r="A43" s="182" t="s">
        <v>1621</v>
      </c>
      <c r="B43" s="36" t="s">
        <v>701</v>
      </c>
      <c r="C43" s="296"/>
      <c r="D43" s="470"/>
      <c r="E43" s="1036" t="s">
        <v>2271</v>
      </c>
      <c r="F43" s="45" t="s">
        <v>2136</v>
      </c>
      <c r="G43" s="19"/>
      <c r="H43" s="1538">
        <v>4.5</v>
      </c>
      <c r="I43" s="162">
        <v>68</v>
      </c>
      <c r="J43" s="465" t="s">
        <v>2593</v>
      </c>
      <c r="K43" s="681">
        <v>29.9</v>
      </c>
      <c r="L43" s="1325">
        <v>4068</v>
      </c>
      <c r="M43" s="1326">
        <f>L43</f>
        <v>4068</v>
      </c>
      <c r="N43" s="65"/>
      <c r="O43" s="65"/>
      <c r="P43" s="65"/>
      <c r="Q43" s="65">
        <v>16</v>
      </c>
      <c r="R43" s="469" t="s">
        <v>2138</v>
      </c>
      <c r="S43" s="65"/>
      <c r="T43" s="65">
        <v>70</v>
      </c>
      <c r="U43" s="65"/>
      <c r="V43" s="65">
        <v>10</v>
      </c>
      <c r="W43" s="469" t="s">
        <v>2137</v>
      </c>
      <c r="X43" s="110">
        <f>L43/8</f>
        <v>508.5</v>
      </c>
      <c r="Y43" s="81"/>
      <c r="Z43" s="141"/>
      <c r="AA43" s="371">
        <f>L43/Q43</f>
        <v>254.25</v>
      </c>
      <c r="AB43" s="54"/>
      <c r="AC43" s="99">
        <f>T43/V43</f>
        <v>7</v>
      </c>
      <c r="AD43" s="191">
        <f>V43*18*1024/1000000</f>
        <v>0.18432000000000001</v>
      </c>
      <c r="AE43" s="1802">
        <v>1.417</v>
      </c>
      <c r="AF43" s="459">
        <v>2.7559999999999998</v>
      </c>
      <c r="AG43" s="1138" t="s">
        <v>697</v>
      </c>
      <c r="AH43" s="155"/>
      <c r="AI43" s="155"/>
      <c r="AJ43" s="155"/>
      <c r="AK43" s="68">
        <v>36</v>
      </c>
      <c r="AL43" s="68">
        <v>4</v>
      </c>
      <c r="AM43" s="68">
        <v>12</v>
      </c>
      <c r="AN43" s="68">
        <v>8</v>
      </c>
      <c r="AO43" s="68">
        <v>8</v>
      </c>
      <c r="AP43" s="155"/>
      <c r="AQ43" s="155"/>
      <c r="AR43" s="155"/>
      <c r="AS43" s="214"/>
      <c r="AT43" s="6"/>
      <c r="AU43" s="516"/>
    </row>
    <row r="44" spans="1:47" ht="13.5" customHeight="1" x14ac:dyDescent="0.2">
      <c r="A44" s="183"/>
      <c r="B44" s="48" t="s">
        <v>2128</v>
      </c>
      <c r="C44" s="226"/>
      <c r="D44" s="212"/>
      <c r="E44" s="12" t="s">
        <v>2129</v>
      </c>
      <c r="F44" s="466" t="s">
        <v>1584</v>
      </c>
      <c r="G44" s="14" t="s">
        <v>22</v>
      </c>
      <c r="H44" s="1029" t="s">
        <v>2130</v>
      </c>
      <c r="I44" s="161"/>
      <c r="J44" s="145"/>
      <c r="K44" s="16" t="s">
        <v>22</v>
      </c>
      <c r="L44" s="244" t="s">
        <v>23</v>
      </c>
      <c r="M44" s="60"/>
      <c r="N44" s="385">
        <f>AVERAGE(N47:N48)</f>
        <v>302.10000000000002</v>
      </c>
      <c r="O44" s="61"/>
      <c r="P44" s="399" t="s">
        <v>2134</v>
      </c>
      <c r="Q44" s="399" t="s">
        <v>92</v>
      </c>
      <c r="R44" s="61"/>
      <c r="S44" s="399" t="s">
        <v>2144</v>
      </c>
      <c r="T44" s="399"/>
      <c r="U44" s="399"/>
      <c r="V44" s="468" t="s">
        <v>2146</v>
      </c>
      <c r="W44" s="61" t="s">
        <v>66</v>
      </c>
      <c r="X44" s="522" t="s">
        <v>158</v>
      </c>
      <c r="Y44" s="80"/>
      <c r="Z44" s="164"/>
      <c r="AA44" s="373"/>
      <c r="AB44" s="92">
        <f>AVERAGE(AB47:AB48)</f>
        <v>575.42857142857144</v>
      </c>
      <c r="AC44" s="98">
        <f>AVERAGE(AC47:AC48)</f>
        <v>11.095238095238095</v>
      </c>
      <c r="AD44" s="109" t="s">
        <v>650</v>
      </c>
      <c r="AE44" s="1801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212"/>
      <c r="AU44" s="471" t="s">
        <v>2147</v>
      </c>
    </row>
    <row r="45" spans="1:47" ht="13.5" thickBot="1" x14ac:dyDescent="0.25">
      <c r="A45" s="182"/>
      <c r="B45" s="36" t="s">
        <v>701</v>
      </c>
      <c r="C45" s="296"/>
      <c r="D45" s="470"/>
      <c r="E45" s="1036" t="s">
        <v>2637</v>
      </c>
      <c r="F45" s="45" t="s">
        <v>2636</v>
      </c>
      <c r="G45" s="19"/>
      <c r="H45" s="1538">
        <v>4.5</v>
      </c>
      <c r="I45" s="162">
        <v>68</v>
      </c>
      <c r="J45" s="465" t="s">
        <v>2642</v>
      </c>
      <c r="K45" s="681">
        <v>69</v>
      </c>
      <c r="L45" s="1325">
        <v>4068</v>
      </c>
      <c r="M45" s="1326">
        <f>L45</f>
        <v>4068</v>
      </c>
      <c r="N45" s="65"/>
      <c r="O45" s="65"/>
      <c r="P45" s="65">
        <v>1</v>
      </c>
      <c r="Q45" s="65">
        <v>16</v>
      </c>
      <c r="R45" s="469" t="s">
        <v>2138</v>
      </c>
      <c r="S45" s="65"/>
      <c r="T45" s="65">
        <v>70</v>
      </c>
      <c r="U45" s="65"/>
      <c r="V45" s="65">
        <v>10</v>
      </c>
      <c r="W45" s="469" t="s">
        <v>2137</v>
      </c>
      <c r="X45" s="110">
        <f>L45/8</f>
        <v>508.5</v>
      </c>
      <c r="Y45" s="81"/>
      <c r="Z45" s="141"/>
      <c r="AA45" s="371">
        <f>L45/Q45</f>
        <v>254.25</v>
      </c>
      <c r="AB45" s="54"/>
      <c r="AC45" s="99">
        <f>T45/V45</f>
        <v>7</v>
      </c>
      <c r="AD45" s="191">
        <f>V45*18*1024/1000000</f>
        <v>0.18432000000000001</v>
      </c>
      <c r="AE45" s="457">
        <v>2.2400000000000002</v>
      </c>
      <c r="AF45" s="457">
        <v>2.76</v>
      </c>
      <c r="AG45" s="1138" t="s">
        <v>697</v>
      </c>
      <c r="AH45" s="155"/>
      <c r="AI45" s="155" t="s">
        <v>2239</v>
      </c>
      <c r="AJ45" s="155"/>
      <c r="AK45" s="65">
        <v>25</v>
      </c>
      <c r="AL45" s="65">
        <v>4</v>
      </c>
      <c r="AM45" s="65">
        <v>11</v>
      </c>
      <c r="AN45" s="65">
        <v>8</v>
      </c>
      <c r="AO45" s="65">
        <v>6</v>
      </c>
      <c r="AP45" s="154"/>
      <c r="AQ45" s="154"/>
      <c r="AR45" s="154"/>
      <c r="AS45" s="213">
        <v>2</v>
      </c>
      <c r="AT45" s="6"/>
      <c r="AU45" s="516"/>
    </row>
    <row r="46" spans="1:47" x14ac:dyDescent="0.2">
      <c r="A46" s="657"/>
      <c r="B46" s="666" t="s">
        <v>362</v>
      </c>
      <c r="C46" s="660"/>
      <c r="D46" s="658"/>
      <c r="E46" s="606" t="s">
        <v>1315</v>
      </c>
      <c r="F46" s="744" t="s">
        <v>1012</v>
      </c>
      <c r="G46" s="607" t="s">
        <v>22</v>
      </c>
      <c r="H46" s="644" t="s">
        <v>528</v>
      </c>
      <c r="I46" s="651"/>
      <c r="J46" s="952"/>
      <c r="K46" s="1286"/>
      <c r="L46" s="1108" t="s">
        <v>1316</v>
      </c>
      <c r="M46" s="622" t="s">
        <v>1316</v>
      </c>
      <c r="N46" s="633"/>
      <c r="O46" s="623"/>
      <c r="P46" s="1698" t="s">
        <v>2134</v>
      </c>
      <c r="Q46" s="623"/>
      <c r="R46" s="623"/>
      <c r="S46" s="623" t="s">
        <v>1325</v>
      </c>
      <c r="T46" s="623" t="s">
        <v>1324</v>
      </c>
      <c r="U46" s="623" t="s">
        <v>1323</v>
      </c>
      <c r="V46" s="624" t="s">
        <v>206</v>
      </c>
      <c r="W46" s="623" t="s">
        <v>1329</v>
      </c>
      <c r="X46" s="636"/>
      <c r="Y46" s="629"/>
      <c r="Z46" s="654"/>
      <c r="AA46" s="748"/>
      <c r="AB46" s="932"/>
      <c r="AC46" s="1187"/>
      <c r="AD46" s="636" t="s">
        <v>650</v>
      </c>
      <c r="AE46" s="1629"/>
      <c r="AF46" s="1630"/>
      <c r="AG46" s="1638"/>
      <c r="AH46" s="1638"/>
      <c r="AI46" s="1755"/>
      <c r="AJ46" s="1755"/>
      <c r="AK46" s="1755"/>
      <c r="AL46" s="1755"/>
      <c r="AM46" s="1755"/>
      <c r="AN46" s="1755"/>
      <c r="AO46" s="1755"/>
      <c r="AP46" s="1755"/>
      <c r="AQ46" s="1638"/>
      <c r="AR46" s="1638"/>
      <c r="AS46" s="1639"/>
      <c r="AU46" s="604" t="s">
        <v>1332</v>
      </c>
    </row>
    <row r="47" spans="1:47" ht="13.5" thickBot="1" x14ac:dyDescent="0.25">
      <c r="A47" s="657" t="s">
        <v>929</v>
      </c>
      <c r="B47" s="1680" t="s">
        <v>711</v>
      </c>
      <c r="C47" s="662"/>
      <c r="D47" s="1116"/>
      <c r="E47" s="649" t="s">
        <v>1318</v>
      </c>
      <c r="F47" s="614" t="s">
        <v>1321</v>
      </c>
      <c r="G47" s="1239">
        <v>40</v>
      </c>
      <c r="H47" s="642">
        <v>14</v>
      </c>
      <c r="I47" s="653">
        <v>148</v>
      </c>
      <c r="J47" s="1680" t="s">
        <v>1996</v>
      </c>
      <c r="K47" s="1027">
        <v>33.75</v>
      </c>
      <c r="L47" s="1681">
        <v>12084</v>
      </c>
      <c r="M47" s="68">
        <f>L47</f>
        <v>12084</v>
      </c>
      <c r="N47" s="68">
        <f>IF(AND(G47&lt;&gt;"",M47&lt;&gt;""),M47/G47,"")</f>
        <v>302.10000000000002</v>
      </c>
      <c r="O47" s="626"/>
      <c r="P47" s="626">
        <v>1</v>
      </c>
      <c r="Q47" s="626">
        <v>22</v>
      </c>
      <c r="R47" s="626">
        <v>2</v>
      </c>
      <c r="S47" s="626">
        <v>16</v>
      </c>
      <c r="T47" s="626">
        <v>233</v>
      </c>
      <c r="U47" s="626">
        <v>22</v>
      </c>
      <c r="V47" s="626">
        <v>21</v>
      </c>
      <c r="W47" s="626">
        <v>256</v>
      </c>
      <c r="X47" s="638"/>
      <c r="Y47" s="631"/>
      <c r="Z47" s="142"/>
      <c r="AA47" s="379">
        <f>M47/Q47</f>
        <v>549.27272727272725</v>
      </c>
      <c r="AB47" s="55">
        <f>L47/V47</f>
        <v>575.42857142857144</v>
      </c>
      <c r="AC47" s="100">
        <f>T47/V47</f>
        <v>11.095238095238095</v>
      </c>
      <c r="AD47" s="192">
        <f>(U47*64*18+V47*512*36)/1000000</f>
        <v>0.412416</v>
      </c>
      <c r="AE47" s="1641">
        <v>3</v>
      </c>
      <c r="AF47" s="1642">
        <v>5</v>
      </c>
      <c r="AG47" s="1683" t="s">
        <v>697</v>
      </c>
      <c r="AH47" s="1650"/>
      <c r="AI47" s="1765"/>
      <c r="AJ47" s="1765"/>
      <c r="AK47" s="1765"/>
      <c r="AL47" s="1765"/>
      <c r="AM47" s="1763">
        <v>8</v>
      </c>
      <c r="AN47" s="1756"/>
      <c r="AO47" s="1756">
        <v>2</v>
      </c>
      <c r="AP47" s="1756"/>
      <c r="AQ47" s="1643"/>
      <c r="AR47" s="1650"/>
      <c r="AS47" s="1645"/>
      <c r="AU47" s="604" t="s">
        <v>1997</v>
      </c>
    </row>
    <row r="48" spans="1:47" x14ac:dyDescent="0.2">
      <c r="A48" s="182"/>
      <c r="B48" s="48" t="s">
        <v>717</v>
      </c>
      <c r="C48" s="226"/>
      <c r="D48" s="212"/>
      <c r="E48" s="12" t="s">
        <v>835</v>
      </c>
      <c r="F48" s="466" t="s">
        <v>1017</v>
      </c>
      <c r="G48" s="14" t="s">
        <v>22</v>
      </c>
      <c r="H48" s="132" t="s">
        <v>528</v>
      </c>
      <c r="I48" s="161"/>
      <c r="J48" s="136"/>
      <c r="K48" s="16" t="s">
        <v>22</v>
      </c>
      <c r="L48" s="486" t="s">
        <v>23</v>
      </c>
      <c r="M48" s="61"/>
      <c r="N48" s="380"/>
      <c r="O48" s="61"/>
      <c r="P48" s="61"/>
      <c r="Q48" s="61" t="s">
        <v>1737</v>
      </c>
      <c r="R48" s="61"/>
      <c r="S48" s="399" t="s">
        <v>850</v>
      </c>
      <c r="T48" s="61"/>
      <c r="U48" s="61" t="s">
        <v>634</v>
      </c>
      <c r="V48" s="62" t="s">
        <v>157</v>
      </c>
      <c r="W48" s="61"/>
      <c r="X48" s="109" t="s">
        <v>93</v>
      </c>
      <c r="Y48" s="215"/>
      <c r="Z48" s="164"/>
      <c r="AA48" s="1688"/>
      <c r="AB48" s="210"/>
      <c r="AC48" s="1452"/>
      <c r="AD48" s="109" t="s">
        <v>650</v>
      </c>
      <c r="AE48" s="1629"/>
      <c r="AF48" s="1630"/>
      <c r="AG48" s="1638"/>
      <c r="AH48" s="1638"/>
      <c r="AI48" s="1755"/>
      <c r="AJ48" s="1755"/>
      <c r="AK48" s="1755"/>
      <c r="AL48" s="1755"/>
      <c r="AM48" s="1755"/>
      <c r="AN48" s="1755"/>
      <c r="AO48" s="1755"/>
      <c r="AP48" s="1755"/>
      <c r="AQ48" s="1638"/>
      <c r="AR48" s="1638"/>
      <c r="AS48" s="1639"/>
    </row>
    <row r="49" spans="1:47" ht="13.5" thickBot="1" x14ac:dyDescent="0.25">
      <c r="A49" s="523" t="s">
        <v>929</v>
      </c>
      <c r="B49" s="21"/>
      <c r="C49" s="228"/>
      <c r="D49" s="214"/>
      <c r="E49" s="146" t="s">
        <v>836</v>
      </c>
      <c r="F49" s="133" t="s">
        <v>1241</v>
      </c>
      <c r="G49" s="23">
        <v>12.57</v>
      </c>
      <c r="H49" s="125">
        <v>11</v>
      </c>
      <c r="I49" s="163">
        <v>94</v>
      </c>
      <c r="J49" s="1696" t="s">
        <v>2468</v>
      </c>
      <c r="K49" s="24">
        <v>42</v>
      </c>
      <c r="L49" s="453">
        <v>6.2720000000000002</v>
      </c>
      <c r="M49" s="454">
        <v>6.2720000000000002</v>
      </c>
      <c r="N49" s="68">
        <f>IF(AND(G49&lt;&gt;"",M49&lt;&gt;""),1000*M49/G49,"")</f>
        <v>498.96579156722356</v>
      </c>
      <c r="O49" s="68"/>
      <c r="P49" s="68"/>
      <c r="Q49" s="68">
        <v>15</v>
      </c>
      <c r="R49" s="68">
        <v>2</v>
      </c>
      <c r="S49" s="68"/>
      <c r="T49" s="68">
        <v>182</v>
      </c>
      <c r="U49" s="68"/>
      <c r="V49" s="68">
        <v>30</v>
      </c>
      <c r="W49" s="68"/>
      <c r="X49" s="111">
        <f>1000*L49/16</f>
        <v>392</v>
      </c>
      <c r="Y49" s="217">
        <v>3</v>
      </c>
      <c r="Z49" s="142">
        <f>IF(AND(L49&lt;&gt;"",Y49&lt;&gt;""),1000*L49/Y49,"")</f>
        <v>2090.6666666666665</v>
      </c>
      <c r="AA49" s="472">
        <f>1000*M49/Q49</f>
        <v>418.13333333333333</v>
      </c>
      <c r="AB49" s="202">
        <f>L49*1000/V49</f>
        <v>209.06666666666666</v>
      </c>
      <c r="AC49" s="1771">
        <f>T49/V49</f>
        <v>6.0666666666666664</v>
      </c>
      <c r="AD49" s="1772">
        <f>256*36*V49/1000000</f>
        <v>0.27648</v>
      </c>
      <c r="AE49" s="1641">
        <v>3</v>
      </c>
      <c r="AF49" s="1642">
        <v>5</v>
      </c>
      <c r="AG49" s="1683" t="s">
        <v>697</v>
      </c>
      <c r="AH49" s="1650"/>
      <c r="AI49" s="1770" t="s">
        <v>2239</v>
      </c>
      <c r="AJ49" s="1770" t="s">
        <v>2554</v>
      </c>
      <c r="AK49" s="1765"/>
      <c r="AL49" s="1765">
        <v>4</v>
      </c>
      <c r="AM49" s="1763">
        <v>4</v>
      </c>
      <c r="AN49" s="1756"/>
      <c r="AO49" s="1756">
        <v>4</v>
      </c>
      <c r="AP49" s="1756"/>
      <c r="AQ49" s="1643"/>
      <c r="AR49" s="1329" t="s">
        <v>2550</v>
      </c>
      <c r="AS49" s="1645"/>
      <c r="AU49" s="493" t="s">
        <v>2472</v>
      </c>
    </row>
    <row r="50" spans="1:47" x14ac:dyDescent="0.2">
      <c r="A50" s="182"/>
      <c r="B50" s="48" t="s">
        <v>715</v>
      </c>
      <c r="C50" s="226"/>
      <c r="D50" s="212"/>
      <c r="E50" s="12" t="s">
        <v>1785</v>
      </c>
      <c r="F50" s="466" t="s">
        <v>1018</v>
      </c>
      <c r="G50" s="14" t="s">
        <v>22</v>
      </c>
      <c r="H50" s="40" t="s">
        <v>531</v>
      </c>
      <c r="I50" s="408"/>
      <c r="J50" s="1386"/>
      <c r="K50" s="412" t="s">
        <v>22</v>
      </c>
      <c r="L50" s="248" t="s">
        <v>665</v>
      </c>
      <c r="M50" s="383" t="s">
        <v>696</v>
      </c>
      <c r="N50" s="380"/>
      <c r="O50" s="382"/>
      <c r="P50" s="60"/>
      <c r="Q50" s="61" t="s">
        <v>432</v>
      </c>
      <c r="R50" s="399" t="s">
        <v>1341</v>
      </c>
      <c r="S50" s="61" t="s">
        <v>965</v>
      </c>
      <c r="T50" s="61"/>
      <c r="U50" s="61" t="s">
        <v>963</v>
      </c>
      <c r="V50" s="74" t="s">
        <v>433</v>
      </c>
      <c r="W50" s="399" t="s">
        <v>1167</v>
      </c>
      <c r="X50" s="109" t="s">
        <v>207</v>
      </c>
      <c r="Y50" s="80" t="s">
        <v>695</v>
      </c>
      <c r="Z50" s="206"/>
      <c r="AA50" s="370"/>
      <c r="AB50" s="92"/>
      <c r="AC50" s="98"/>
      <c r="AD50" s="109" t="s">
        <v>650</v>
      </c>
      <c r="AE50" s="1629"/>
      <c r="AF50" s="1630"/>
      <c r="AG50" s="1638"/>
      <c r="AH50" s="1638"/>
      <c r="AI50" s="1755"/>
      <c r="AJ50" s="1755"/>
      <c r="AK50" s="1755"/>
      <c r="AL50" s="1755"/>
      <c r="AM50" s="1755"/>
      <c r="AN50" s="1755"/>
      <c r="AO50" s="1755"/>
      <c r="AP50" s="1755"/>
      <c r="AQ50" s="1638"/>
      <c r="AR50" s="1638"/>
      <c r="AS50" s="1639"/>
      <c r="AU50" t="s">
        <v>983</v>
      </c>
    </row>
    <row r="51" spans="1:47" ht="13.5" thickBot="1" x14ac:dyDescent="0.25">
      <c r="A51" s="494" t="s">
        <v>740</v>
      </c>
      <c r="B51" s="21" t="s">
        <v>702</v>
      </c>
      <c r="C51" s="228" t="s">
        <v>697</v>
      </c>
      <c r="D51" s="214"/>
      <c r="E51" s="1112" t="s">
        <v>1788</v>
      </c>
      <c r="F51" s="1663" t="s">
        <v>1933</v>
      </c>
      <c r="G51" s="34">
        <v>25.4</v>
      </c>
      <c r="H51" s="130">
        <v>13</v>
      </c>
      <c r="I51" s="418">
        <v>150</v>
      </c>
      <c r="J51" s="1707" t="s">
        <v>2512</v>
      </c>
      <c r="K51" s="1690">
        <v>43</v>
      </c>
      <c r="L51" s="458">
        <f>8*X51/1000</f>
        <v>14.6</v>
      </c>
      <c r="M51" s="459">
        <f>12.8*X51/1000</f>
        <v>23.36</v>
      </c>
      <c r="N51" s="1308">
        <f>IF(AND(G51&lt;&gt;"",M51&lt;&gt;""),1000*M51/G51,"")</f>
        <v>919.68503937007881</v>
      </c>
      <c r="O51" s="68">
        <f>IF(AND(G51&lt;&gt;"",L51&lt;&gt;""),1000*L51/G51,"")</f>
        <v>574.80314960629926</v>
      </c>
      <c r="P51" s="68"/>
      <c r="Q51" s="68">
        <v>80</v>
      </c>
      <c r="R51" s="68">
        <v>3</v>
      </c>
      <c r="S51" s="68"/>
      <c r="T51" s="68">
        <v>150</v>
      </c>
      <c r="U51" s="533" t="s">
        <v>1189</v>
      </c>
      <c r="V51" s="68">
        <v>45</v>
      </c>
      <c r="W51" s="68">
        <v>1</v>
      </c>
      <c r="X51" s="116">
        <v>1825</v>
      </c>
      <c r="Y51" s="205"/>
      <c r="Z51" s="142"/>
      <c r="AA51" s="374">
        <f>1000*M51/Q51</f>
        <v>292</v>
      </c>
      <c r="AB51" s="55"/>
      <c r="AC51" s="100">
        <f>T51/V51</f>
        <v>3.3333333333333335</v>
      </c>
      <c r="AD51" s="192">
        <f>512*72*V51/1000000</f>
        <v>1.6588799999999999</v>
      </c>
      <c r="AE51" s="1641">
        <v>1.1000000000000001</v>
      </c>
      <c r="AF51" s="1642">
        <v>3</v>
      </c>
      <c r="AG51" s="1683"/>
      <c r="AH51" s="1676" t="s">
        <v>697</v>
      </c>
      <c r="AI51" s="1770" t="s">
        <v>2239</v>
      </c>
      <c r="AJ51" s="1765"/>
      <c r="AK51" s="1765">
        <v>64</v>
      </c>
      <c r="AL51" s="1765"/>
      <c r="AM51" s="1763"/>
      <c r="AN51" s="1763"/>
      <c r="AO51" s="1763"/>
      <c r="AP51" s="1763"/>
      <c r="AQ51" s="1643"/>
      <c r="AR51" s="1650"/>
      <c r="AS51" s="1645"/>
      <c r="AU51" s="493" t="s">
        <v>2515</v>
      </c>
    </row>
    <row r="52" spans="1:47" ht="13.5" customHeight="1" x14ac:dyDescent="0.2">
      <c r="A52" s="183"/>
      <c r="B52" s="48" t="s">
        <v>716</v>
      </c>
      <c r="C52" s="226"/>
      <c r="D52" s="212"/>
      <c r="E52" s="12" t="s">
        <v>1020</v>
      </c>
      <c r="F52" s="466" t="s">
        <v>1012</v>
      </c>
      <c r="G52" s="14" t="s">
        <v>22</v>
      </c>
      <c r="H52" s="132" t="s">
        <v>529</v>
      </c>
      <c r="I52" s="161"/>
      <c r="J52" s="145"/>
      <c r="K52" s="16" t="s">
        <v>22</v>
      </c>
      <c r="L52" s="244" t="s">
        <v>23</v>
      </c>
      <c r="M52" s="60"/>
      <c r="N52" s="385"/>
      <c r="O52" s="61"/>
      <c r="P52" s="61"/>
      <c r="Q52" s="399" t="s">
        <v>1028</v>
      </c>
      <c r="R52" s="61"/>
      <c r="S52" s="61"/>
      <c r="T52" s="399" t="s">
        <v>1029</v>
      </c>
      <c r="U52" s="399" t="s">
        <v>1030</v>
      </c>
      <c r="V52" s="468" t="s">
        <v>1027</v>
      </c>
      <c r="W52" s="61" t="s">
        <v>66</v>
      </c>
      <c r="X52" s="109" t="s">
        <v>158</v>
      </c>
      <c r="Y52" s="80"/>
      <c r="Z52" s="164"/>
      <c r="AA52" s="373"/>
      <c r="AB52" s="92"/>
      <c r="AC52" s="98">
        <f>AVERAGE(AC53:AC66)</f>
        <v>5.0679212896604202</v>
      </c>
      <c r="AD52" s="109" t="s">
        <v>650</v>
      </c>
      <c r="AE52" s="1629"/>
      <c r="AF52" s="1630"/>
      <c r="AG52" s="1638"/>
      <c r="AH52" s="1638"/>
      <c r="AI52" s="1755"/>
      <c r="AJ52" s="1755"/>
      <c r="AK52" s="1755"/>
      <c r="AL52" s="1755"/>
      <c r="AM52" s="1755"/>
      <c r="AN52" s="1755"/>
      <c r="AO52" s="1755"/>
      <c r="AP52" s="1755"/>
      <c r="AQ52" s="1638"/>
      <c r="AR52" s="1638"/>
      <c r="AS52" s="1639"/>
      <c r="AU52" s="493" t="s">
        <v>2462</v>
      </c>
    </row>
    <row r="53" spans="1:47" ht="13.5" thickBot="1" x14ac:dyDescent="0.25">
      <c r="A53" s="523" t="s">
        <v>2517</v>
      </c>
      <c r="B53" s="33" t="s">
        <v>701</v>
      </c>
      <c r="C53" s="228"/>
      <c r="D53" s="231" t="s">
        <v>708</v>
      </c>
      <c r="E53" s="417" t="s">
        <v>1026</v>
      </c>
      <c r="F53" s="133" t="s">
        <v>1286</v>
      </c>
      <c r="G53" s="23">
        <v>14.45</v>
      </c>
      <c r="H53" s="467">
        <v>14</v>
      </c>
      <c r="I53" s="163">
        <v>115</v>
      </c>
      <c r="J53" s="1696" t="s">
        <v>2516</v>
      </c>
      <c r="K53" s="24">
        <v>49</v>
      </c>
      <c r="L53" s="256">
        <v>6.8639999999999999</v>
      </c>
      <c r="M53" s="67">
        <f>1000*L53</f>
        <v>6864</v>
      </c>
      <c r="N53" s="68">
        <f>IF(AND(G53&lt;&gt;"",M53&lt;&gt;""),M53/G53,"")</f>
        <v>475.01730103806233</v>
      </c>
      <c r="O53" s="68"/>
      <c r="P53" s="68"/>
      <c r="Q53" s="68">
        <v>4</v>
      </c>
      <c r="R53" s="68">
        <v>2</v>
      </c>
      <c r="S53" s="68"/>
      <c r="T53" s="68">
        <v>335</v>
      </c>
      <c r="U53" s="68"/>
      <c r="V53" s="68">
        <v>26</v>
      </c>
      <c r="W53" s="68">
        <v>256</v>
      </c>
      <c r="X53" s="111">
        <f>125*L53</f>
        <v>858</v>
      </c>
      <c r="Y53" s="82"/>
      <c r="Z53" s="142"/>
      <c r="AA53" s="374"/>
      <c r="AB53" s="55"/>
      <c r="AC53" s="100">
        <f>T53/V53</f>
        <v>12.884615384615385</v>
      </c>
      <c r="AD53" s="192">
        <f>V53*512*18/1000000</f>
        <v>0.239616</v>
      </c>
      <c r="AE53" s="1641">
        <v>2.2999999999999998</v>
      </c>
      <c r="AF53" s="1642">
        <v>2.6</v>
      </c>
      <c r="AG53" s="1683" t="s">
        <v>697</v>
      </c>
      <c r="AH53" s="1650"/>
      <c r="AI53" s="1765"/>
      <c r="AJ53" s="1765"/>
      <c r="AK53" s="1765">
        <v>26</v>
      </c>
      <c r="AL53" s="1765"/>
      <c r="AM53" s="1763"/>
      <c r="AN53" s="1756"/>
      <c r="AO53" s="1756"/>
      <c r="AP53" s="1756"/>
      <c r="AQ53" s="1643"/>
      <c r="AR53" s="1329" t="s">
        <v>2556</v>
      </c>
      <c r="AS53" s="1645"/>
      <c r="AU53" s="493" t="s">
        <v>2518</v>
      </c>
    </row>
    <row r="54" spans="1:47" ht="13.5" customHeight="1" x14ac:dyDescent="0.2">
      <c r="A54" s="183"/>
      <c r="B54" s="48" t="s">
        <v>2128</v>
      </c>
      <c r="C54" s="226"/>
      <c r="D54" s="212"/>
      <c r="E54" s="12" t="s">
        <v>2129</v>
      </c>
      <c r="F54" s="466" t="s">
        <v>1584</v>
      </c>
      <c r="G54" s="14" t="s">
        <v>22</v>
      </c>
      <c r="H54" s="1029" t="s">
        <v>2130</v>
      </c>
      <c r="I54" s="161"/>
      <c r="J54" s="145"/>
      <c r="K54" s="16" t="s">
        <v>22</v>
      </c>
      <c r="L54" s="244" t="s">
        <v>23</v>
      </c>
      <c r="M54" s="60"/>
      <c r="N54" s="385">
        <f>AVERAGE(N57:N58)</f>
        <v>1110.6007784752337</v>
      </c>
      <c r="O54" s="61"/>
      <c r="P54" s="399" t="s">
        <v>2134</v>
      </c>
      <c r="Q54" s="399" t="s">
        <v>92</v>
      </c>
      <c r="R54" s="61"/>
      <c r="S54" s="399" t="s">
        <v>2144</v>
      </c>
      <c r="T54" s="399"/>
      <c r="U54" s="399"/>
      <c r="V54" s="468" t="s">
        <v>2146</v>
      </c>
      <c r="W54" s="61" t="s">
        <v>66</v>
      </c>
      <c r="X54" s="522" t="s">
        <v>158</v>
      </c>
      <c r="Y54" s="80"/>
      <c r="Z54" s="164"/>
      <c r="AA54" s="373"/>
      <c r="AB54" s="92" t="e">
        <f>AVERAGE(AB57:AB58)</f>
        <v>#DIV/0!</v>
      </c>
      <c r="AC54" s="98">
        <f>AVERAGE(AC57:AC58)</f>
        <v>3.3177788395179699</v>
      </c>
      <c r="AD54" s="109" t="s">
        <v>650</v>
      </c>
      <c r="AE54" s="1801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212"/>
      <c r="AU54" s="471" t="s">
        <v>2147</v>
      </c>
    </row>
    <row r="55" spans="1:47" ht="13.5" thickBot="1" x14ac:dyDescent="0.25">
      <c r="A55" s="182" t="s">
        <v>2638</v>
      </c>
      <c r="B55" s="36" t="s">
        <v>701</v>
      </c>
      <c r="C55" s="296"/>
      <c r="D55" s="470"/>
      <c r="E55" s="1036" t="s">
        <v>2271</v>
      </c>
      <c r="F55" s="45" t="s">
        <v>2136</v>
      </c>
      <c r="G55" s="19"/>
      <c r="H55" s="1538">
        <v>4.5</v>
      </c>
      <c r="I55" s="162">
        <v>68</v>
      </c>
      <c r="J55" s="465" t="s">
        <v>2635</v>
      </c>
      <c r="K55" s="681">
        <v>68.680000000000007</v>
      </c>
      <c r="L55" s="1325">
        <v>4068</v>
      </c>
      <c r="M55" s="1326">
        <f>L55</f>
        <v>4068</v>
      </c>
      <c r="N55" s="65"/>
      <c r="O55" s="65"/>
      <c r="P55" s="65">
        <v>1</v>
      </c>
      <c r="Q55" s="65">
        <v>16</v>
      </c>
      <c r="R55" s="469" t="s">
        <v>2138</v>
      </c>
      <c r="S55" s="65"/>
      <c r="T55" s="65">
        <v>70</v>
      </c>
      <c r="U55" s="65"/>
      <c r="V55" s="65">
        <v>10</v>
      </c>
      <c r="W55" s="469" t="s">
        <v>2137</v>
      </c>
      <c r="X55" s="110">
        <f>L55/8</f>
        <v>508.5</v>
      </c>
      <c r="Y55" s="81"/>
      <c r="Z55" s="141"/>
      <c r="AA55" s="371">
        <f>L55/Q55</f>
        <v>254.25</v>
      </c>
      <c r="AB55" s="54"/>
      <c r="AC55" s="99">
        <f>T55/V55</f>
        <v>7</v>
      </c>
      <c r="AD55" s="191">
        <f>V55*18*1024/1000000</f>
        <v>0.18432000000000001</v>
      </c>
      <c r="AE55" s="1802">
        <v>2.2400000000000002</v>
      </c>
      <c r="AF55" s="459">
        <v>2.76</v>
      </c>
      <c r="AG55" s="1138" t="s">
        <v>697</v>
      </c>
      <c r="AH55" s="155"/>
      <c r="AI55" s="155" t="s">
        <v>2239</v>
      </c>
      <c r="AJ55" s="155"/>
      <c r="AK55" s="68">
        <v>25</v>
      </c>
      <c r="AL55" s="68">
        <v>4</v>
      </c>
      <c r="AM55" s="68">
        <v>11</v>
      </c>
      <c r="AN55" s="68">
        <v>8</v>
      </c>
      <c r="AO55" s="68">
        <v>6</v>
      </c>
      <c r="AP55" s="155"/>
      <c r="AQ55" s="155"/>
      <c r="AR55" s="155"/>
      <c r="AS55" s="214">
        <v>2</v>
      </c>
      <c r="AT55" s="6"/>
      <c r="AU55" s="516" t="s">
        <v>2639</v>
      </c>
    </row>
    <row r="56" spans="1:47" x14ac:dyDescent="0.2">
      <c r="A56" s="182"/>
      <c r="B56" s="48" t="s">
        <v>715</v>
      </c>
      <c r="C56" s="226"/>
      <c r="D56" s="212"/>
      <c r="E56" s="12" t="s">
        <v>1785</v>
      </c>
      <c r="F56" s="466" t="s">
        <v>1018</v>
      </c>
      <c r="G56" s="14" t="s">
        <v>22</v>
      </c>
      <c r="H56" s="40" t="s">
        <v>531</v>
      </c>
      <c r="I56" s="408"/>
      <c r="J56" s="1386"/>
      <c r="K56" s="412" t="s">
        <v>22</v>
      </c>
      <c r="L56" s="248" t="s">
        <v>665</v>
      </c>
      <c r="M56" s="383" t="s">
        <v>696</v>
      </c>
      <c r="N56" s="380"/>
      <c r="O56" s="382"/>
      <c r="P56" s="60"/>
      <c r="Q56" s="61" t="s">
        <v>432</v>
      </c>
      <c r="R56" s="399" t="s">
        <v>1341</v>
      </c>
      <c r="S56" s="61" t="s">
        <v>965</v>
      </c>
      <c r="T56" s="61"/>
      <c r="U56" s="61" t="s">
        <v>963</v>
      </c>
      <c r="V56" s="74" t="s">
        <v>433</v>
      </c>
      <c r="W56" s="399" t="s">
        <v>1167</v>
      </c>
      <c r="X56" s="109" t="s">
        <v>207</v>
      </c>
      <c r="Y56" s="80" t="s">
        <v>695</v>
      </c>
      <c r="Z56" s="206"/>
      <c r="AA56" s="370"/>
      <c r="AB56" s="92"/>
      <c r="AC56" s="98"/>
      <c r="AD56" s="109" t="s">
        <v>650</v>
      </c>
      <c r="AE56" s="1629"/>
      <c r="AF56" s="1630"/>
      <c r="AG56" s="1638"/>
      <c r="AH56" s="1638"/>
      <c r="AI56" s="1755"/>
      <c r="AJ56" s="1755"/>
      <c r="AK56" s="1755"/>
      <c r="AL56" s="1755"/>
      <c r="AM56" s="1755"/>
      <c r="AN56" s="1755"/>
      <c r="AO56" s="1755"/>
      <c r="AP56" s="1755"/>
      <c r="AQ56" s="1638"/>
      <c r="AR56" s="1638"/>
      <c r="AS56" s="1639"/>
      <c r="AU56" t="s">
        <v>983</v>
      </c>
    </row>
    <row r="57" spans="1:47" ht="13.5" thickBot="1" x14ac:dyDescent="0.25">
      <c r="A57" s="494" t="s">
        <v>2520</v>
      </c>
      <c r="B57" s="21" t="s">
        <v>702</v>
      </c>
      <c r="C57" s="228" t="s">
        <v>697</v>
      </c>
      <c r="D57" s="214"/>
      <c r="E57" s="1112" t="s">
        <v>1789</v>
      </c>
      <c r="F57" s="144" t="s">
        <v>1934</v>
      </c>
      <c r="G57" s="34">
        <v>41.25</v>
      </c>
      <c r="H57" s="130">
        <v>15</v>
      </c>
      <c r="I57" s="418">
        <v>210</v>
      </c>
      <c r="J57" s="529" t="s">
        <v>2519</v>
      </c>
      <c r="K57" s="1721">
        <v>69</v>
      </c>
      <c r="L57" s="458">
        <f>8*X57/1000</f>
        <v>32.603999999999999</v>
      </c>
      <c r="M57" s="459">
        <f>12.8*X57/1000</f>
        <v>52.166400000000003</v>
      </c>
      <c r="N57" s="1308">
        <f>IF(AND(G57&lt;&gt;"",M57&lt;&gt;""),1000*M57/G57,"")</f>
        <v>1264.6400000000001</v>
      </c>
      <c r="O57" s="68"/>
      <c r="P57" s="68"/>
      <c r="Q57" s="68">
        <v>120</v>
      </c>
      <c r="R57" s="68">
        <v>5</v>
      </c>
      <c r="S57" s="68"/>
      <c r="T57" s="68">
        <v>250</v>
      </c>
      <c r="U57" s="68">
        <v>1</v>
      </c>
      <c r="V57" s="68">
        <v>75</v>
      </c>
      <c r="W57" s="1370">
        <v>1</v>
      </c>
      <c r="X57" s="116">
        <v>4075.5</v>
      </c>
      <c r="Y57" s="205"/>
      <c r="Z57" s="142"/>
      <c r="AA57" s="374">
        <f>1000*M57/Q57</f>
        <v>434.72</v>
      </c>
      <c r="AB57" s="55"/>
      <c r="AC57" s="100">
        <f>T57/V57</f>
        <v>3.3333333333333335</v>
      </c>
      <c r="AD57" s="192">
        <f>512*72*V57/1000000</f>
        <v>2.7648000000000001</v>
      </c>
      <c r="AE57" s="1641">
        <v>4</v>
      </c>
      <c r="AF57" s="1642">
        <v>6</v>
      </c>
      <c r="AG57" s="1683" t="s">
        <v>697</v>
      </c>
      <c r="AH57" s="1676" t="s">
        <v>697</v>
      </c>
      <c r="AI57" s="1765"/>
      <c r="AJ57" s="1770" t="s">
        <v>2553</v>
      </c>
      <c r="AK57" s="1765">
        <v>44</v>
      </c>
      <c r="AL57" s="1765">
        <v>8</v>
      </c>
      <c r="AM57" s="1763">
        <v>18</v>
      </c>
      <c r="AN57" s="1763">
        <v>16</v>
      </c>
      <c r="AO57" s="1763">
        <v>4</v>
      </c>
      <c r="AP57" s="1763"/>
      <c r="AQ57" s="1643"/>
      <c r="AR57" s="1650">
        <v>4</v>
      </c>
      <c r="AS57" s="1645"/>
      <c r="AU57" s="493" t="s">
        <v>2526</v>
      </c>
    </row>
    <row r="58" spans="1:47" x14ac:dyDescent="0.2">
      <c r="A58" s="182"/>
      <c r="B58" s="48" t="s">
        <v>717</v>
      </c>
      <c r="C58" s="226"/>
      <c r="D58" s="212"/>
      <c r="E58" s="12" t="s">
        <v>1849</v>
      </c>
      <c r="F58" s="466" t="s">
        <v>1437</v>
      </c>
      <c r="G58" s="14" t="s">
        <v>22</v>
      </c>
      <c r="H58" s="132" t="s">
        <v>528</v>
      </c>
      <c r="I58" s="147"/>
      <c r="J58" s="145"/>
      <c r="K58" s="16" t="s">
        <v>22</v>
      </c>
      <c r="L58" s="1030" t="s">
        <v>1848</v>
      </c>
      <c r="M58" s="61"/>
      <c r="N58" s="386">
        <f>AVERAGE(N60:N71)</f>
        <v>956.56155695046709</v>
      </c>
      <c r="O58" s="61"/>
      <c r="P58" s="61"/>
      <c r="Q58" s="399" t="s">
        <v>92</v>
      </c>
      <c r="R58" s="61"/>
      <c r="S58" s="399"/>
      <c r="T58" s="61"/>
      <c r="U58" s="399"/>
      <c r="V58" s="468" t="s">
        <v>157</v>
      </c>
      <c r="W58" s="61"/>
      <c r="X58" s="109" t="s">
        <v>25</v>
      </c>
      <c r="Y58" s="80" t="s">
        <v>65</v>
      </c>
      <c r="Z58" s="164"/>
      <c r="AA58" s="372"/>
      <c r="AB58" s="92"/>
      <c r="AC58" s="907">
        <f>AVERAGE(AC60:AC71)</f>
        <v>3.3022243457026064</v>
      </c>
      <c r="AD58" s="109" t="s">
        <v>650</v>
      </c>
      <c r="AE58" s="193"/>
      <c r="AF58" s="226"/>
      <c r="AG58" s="1805"/>
      <c r="AH58" s="226"/>
      <c r="AI58" s="1764"/>
      <c r="AJ58" s="1764"/>
      <c r="AK58" s="1764"/>
      <c r="AL58" s="1764"/>
      <c r="AM58" s="1764"/>
      <c r="AN58" s="1764"/>
      <c r="AO58" s="1764"/>
      <c r="AP58" s="1764"/>
      <c r="AQ58" s="226"/>
      <c r="AR58" s="226"/>
      <c r="AS58" s="212"/>
      <c r="AU58" s="516" t="s">
        <v>1858</v>
      </c>
    </row>
    <row r="59" spans="1:47" s="751" customFormat="1" ht="12.75" customHeight="1" x14ac:dyDescent="0.2">
      <c r="A59" s="769" t="s">
        <v>2596</v>
      </c>
      <c r="B59" s="1817" t="s">
        <v>1594</v>
      </c>
      <c r="C59" s="1818" t="s">
        <v>697</v>
      </c>
      <c r="D59" s="554" t="s">
        <v>702</v>
      </c>
      <c r="E59" s="1070" t="s">
        <v>1850</v>
      </c>
      <c r="F59" s="790" t="s">
        <v>1710</v>
      </c>
      <c r="G59" s="791">
        <v>7</v>
      </c>
      <c r="H59" s="792">
        <v>17</v>
      </c>
      <c r="I59" s="1180">
        <v>178</v>
      </c>
      <c r="J59" s="1819" t="s">
        <v>2595</v>
      </c>
      <c r="K59" s="1820">
        <v>59</v>
      </c>
      <c r="L59" s="817">
        <v>6.2720000000000002</v>
      </c>
      <c r="M59" s="1821">
        <v>6.2720000000000002</v>
      </c>
      <c r="N59" s="564">
        <f>IF(AND(G59&lt;&gt;"",M59&lt;&gt;""),1000*M59/G59,"")</f>
        <v>896</v>
      </c>
      <c r="O59" s="564"/>
      <c r="P59" s="564"/>
      <c r="Q59" s="564">
        <v>15</v>
      </c>
      <c r="R59" s="564">
        <v>2</v>
      </c>
      <c r="S59" s="564"/>
      <c r="T59" s="564">
        <v>176</v>
      </c>
      <c r="U59" s="564"/>
      <c r="V59" s="564">
        <v>30</v>
      </c>
      <c r="W59" s="564"/>
      <c r="X59" s="566"/>
      <c r="Y59" s="795"/>
      <c r="Z59" s="568" t="str">
        <f>IF(AND(L59&lt;&gt;"",Y59&lt;&gt;""),1000*L59/Y59,"")</f>
        <v/>
      </c>
      <c r="AA59" s="591">
        <f>M59*1000/Q59</f>
        <v>418.13333333333333</v>
      </c>
      <c r="AB59" s="1073"/>
      <c r="AC59" s="571">
        <f>T59/V59</f>
        <v>5.8666666666666663</v>
      </c>
      <c r="AD59" s="572">
        <f>256*36*V59/1000000</f>
        <v>0.27648</v>
      </c>
      <c r="AE59" s="1822">
        <v>2.36</v>
      </c>
      <c r="AF59" s="1807">
        <v>3.94</v>
      </c>
      <c r="AG59" s="1808" t="s">
        <v>697</v>
      </c>
      <c r="AH59" s="1809" t="s">
        <v>697</v>
      </c>
      <c r="AI59" s="1810"/>
      <c r="AJ59" s="1810" t="s">
        <v>2554</v>
      </c>
      <c r="AK59" s="1810">
        <v>16</v>
      </c>
      <c r="AL59" s="1810">
        <v>6</v>
      </c>
      <c r="AM59" s="1811">
        <v>8</v>
      </c>
      <c r="AN59" s="1811">
        <v>8</v>
      </c>
      <c r="AO59" s="1811">
        <v>4</v>
      </c>
      <c r="AP59" s="1811"/>
      <c r="AQ59" s="1812"/>
      <c r="AR59" s="1813">
        <v>2</v>
      </c>
      <c r="AS59" s="1814"/>
      <c r="AU59" s="751" t="s">
        <v>2597</v>
      </c>
    </row>
    <row r="60" spans="1:47" s="751" customFormat="1" ht="12.75" customHeight="1" thickBot="1" x14ac:dyDescent="0.25">
      <c r="A60" s="769" t="s">
        <v>2596</v>
      </c>
      <c r="B60" s="1823" t="s">
        <v>1594</v>
      </c>
      <c r="C60" s="1824" t="s">
        <v>697</v>
      </c>
      <c r="D60" s="1825" t="s">
        <v>702</v>
      </c>
      <c r="E60" s="1826" t="s">
        <v>1851</v>
      </c>
      <c r="F60" s="1827" t="s">
        <v>1710</v>
      </c>
      <c r="G60" s="1828">
        <v>9</v>
      </c>
      <c r="H60" s="1403">
        <v>17</v>
      </c>
      <c r="I60" s="1829">
        <v>178</v>
      </c>
      <c r="J60" s="1830" t="s">
        <v>2595</v>
      </c>
      <c r="K60" s="1831">
        <v>69</v>
      </c>
      <c r="L60" s="1832">
        <v>10.32</v>
      </c>
      <c r="M60" s="1833">
        <v>10.32</v>
      </c>
      <c r="N60" s="1511">
        <f>IF(AND(G60&lt;&gt;"",M60&lt;&gt;""),1000*M60/G60,"")</f>
        <v>1146.6666666666667</v>
      </c>
      <c r="O60" s="1511"/>
      <c r="P60" s="1511"/>
      <c r="Q60" s="1511">
        <v>23</v>
      </c>
      <c r="R60" s="1511">
        <v>2</v>
      </c>
      <c r="S60" s="1511"/>
      <c r="T60" s="1511">
        <v>176</v>
      </c>
      <c r="U60" s="1511"/>
      <c r="V60" s="1511">
        <v>46</v>
      </c>
      <c r="W60" s="1511"/>
      <c r="X60" s="1834"/>
      <c r="Y60" s="1424"/>
      <c r="Z60" s="1425" t="str">
        <f>IF(AND(L60&lt;&gt;"",Y60&lt;&gt;""),1000*L60/Y60,"")</f>
        <v/>
      </c>
      <c r="AA60" s="1835">
        <f>M60*1000/Q60</f>
        <v>448.69565217391306</v>
      </c>
      <c r="AB60" s="1836"/>
      <c r="AC60" s="1427">
        <f>T60/V60</f>
        <v>3.8260869565217392</v>
      </c>
      <c r="AD60" s="1837">
        <f>256*36*V60/1000000</f>
        <v>0.42393599999999998</v>
      </c>
      <c r="AE60" s="1838">
        <v>2.36</v>
      </c>
      <c r="AF60" s="1839">
        <v>3.94</v>
      </c>
      <c r="AG60" s="1840" t="s">
        <v>697</v>
      </c>
      <c r="AH60" s="1841" t="s">
        <v>697</v>
      </c>
      <c r="AI60" s="1842"/>
      <c r="AJ60" s="1842" t="s">
        <v>2554</v>
      </c>
      <c r="AK60" s="1842">
        <v>16</v>
      </c>
      <c r="AL60" s="1842">
        <v>6</v>
      </c>
      <c r="AM60" s="1843">
        <v>8</v>
      </c>
      <c r="AN60" s="1843">
        <v>8</v>
      </c>
      <c r="AO60" s="1843">
        <v>4</v>
      </c>
      <c r="AP60" s="1843"/>
      <c r="AQ60" s="1844"/>
      <c r="AR60" s="1845">
        <v>2</v>
      </c>
      <c r="AS60" s="1846"/>
      <c r="AU60" s="751" t="s">
        <v>2597</v>
      </c>
    </row>
    <row r="61" spans="1:47" x14ac:dyDescent="0.2">
      <c r="A61" s="182"/>
      <c r="B61" s="48" t="s">
        <v>715</v>
      </c>
      <c r="C61" s="226"/>
      <c r="D61" s="212"/>
      <c r="E61" s="12" t="s">
        <v>664</v>
      </c>
      <c r="F61" s="466" t="s">
        <v>1018</v>
      </c>
      <c r="G61" s="14" t="s">
        <v>22</v>
      </c>
      <c r="H61" s="40" t="s">
        <v>531</v>
      </c>
      <c r="I61" s="408"/>
      <c r="J61" s="1386"/>
      <c r="K61" s="412" t="s">
        <v>22</v>
      </c>
      <c r="L61" s="248" t="s">
        <v>665</v>
      </c>
      <c r="M61" s="383" t="s">
        <v>696</v>
      </c>
      <c r="N61" s="380">
        <f>AVERAGE(N62:N74)</f>
        <v>893.19318704506713</v>
      </c>
      <c r="O61" s="382">
        <f>AVERAGE(O63:O69)</f>
        <v>0.86670133472005551</v>
      </c>
      <c r="P61" s="60"/>
      <c r="Q61" s="399" t="s">
        <v>1737</v>
      </c>
      <c r="R61" s="61"/>
      <c r="S61" s="61" t="s">
        <v>833</v>
      </c>
      <c r="T61" s="61"/>
      <c r="U61" s="61" t="s">
        <v>634</v>
      </c>
      <c r="V61" s="490" t="s">
        <v>677</v>
      </c>
      <c r="W61" s="61"/>
      <c r="X61" s="109" t="s">
        <v>188</v>
      </c>
      <c r="Y61" s="80" t="s">
        <v>695</v>
      </c>
      <c r="Z61" s="206"/>
      <c r="AA61" s="370"/>
      <c r="AB61" s="92"/>
      <c r="AC61" s="98"/>
      <c r="AD61" s="109" t="s">
        <v>650</v>
      </c>
      <c r="AE61" s="1629"/>
      <c r="AF61" s="1630"/>
      <c r="AG61" s="1638"/>
      <c r="AH61" s="1638"/>
      <c r="AI61" s="1755"/>
      <c r="AJ61" s="1755"/>
      <c r="AK61" s="1755"/>
      <c r="AL61" s="1755"/>
      <c r="AM61" s="1755"/>
      <c r="AN61" s="1755"/>
      <c r="AO61" s="1755"/>
      <c r="AP61" s="1755"/>
      <c r="AQ61" s="1638"/>
      <c r="AR61" s="1638"/>
      <c r="AS61" s="1639"/>
      <c r="AU61" t="s">
        <v>983</v>
      </c>
    </row>
    <row r="62" spans="1:47" ht="13.5" thickBot="1" x14ac:dyDescent="0.25">
      <c r="A62" s="494" t="s">
        <v>2614</v>
      </c>
      <c r="B62" s="21" t="s">
        <v>702</v>
      </c>
      <c r="C62" s="228" t="s">
        <v>697</v>
      </c>
      <c r="D62" s="214"/>
      <c r="E62" s="1112" t="s">
        <v>2612</v>
      </c>
      <c r="F62" s="1663" t="s">
        <v>1933</v>
      </c>
      <c r="G62" s="34">
        <v>25.4</v>
      </c>
      <c r="H62" s="130">
        <v>13</v>
      </c>
      <c r="I62" s="418">
        <v>150</v>
      </c>
      <c r="J62" s="1707" t="s">
        <v>2615</v>
      </c>
      <c r="K62" s="1690">
        <v>71.989999999999995</v>
      </c>
      <c r="L62" s="458">
        <f>8*X62/1000</f>
        <v>14.6</v>
      </c>
      <c r="M62" s="459">
        <f>12.8*X62/1000</f>
        <v>23.36</v>
      </c>
      <c r="N62" s="1308">
        <f>IF(AND(G62&lt;&gt;"",M62&lt;&gt;""),1000*M62/G62,"")</f>
        <v>919.68503937007881</v>
      </c>
      <c r="O62" s="68">
        <f>IF(AND(G62&lt;&gt;"",L62&lt;&gt;""),1000*L62/G62,"")</f>
        <v>574.80314960629926</v>
      </c>
      <c r="P62" s="68"/>
      <c r="Q62" s="68">
        <v>80</v>
      </c>
      <c r="R62" s="68">
        <v>3</v>
      </c>
      <c r="S62" s="68"/>
      <c r="T62" s="68">
        <v>150</v>
      </c>
      <c r="U62" s="533" t="s">
        <v>1189</v>
      </c>
      <c r="V62" s="68">
        <v>45</v>
      </c>
      <c r="W62" s="68">
        <v>1</v>
      </c>
      <c r="X62" s="116">
        <v>1825</v>
      </c>
      <c r="Y62" s="205"/>
      <c r="Z62" s="142"/>
      <c r="AA62" s="374">
        <f>1000*M62/Q62</f>
        <v>292</v>
      </c>
      <c r="AB62" s="55"/>
      <c r="AC62" s="100">
        <f>T62/V62</f>
        <v>3.3333333333333335</v>
      </c>
      <c r="AD62" s="192">
        <f>512*72*V62/1000000</f>
        <v>1.6588799999999999</v>
      </c>
      <c r="AE62" s="1657">
        <v>2.87</v>
      </c>
      <c r="AF62" s="1657">
        <v>4.72</v>
      </c>
      <c r="AG62" s="1683" t="s">
        <v>697</v>
      </c>
      <c r="AH62" s="1676"/>
      <c r="AI62" s="1770" t="s">
        <v>2592</v>
      </c>
      <c r="AJ62" s="1765"/>
      <c r="AK62" s="1765">
        <v>32</v>
      </c>
      <c r="AL62" s="1765">
        <v>3</v>
      </c>
      <c r="AM62" s="1763">
        <v>8</v>
      </c>
      <c r="AN62" s="1763">
        <v>8</v>
      </c>
      <c r="AO62" s="1763">
        <v>6</v>
      </c>
      <c r="AP62" s="1763"/>
      <c r="AQ62" s="1643"/>
      <c r="AR62" s="1650">
        <v>4</v>
      </c>
      <c r="AS62" s="1645"/>
      <c r="AU62" s="493" t="s">
        <v>2616</v>
      </c>
    </row>
    <row r="63" spans="1:47" x14ac:dyDescent="0.2">
      <c r="A63" s="182"/>
      <c r="B63" s="48" t="s">
        <v>717</v>
      </c>
      <c r="C63" s="226"/>
      <c r="D63" s="212"/>
      <c r="E63" s="12" t="s">
        <v>1592</v>
      </c>
      <c r="F63" s="466" t="s">
        <v>1584</v>
      </c>
      <c r="G63" s="14" t="s">
        <v>22</v>
      </c>
      <c r="H63" s="132" t="s">
        <v>528</v>
      </c>
      <c r="I63" s="408"/>
      <c r="J63" s="1307"/>
      <c r="K63" s="412" t="s">
        <v>22</v>
      </c>
      <c r="L63" s="248" t="s">
        <v>23</v>
      </c>
      <c r="M63" s="60"/>
      <c r="N63" s="385"/>
      <c r="O63" s="61"/>
      <c r="P63" s="61"/>
      <c r="Q63" s="399" t="s">
        <v>92</v>
      </c>
      <c r="R63" s="61"/>
      <c r="S63" s="61" t="s">
        <v>1595</v>
      </c>
      <c r="T63" s="61"/>
      <c r="U63" s="61" t="s">
        <v>1593</v>
      </c>
      <c r="V63" s="62" t="s">
        <v>157</v>
      </c>
      <c r="W63" s="61" t="s">
        <v>1329</v>
      </c>
      <c r="X63" s="109" t="s">
        <v>25</v>
      </c>
      <c r="Y63" s="80" t="s">
        <v>65</v>
      </c>
      <c r="Z63" s="164"/>
      <c r="AA63" s="372"/>
      <c r="AB63" s="210"/>
      <c r="AC63" s="98"/>
      <c r="AD63" s="109" t="s">
        <v>650</v>
      </c>
      <c r="AE63" s="193"/>
      <c r="AF63" s="226"/>
      <c r="AG63" s="226"/>
      <c r="AH63" s="226"/>
      <c r="AI63" s="1764"/>
      <c r="AJ63" s="1764"/>
      <c r="AK63" s="1764"/>
      <c r="AL63" s="1764"/>
      <c r="AM63" s="1764"/>
      <c r="AN63" s="1764"/>
      <c r="AO63" s="1764"/>
      <c r="AP63" s="1764"/>
      <c r="AQ63" s="226"/>
      <c r="AR63" s="226"/>
      <c r="AS63" s="212"/>
      <c r="AU63" s="516" t="s">
        <v>1583</v>
      </c>
    </row>
    <row r="64" spans="1:47" ht="12.75" customHeight="1" thickBot="1" x14ac:dyDescent="0.25">
      <c r="A64" s="523" t="s">
        <v>2525</v>
      </c>
      <c r="B64" s="1146" t="s">
        <v>1594</v>
      </c>
      <c r="C64" s="1275" t="s">
        <v>697</v>
      </c>
      <c r="D64" s="214" t="s">
        <v>702</v>
      </c>
      <c r="E64" s="417" t="s">
        <v>1591</v>
      </c>
      <c r="F64" s="133" t="s">
        <v>1710</v>
      </c>
      <c r="G64" s="23">
        <v>57.69</v>
      </c>
      <c r="H64" s="125">
        <v>17</v>
      </c>
      <c r="I64" s="410">
        <v>178</v>
      </c>
      <c r="J64" s="529" t="s">
        <v>2524</v>
      </c>
      <c r="K64" s="1723">
        <v>77</v>
      </c>
      <c r="L64" s="453">
        <f>X64/100</f>
        <v>50</v>
      </c>
      <c r="M64" s="454">
        <f>X64/100</f>
        <v>50</v>
      </c>
      <c r="N64" s="68">
        <f>IF(AND(G64&lt;&gt;"",M64&lt;&gt;""),1000*M64/G64,"")</f>
        <v>866.70133472005546</v>
      </c>
      <c r="O64" s="68">
        <f>IF(AND(G64&lt;&gt;"",L64&lt;&gt;""),L64/G64,"")</f>
        <v>0.86670133472005551</v>
      </c>
      <c r="P64" s="68"/>
      <c r="Q64" s="68">
        <v>144</v>
      </c>
      <c r="R64" s="533">
        <v>4</v>
      </c>
      <c r="S64" s="68">
        <v>2</v>
      </c>
      <c r="T64" s="68">
        <v>500</v>
      </c>
      <c r="U64" s="68" t="s">
        <v>1184</v>
      </c>
      <c r="V64" s="68">
        <v>182</v>
      </c>
      <c r="W64" s="68">
        <v>736</v>
      </c>
      <c r="X64" s="111">
        <v>5000</v>
      </c>
      <c r="Y64" s="82"/>
      <c r="Z64" s="142" t="str">
        <f>IF(AND(L64&lt;&gt;"",Y64&lt;&gt;""),1000*L64/Y64,"")</f>
        <v/>
      </c>
      <c r="AA64" s="379">
        <f>M64*1000/Q64</f>
        <v>347.22222222222223</v>
      </c>
      <c r="AB64" s="202"/>
      <c r="AC64" s="100">
        <f>T64/V64</f>
        <v>2.7472527472527473</v>
      </c>
      <c r="AD64" s="192">
        <f>256*36*V64/1000000</f>
        <v>1.6773119999999999</v>
      </c>
      <c r="AE64" s="1641">
        <v>3.15</v>
      </c>
      <c r="AF64" s="1642">
        <v>3.84</v>
      </c>
      <c r="AG64" s="1644" t="s">
        <v>697</v>
      </c>
      <c r="AH64" s="1650" t="s">
        <v>697</v>
      </c>
      <c r="AI64" s="1770" t="s">
        <v>2592</v>
      </c>
      <c r="AJ64" s="1770" t="s">
        <v>2554</v>
      </c>
      <c r="AK64" s="1765">
        <v>20</v>
      </c>
      <c r="AL64" s="1765">
        <v>6</v>
      </c>
      <c r="AM64" s="1756">
        <v>10</v>
      </c>
      <c r="AN64" s="1756">
        <v>10</v>
      </c>
      <c r="AO64" s="1756">
        <v>2</v>
      </c>
      <c r="AP64" s="1756"/>
      <c r="AQ64" s="1643"/>
      <c r="AR64" s="1329" t="s">
        <v>2550</v>
      </c>
      <c r="AS64" s="1645"/>
      <c r="AU64" s="493" t="s">
        <v>2617</v>
      </c>
    </row>
    <row r="65" spans="2:48" x14ac:dyDescent="0.2">
      <c r="K65" s="1685"/>
    </row>
    <row r="66" spans="2:48" x14ac:dyDescent="0.2">
      <c r="B66" s="1687" t="s">
        <v>2565</v>
      </c>
      <c r="K66" s="1685"/>
      <c r="L66" s="1778" t="s">
        <v>2564</v>
      </c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1852"/>
      <c r="AN66" s="237"/>
      <c r="AO66" s="237"/>
      <c r="AP66" s="237"/>
      <c r="AQ66" s="237"/>
      <c r="AR66" s="237"/>
      <c r="AS66" s="237"/>
      <c r="AT66" s="237"/>
      <c r="AU66" s="237"/>
    </row>
    <row r="67" spans="2:48" x14ac:dyDescent="0.2">
      <c r="B67" t="s">
        <v>2537</v>
      </c>
      <c r="J67" t="s">
        <v>2541</v>
      </c>
      <c r="K67" s="1685">
        <v>29</v>
      </c>
      <c r="L67" s="530" t="s">
        <v>2542</v>
      </c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1852"/>
      <c r="AN67" s="237"/>
      <c r="AO67" s="237"/>
      <c r="AP67" s="237"/>
      <c r="AQ67" s="237"/>
      <c r="AR67" s="237"/>
      <c r="AS67" s="237"/>
      <c r="AT67" s="237"/>
      <c r="AU67" s="237"/>
    </row>
    <row r="68" spans="2:48" x14ac:dyDescent="0.2">
      <c r="K68" s="1685">
        <v>9.09</v>
      </c>
      <c r="L68" s="493" t="s">
        <v>2465</v>
      </c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1852"/>
      <c r="AN68" s="237"/>
      <c r="AO68" s="237"/>
      <c r="AP68" s="237"/>
      <c r="AQ68" s="237"/>
      <c r="AR68" s="237"/>
      <c r="AS68" s="237"/>
      <c r="AT68" s="237"/>
      <c r="AU68" s="237"/>
    </row>
    <row r="69" spans="2:48" x14ac:dyDescent="0.2">
      <c r="B69" t="s">
        <v>2456</v>
      </c>
      <c r="K69" s="1685">
        <v>9.9499999999999993</v>
      </c>
      <c r="L69" t="s">
        <v>2457</v>
      </c>
      <c r="AA69" s="237"/>
      <c r="AB69" s="237"/>
      <c r="AC69" s="237"/>
      <c r="AD69" s="237"/>
      <c r="AE69" s="1853"/>
      <c r="AF69" s="1853"/>
      <c r="AG69" s="1854"/>
      <c r="AH69" s="1652"/>
      <c r="AI69" s="1855"/>
      <c r="AJ69" s="1855"/>
      <c r="AK69" s="1855"/>
      <c r="AL69" s="1855"/>
      <c r="AM69" s="1856"/>
      <c r="AN69" s="1652"/>
      <c r="AO69" s="1652"/>
      <c r="AP69" s="1652"/>
      <c r="AQ69" s="1855"/>
      <c r="AR69" s="1652"/>
      <c r="AS69" s="1652"/>
      <c r="AT69" s="237"/>
      <c r="AU69" s="237" t="s">
        <v>2458</v>
      </c>
      <c r="AV69" t="s">
        <v>2459</v>
      </c>
    </row>
    <row r="70" spans="2:48" x14ac:dyDescent="0.2">
      <c r="K70" s="1685">
        <v>24.95</v>
      </c>
      <c r="L70" t="s">
        <v>2460</v>
      </c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1852"/>
      <c r="AN70" s="237"/>
      <c r="AO70" s="237"/>
      <c r="AP70" s="237"/>
      <c r="AQ70" s="237"/>
      <c r="AR70" s="237"/>
      <c r="AS70" s="237"/>
      <c r="AT70" s="237"/>
      <c r="AU70" s="237" t="s">
        <v>2461</v>
      </c>
      <c r="AV70" t="s">
        <v>2462</v>
      </c>
    </row>
    <row r="71" spans="2:48" x14ac:dyDescent="0.2">
      <c r="E71" s="493" t="s">
        <v>2463</v>
      </c>
      <c r="K71" s="1685">
        <v>42</v>
      </c>
      <c r="L71" s="493" t="s">
        <v>2464</v>
      </c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1852"/>
      <c r="AN71" s="237"/>
      <c r="AO71" s="237"/>
      <c r="AP71" s="237"/>
      <c r="AQ71" s="237"/>
      <c r="AR71" s="237"/>
      <c r="AS71" s="237"/>
      <c r="AT71" s="237"/>
      <c r="AU71" s="237"/>
    </row>
    <row r="72" spans="2:48" x14ac:dyDescent="0.2">
      <c r="AA72" s="237"/>
      <c r="AB72" s="237"/>
      <c r="AC72" s="237"/>
      <c r="AD72" s="237"/>
      <c r="AE72" s="237"/>
      <c r="AF72" s="237"/>
      <c r="AG72" s="237"/>
      <c r="AH72" s="237"/>
      <c r="AI72" s="237"/>
      <c r="AJ72" s="237"/>
      <c r="AK72" s="237"/>
      <c r="AL72" s="237"/>
      <c r="AM72" s="1852"/>
      <c r="AN72" s="237"/>
      <c r="AO72" s="237"/>
      <c r="AP72" s="237"/>
      <c r="AQ72" s="237"/>
      <c r="AR72" s="237"/>
      <c r="AS72" s="237"/>
      <c r="AT72" s="237"/>
      <c r="AU72" s="237"/>
    </row>
    <row r="73" spans="2:48" x14ac:dyDescent="0.2"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1852"/>
      <c r="AN73" s="237"/>
      <c r="AO73" s="237"/>
      <c r="AP73" s="237"/>
      <c r="AQ73" s="237"/>
      <c r="AR73" s="237"/>
      <c r="AS73" s="237"/>
      <c r="AT73" s="237"/>
      <c r="AU73" s="237"/>
    </row>
    <row r="74" spans="2:48" x14ac:dyDescent="0.2"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1852"/>
      <c r="AN74" s="237"/>
      <c r="AO74" s="237"/>
      <c r="AP74" s="237"/>
      <c r="AQ74" s="237"/>
      <c r="AR74" s="237"/>
      <c r="AS74" s="237"/>
      <c r="AT74" s="237"/>
      <c r="AU74" s="237"/>
    </row>
    <row r="75" spans="2:48" x14ac:dyDescent="0.2"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1852"/>
      <c r="AN75" s="237"/>
      <c r="AO75" s="237"/>
      <c r="AP75" s="237"/>
      <c r="AQ75" s="237"/>
      <c r="AR75" s="237"/>
      <c r="AS75" s="237"/>
      <c r="AT75" s="237"/>
      <c r="AU75" s="237"/>
    </row>
  </sheetData>
  <hyperlinks>
    <hyperlink ref="AU8" r:id="rId1"/>
    <hyperlink ref="AU6" r:id="rId2"/>
    <hyperlink ref="AU25" r:id="rId3"/>
    <hyperlink ref="AU53" r:id="rId4" display="https://www.pcbway.com/project/gifts_detail/iCE40_Feather.html"/>
    <hyperlink ref="L67" r:id="rId5"/>
    <hyperlink ref="L66" r:id="rId6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"/>
  <sheetViews>
    <sheetView zoomScale="130" zoomScaleNormal="130" workbookViewId="0">
      <selection activeCell="AC16" sqref="AC16"/>
    </sheetView>
  </sheetViews>
  <sheetFormatPr defaultRowHeight="12.75" x14ac:dyDescent="0.2"/>
  <cols>
    <col min="2" max="2" width="14.5703125" customWidth="1"/>
    <col min="3" max="3" width="11.7109375" customWidth="1"/>
    <col min="4" max="4" width="10.5703125" customWidth="1"/>
    <col min="5" max="5" width="5.7109375" customWidth="1"/>
    <col min="6" max="6" width="5.5703125" style="6" customWidth="1"/>
    <col min="7" max="7" width="4.7109375" style="1798" customWidth="1"/>
    <col min="8" max="8" width="3" customWidth="1"/>
    <col min="9" max="10" width="3.85546875" customWidth="1"/>
    <col min="11" max="11" width="4.7109375" customWidth="1"/>
    <col min="12" max="12" width="3.5703125" style="1780" customWidth="1"/>
    <col min="13" max="13" width="3.85546875" style="1780" customWidth="1"/>
    <col min="14" max="14" width="3.28515625" style="406" customWidth="1"/>
    <col min="15" max="15" width="2.85546875" style="406" customWidth="1"/>
    <col min="16" max="16" width="6" style="406" customWidth="1"/>
    <col min="17" max="17" width="2.85546875" style="406" customWidth="1"/>
    <col min="18" max="18" width="3.28515625" style="406" customWidth="1"/>
    <col min="19" max="19" width="2.5703125" style="406" customWidth="1"/>
    <col min="20" max="20" width="3.140625" style="406" customWidth="1"/>
    <col min="21" max="21" width="2.7109375" style="406" customWidth="1"/>
    <col min="22" max="22" width="2.140625" style="406" customWidth="1"/>
    <col min="23" max="23" width="3" style="406" customWidth="1"/>
    <col min="24" max="24" width="2.85546875" style="406" customWidth="1"/>
    <col min="25" max="25" width="2.28515625" style="406" customWidth="1"/>
    <col min="26" max="26" width="2.5703125" style="406" customWidth="1"/>
  </cols>
  <sheetData>
    <row r="1" spans="2:30" ht="13.5" thickBot="1" x14ac:dyDescent="0.25"/>
    <row r="2" spans="2:30" s="1779" customFormat="1" ht="54" customHeight="1" thickBot="1" x14ac:dyDescent="0.25">
      <c r="B2" s="1781" t="s">
        <v>2567</v>
      </c>
      <c r="C2" s="1782" t="s">
        <v>2574</v>
      </c>
      <c r="D2" s="1783" t="s">
        <v>1</v>
      </c>
      <c r="E2" s="1783" t="s">
        <v>2568</v>
      </c>
      <c r="F2" s="1784" t="s">
        <v>990</v>
      </c>
      <c r="G2" s="1799" t="s">
        <v>2591</v>
      </c>
      <c r="H2" s="1785" t="s">
        <v>1171</v>
      </c>
      <c r="I2" s="1785" t="s">
        <v>9</v>
      </c>
      <c r="J2" s="1785" t="s">
        <v>2569</v>
      </c>
      <c r="K2" s="1786" t="s">
        <v>2575</v>
      </c>
      <c r="L2" s="1787" t="s">
        <v>2435</v>
      </c>
      <c r="M2" s="1787" t="s">
        <v>2436</v>
      </c>
      <c r="N2" s="1785" t="s">
        <v>2228</v>
      </c>
      <c r="O2" s="1785" t="s">
        <v>2438</v>
      </c>
      <c r="P2" s="1785" t="s">
        <v>2570</v>
      </c>
      <c r="Q2" s="1785" t="s">
        <v>2571</v>
      </c>
      <c r="R2" s="1786" t="s">
        <v>2578</v>
      </c>
      <c r="S2" s="1785" t="s">
        <v>2572</v>
      </c>
      <c r="T2" s="1785" t="s">
        <v>2547</v>
      </c>
      <c r="U2" s="1785" t="s">
        <v>2548</v>
      </c>
      <c r="V2" s="1785" t="s">
        <v>2555</v>
      </c>
      <c r="W2" s="1786" t="s">
        <v>2576</v>
      </c>
      <c r="X2" s="1786" t="s">
        <v>2437</v>
      </c>
      <c r="Y2" s="1786" t="s">
        <v>2573</v>
      </c>
      <c r="Z2" s="1788" t="s">
        <v>2440</v>
      </c>
    </row>
    <row r="3" spans="2:30" ht="4.5" customHeight="1" thickBot="1" x14ac:dyDescent="0.25"/>
    <row r="4" spans="2:30" x14ac:dyDescent="0.2">
      <c r="B4" s="193" t="s">
        <v>2579</v>
      </c>
      <c r="C4" s="1077" t="s">
        <v>2580</v>
      </c>
      <c r="D4" s="1077" t="s">
        <v>1585</v>
      </c>
      <c r="E4" s="1077" t="s">
        <v>717</v>
      </c>
      <c r="F4" s="1789">
        <v>2</v>
      </c>
      <c r="G4" s="1727">
        <v>2</v>
      </c>
      <c r="H4" s="226"/>
      <c r="I4" s="226">
        <v>16</v>
      </c>
      <c r="J4" s="226">
        <v>12</v>
      </c>
      <c r="K4" s="226">
        <v>0.111</v>
      </c>
      <c r="L4" s="1630">
        <v>0.7</v>
      </c>
      <c r="M4" s="1630">
        <v>2</v>
      </c>
      <c r="N4" s="1674" t="s">
        <v>697</v>
      </c>
      <c r="O4" s="1790"/>
      <c r="P4" s="1768"/>
      <c r="Q4" s="1768"/>
      <c r="R4" s="1768">
        <v>30</v>
      </c>
      <c r="S4" s="1768">
        <v>2</v>
      </c>
      <c r="T4" s="1755">
        <v>10</v>
      </c>
      <c r="U4" s="1766">
        <v>4</v>
      </c>
      <c r="V4" s="1766">
        <v>4</v>
      </c>
      <c r="W4" s="1766"/>
      <c r="X4" s="1673"/>
      <c r="Y4" s="1790"/>
      <c r="Z4" s="1639"/>
    </row>
    <row r="5" spans="2:30" x14ac:dyDescent="0.2">
      <c r="B5" s="41" t="s">
        <v>2593</v>
      </c>
      <c r="C5" s="230" t="s">
        <v>2581</v>
      </c>
      <c r="D5" s="230" t="s">
        <v>2594</v>
      </c>
      <c r="E5" s="230" t="s">
        <v>2128</v>
      </c>
      <c r="F5" s="972">
        <v>4.0679999999999996</v>
      </c>
      <c r="G5" s="1800">
        <v>4.0679999999999996</v>
      </c>
      <c r="H5" s="230"/>
      <c r="I5" s="227">
        <v>16</v>
      </c>
      <c r="J5" s="227">
        <v>10</v>
      </c>
      <c r="K5" s="227">
        <v>0.184</v>
      </c>
      <c r="L5" s="457">
        <v>1.417</v>
      </c>
      <c r="M5" s="457">
        <v>2.7559999999999998</v>
      </c>
      <c r="N5" s="1803" t="s">
        <v>697</v>
      </c>
      <c r="O5" s="154"/>
      <c r="P5" s="154"/>
      <c r="Q5" s="154"/>
      <c r="R5" s="1311">
        <v>36</v>
      </c>
      <c r="S5" s="1311">
        <v>4</v>
      </c>
      <c r="T5" s="1311">
        <v>12</v>
      </c>
      <c r="U5" s="1311">
        <v>8</v>
      </c>
      <c r="V5" s="1311">
        <v>8</v>
      </c>
      <c r="W5" s="154"/>
      <c r="X5" s="154"/>
      <c r="Y5" s="1816"/>
      <c r="Z5" s="213"/>
      <c r="AC5" s="237"/>
      <c r="AD5" s="237"/>
    </row>
    <row r="6" spans="2:30" x14ac:dyDescent="0.2">
      <c r="B6" s="41" t="s">
        <v>2635</v>
      </c>
      <c r="C6" s="230" t="s">
        <v>2641</v>
      </c>
      <c r="D6" s="230" t="s">
        <v>2271</v>
      </c>
      <c r="E6" s="230" t="s">
        <v>2128</v>
      </c>
      <c r="F6" s="972">
        <v>4.0679999999999996</v>
      </c>
      <c r="G6" s="1800">
        <v>4.0679999999999996</v>
      </c>
      <c r="H6" s="230" t="s">
        <v>2640</v>
      </c>
      <c r="I6" s="227">
        <v>16</v>
      </c>
      <c r="J6" s="227">
        <v>10</v>
      </c>
      <c r="K6" s="227">
        <v>0.184</v>
      </c>
      <c r="L6" s="457">
        <v>2.2400000000000002</v>
      </c>
      <c r="M6" s="457">
        <v>2.76</v>
      </c>
      <c r="N6" s="536" t="s">
        <v>697</v>
      </c>
      <c r="O6" s="154"/>
      <c r="P6" s="1857" t="s">
        <v>2239</v>
      </c>
      <c r="Q6" s="154"/>
      <c r="R6" s="65">
        <v>25</v>
      </c>
      <c r="S6" s="65">
        <v>4</v>
      </c>
      <c r="T6" s="65">
        <v>11</v>
      </c>
      <c r="U6" s="65">
        <v>8</v>
      </c>
      <c r="V6" s="65">
        <v>6</v>
      </c>
      <c r="W6" s="154"/>
      <c r="X6" s="154"/>
      <c r="Y6" s="154"/>
      <c r="Z6" s="213">
        <v>2</v>
      </c>
      <c r="AC6" s="237"/>
      <c r="AD6" s="237"/>
    </row>
    <row r="7" spans="2:30" x14ac:dyDescent="0.2">
      <c r="B7" s="17" t="s">
        <v>2426</v>
      </c>
      <c r="C7" s="230" t="s">
        <v>2425</v>
      </c>
      <c r="D7" s="230" t="s">
        <v>2292</v>
      </c>
      <c r="E7" s="230" t="s">
        <v>716</v>
      </c>
      <c r="F7" s="972">
        <v>5.28</v>
      </c>
      <c r="G7" s="1800">
        <v>5.28</v>
      </c>
      <c r="H7" s="227"/>
      <c r="I7" s="227">
        <v>8</v>
      </c>
      <c r="J7" s="227">
        <v>30</v>
      </c>
      <c r="K7" s="227">
        <v>1.171</v>
      </c>
      <c r="L7" s="1657">
        <v>0.9</v>
      </c>
      <c r="M7" s="1657">
        <v>2.4</v>
      </c>
      <c r="N7" s="1659" t="s">
        <v>697</v>
      </c>
      <c r="O7" s="1792"/>
      <c r="P7" s="1769"/>
      <c r="Q7" s="1769"/>
      <c r="R7" s="1769">
        <v>39</v>
      </c>
      <c r="S7" s="1769"/>
      <c r="T7" s="1760">
        <v>1</v>
      </c>
      <c r="U7" s="1794"/>
      <c r="V7" s="1794"/>
      <c r="W7" s="1794"/>
      <c r="X7" s="1658"/>
      <c r="Y7" s="1792" t="s">
        <v>697</v>
      </c>
      <c r="Z7" s="1679"/>
      <c r="AC7" s="237"/>
      <c r="AD7" s="237"/>
    </row>
    <row r="8" spans="2:30" x14ac:dyDescent="0.2">
      <c r="B8" s="41" t="s">
        <v>2433</v>
      </c>
      <c r="C8" s="230" t="s">
        <v>2577</v>
      </c>
      <c r="D8" s="230" t="s">
        <v>2292</v>
      </c>
      <c r="E8" s="230" t="s">
        <v>716</v>
      </c>
      <c r="F8" s="972">
        <v>5.28</v>
      </c>
      <c r="G8" s="1800">
        <v>5.28</v>
      </c>
      <c r="H8" s="227"/>
      <c r="I8" s="227">
        <v>8</v>
      </c>
      <c r="J8" s="227">
        <v>30</v>
      </c>
      <c r="K8" s="227">
        <v>1.171</v>
      </c>
      <c r="L8" s="1657">
        <v>0.9</v>
      </c>
      <c r="M8" s="1657">
        <v>2</v>
      </c>
      <c r="N8" s="1659" t="s">
        <v>697</v>
      </c>
      <c r="O8" s="1678"/>
      <c r="P8" s="1769"/>
      <c r="Q8" s="1769"/>
      <c r="R8" s="1769">
        <v>20</v>
      </c>
      <c r="S8" s="1769"/>
      <c r="T8" s="1760">
        <v>1</v>
      </c>
      <c r="U8" s="1760"/>
      <c r="V8" s="1760"/>
      <c r="W8" s="1760"/>
      <c r="X8" s="1658" t="s">
        <v>697</v>
      </c>
      <c r="Y8" s="1791"/>
      <c r="Z8" s="1679"/>
      <c r="AC8" s="1434"/>
      <c r="AD8" s="237"/>
    </row>
    <row r="9" spans="2:30" x14ac:dyDescent="0.2">
      <c r="B9" s="41" t="s">
        <v>2611</v>
      </c>
      <c r="C9" s="230" t="s">
        <v>2613</v>
      </c>
      <c r="D9" s="230" t="s">
        <v>2612</v>
      </c>
      <c r="E9" s="230" t="s">
        <v>715</v>
      </c>
      <c r="F9" s="972">
        <v>5.7</v>
      </c>
      <c r="G9" s="1800">
        <v>9.1999999999999993</v>
      </c>
      <c r="H9" s="227"/>
      <c r="I9" s="227">
        <v>16</v>
      </c>
      <c r="J9" s="227">
        <v>32</v>
      </c>
      <c r="K9" s="227">
        <v>0.59</v>
      </c>
      <c r="L9" s="1657">
        <v>2.87</v>
      </c>
      <c r="M9" s="1657">
        <v>4.72</v>
      </c>
      <c r="N9" s="1796" t="s">
        <v>697</v>
      </c>
      <c r="O9" s="1792"/>
      <c r="P9" s="1793" t="s">
        <v>2592</v>
      </c>
      <c r="Q9" s="1793" t="s">
        <v>2554</v>
      </c>
      <c r="R9" s="1769">
        <v>32</v>
      </c>
      <c r="S9" s="1769">
        <v>3</v>
      </c>
      <c r="T9" s="1760">
        <v>8</v>
      </c>
      <c r="U9" s="1794">
        <v>8</v>
      </c>
      <c r="V9" s="1794">
        <v>6</v>
      </c>
      <c r="W9" s="1794" t="s">
        <v>2586</v>
      </c>
      <c r="X9" s="1658"/>
      <c r="Y9" s="1792">
        <v>4</v>
      </c>
      <c r="Z9" s="1679"/>
    </row>
    <row r="10" spans="2:30" s="751" customFormat="1" x14ac:dyDescent="0.2">
      <c r="B10" s="573" t="s">
        <v>2595</v>
      </c>
      <c r="C10" s="574" t="s">
        <v>2596</v>
      </c>
      <c r="D10" s="574" t="s">
        <v>1850</v>
      </c>
      <c r="E10" s="574" t="s">
        <v>717</v>
      </c>
      <c r="F10" s="1605">
        <v>6.2720000000000002</v>
      </c>
      <c r="G10" s="1806">
        <v>6.2720000000000002</v>
      </c>
      <c r="H10" s="574"/>
      <c r="I10" s="574">
        <v>15</v>
      </c>
      <c r="J10" s="574">
        <v>30</v>
      </c>
      <c r="K10" s="574">
        <v>0.27600000000000002</v>
      </c>
      <c r="L10" s="1807">
        <v>2.36</v>
      </c>
      <c r="M10" s="1807">
        <v>3.94</v>
      </c>
      <c r="N10" s="1808" t="s">
        <v>697</v>
      </c>
      <c r="O10" s="1809" t="s">
        <v>697</v>
      </c>
      <c r="P10" s="1810"/>
      <c r="Q10" s="1810" t="s">
        <v>2554</v>
      </c>
      <c r="R10" s="1810">
        <v>16</v>
      </c>
      <c r="S10" s="1810">
        <v>6</v>
      </c>
      <c r="T10" s="1811">
        <v>8</v>
      </c>
      <c r="U10" s="1811">
        <v>8</v>
      </c>
      <c r="V10" s="1811">
        <v>4</v>
      </c>
      <c r="W10" s="1811"/>
      <c r="X10" s="1812"/>
      <c r="Y10" s="1809">
        <v>2</v>
      </c>
      <c r="Z10" s="1814"/>
      <c r="AC10" s="1815"/>
      <c r="AD10" s="788"/>
    </row>
    <row r="11" spans="2:30" x14ac:dyDescent="0.2">
      <c r="B11" s="41" t="s">
        <v>2007</v>
      </c>
      <c r="C11" s="230" t="s">
        <v>2449</v>
      </c>
      <c r="D11" s="227" t="s">
        <v>1587</v>
      </c>
      <c r="E11" s="230" t="s">
        <v>717</v>
      </c>
      <c r="F11" s="972">
        <v>8</v>
      </c>
      <c r="G11" s="1800">
        <v>8</v>
      </c>
      <c r="H11" s="227"/>
      <c r="I11" s="227">
        <v>24</v>
      </c>
      <c r="J11" s="227">
        <v>42</v>
      </c>
      <c r="K11" s="227">
        <v>0.38700000000000001</v>
      </c>
      <c r="L11" s="1657">
        <v>0.9</v>
      </c>
      <c r="M11" s="1657">
        <v>2</v>
      </c>
      <c r="N11" s="1659" t="s">
        <v>697</v>
      </c>
      <c r="O11" s="1792" t="s">
        <v>697</v>
      </c>
      <c r="P11" s="1793" t="s">
        <v>2239</v>
      </c>
      <c r="Q11" s="1769"/>
      <c r="R11" s="1769">
        <v>28</v>
      </c>
      <c r="S11" s="1769"/>
      <c r="T11" s="1760">
        <v>8</v>
      </c>
      <c r="U11" s="1794"/>
      <c r="V11" s="1794">
        <v>2</v>
      </c>
      <c r="W11" s="1794"/>
      <c r="X11" s="1658"/>
      <c r="Y11" s="1792" t="s">
        <v>697</v>
      </c>
      <c r="Z11" s="1679"/>
      <c r="AC11" s="237"/>
      <c r="AD11" s="237"/>
    </row>
    <row r="12" spans="2:30" x14ac:dyDescent="0.2">
      <c r="B12" s="41" t="s">
        <v>2582</v>
      </c>
      <c r="C12" s="230" t="s">
        <v>2581</v>
      </c>
      <c r="D12" s="227" t="s">
        <v>1787</v>
      </c>
      <c r="E12" s="230" t="s">
        <v>715</v>
      </c>
      <c r="F12" s="972">
        <v>8</v>
      </c>
      <c r="G12" s="1800">
        <v>12.8</v>
      </c>
      <c r="H12" s="227"/>
      <c r="I12" s="227">
        <v>20</v>
      </c>
      <c r="J12" s="227">
        <v>10</v>
      </c>
      <c r="K12" s="227">
        <v>0.36899999999999999</v>
      </c>
      <c r="L12" s="1657">
        <v>2.1</v>
      </c>
      <c r="M12" s="1657">
        <v>2.7</v>
      </c>
      <c r="N12" s="1659" t="s">
        <v>697</v>
      </c>
      <c r="O12" s="1678" t="s">
        <v>697</v>
      </c>
      <c r="P12" s="1769"/>
      <c r="Q12" s="1793" t="s">
        <v>2553</v>
      </c>
      <c r="R12" s="1769">
        <v>20</v>
      </c>
      <c r="S12" s="1769"/>
      <c r="T12" s="1760">
        <v>4</v>
      </c>
      <c r="U12" s="1760">
        <v>4</v>
      </c>
      <c r="V12" s="1760">
        <v>2</v>
      </c>
      <c r="W12" s="1760"/>
      <c r="X12" s="1658"/>
      <c r="Y12" s="1792" t="s">
        <v>2550</v>
      </c>
      <c r="Z12" s="1679">
        <v>2</v>
      </c>
      <c r="AC12" s="237"/>
      <c r="AD12" s="237"/>
    </row>
    <row r="13" spans="2:30" x14ac:dyDescent="0.2">
      <c r="B13" s="41" t="s">
        <v>2588</v>
      </c>
      <c r="C13" s="230" t="s">
        <v>2587</v>
      </c>
      <c r="D13" s="230" t="s">
        <v>2590</v>
      </c>
      <c r="E13" s="230" t="s">
        <v>715</v>
      </c>
      <c r="F13" s="972">
        <v>14.4</v>
      </c>
      <c r="G13" s="1800">
        <v>23</v>
      </c>
      <c r="H13" s="45" t="s">
        <v>2589</v>
      </c>
      <c r="I13" s="227">
        <v>66</v>
      </c>
      <c r="J13" s="227">
        <v>50</v>
      </c>
      <c r="K13" s="227">
        <v>1.843</v>
      </c>
      <c r="L13" s="1795">
        <v>4</v>
      </c>
      <c r="M13" s="1795">
        <v>5.5</v>
      </c>
      <c r="N13" s="1144" t="s">
        <v>697</v>
      </c>
      <c r="O13" s="1144" t="s">
        <v>697</v>
      </c>
      <c r="P13" s="1144" t="s">
        <v>2560</v>
      </c>
      <c r="Q13" s="1144" t="s">
        <v>2553</v>
      </c>
      <c r="R13" s="973">
        <v>36</v>
      </c>
      <c r="S13" s="973">
        <v>4</v>
      </c>
      <c r="T13" s="973">
        <v>12</v>
      </c>
      <c r="U13" s="973">
        <v>12</v>
      </c>
      <c r="V13" s="973">
        <v>6</v>
      </c>
      <c r="W13" s="973"/>
      <c r="X13" s="973"/>
      <c r="Y13" s="973">
        <v>3</v>
      </c>
      <c r="Z13" s="1263"/>
      <c r="AC13" s="237"/>
      <c r="AD13" s="237"/>
    </row>
    <row r="14" spans="2:30" x14ac:dyDescent="0.2">
      <c r="B14" s="41" t="s">
        <v>2585</v>
      </c>
      <c r="C14" s="230" t="s">
        <v>805</v>
      </c>
      <c r="D14" s="230" t="s">
        <v>2584</v>
      </c>
      <c r="E14" s="230" t="s">
        <v>715</v>
      </c>
      <c r="F14" s="972">
        <v>20.6</v>
      </c>
      <c r="G14" s="1800">
        <v>33.299999999999997</v>
      </c>
      <c r="H14" s="227"/>
      <c r="I14" s="227">
        <v>90</v>
      </c>
      <c r="J14" s="227">
        <v>50</v>
      </c>
      <c r="K14" s="227">
        <v>1.843</v>
      </c>
      <c r="L14" s="1795">
        <v>3.2</v>
      </c>
      <c r="M14" s="1795">
        <v>6</v>
      </c>
      <c r="N14" s="1144" t="s">
        <v>697</v>
      </c>
      <c r="O14" s="1144" t="s">
        <v>697</v>
      </c>
      <c r="P14" s="973"/>
      <c r="Q14" s="1144" t="s">
        <v>2554</v>
      </c>
      <c r="R14" s="973">
        <v>24</v>
      </c>
      <c r="S14" s="973">
        <v>4</v>
      </c>
      <c r="T14" s="973">
        <v>16</v>
      </c>
      <c r="U14" s="973">
        <v>16</v>
      </c>
      <c r="V14" s="973">
        <v>5</v>
      </c>
      <c r="W14" s="1144" t="s">
        <v>2586</v>
      </c>
      <c r="X14" s="973"/>
      <c r="Y14" s="973">
        <v>4</v>
      </c>
      <c r="Z14" s="1263"/>
      <c r="AC14" s="237"/>
      <c r="AD14" s="237"/>
    </row>
    <row r="15" spans="2:30" x14ac:dyDescent="0.2">
      <c r="B15" s="41" t="s">
        <v>2519</v>
      </c>
      <c r="C15" s="230" t="s">
        <v>2587</v>
      </c>
      <c r="D15" s="227" t="s">
        <v>1789</v>
      </c>
      <c r="E15" s="230" t="s">
        <v>715</v>
      </c>
      <c r="F15" s="972">
        <v>32.6</v>
      </c>
      <c r="G15" s="1800">
        <v>52.2</v>
      </c>
      <c r="H15" s="227"/>
      <c r="I15" s="227">
        <v>120</v>
      </c>
      <c r="J15" s="227">
        <v>75</v>
      </c>
      <c r="K15" s="227">
        <v>2.7650000000000001</v>
      </c>
      <c r="L15" s="1657">
        <v>4</v>
      </c>
      <c r="M15" s="1657">
        <v>6</v>
      </c>
      <c r="N15" s="1796" t="s">
        <v>697</v>
      </c>
      <c r="O15" s="1792" t="s">
        <v>697</v>
      </c>
      <c r="P15" s="1769"/>
      <c r="Q15" s="1793" t="s">
        <v>2553</v>
      </c>
      <c r="R15" s="1769">
        <v>44</v>
      </c>
      <c r="S15" s="1769">
        <v>8</v>
      </c>
      <c r="T15" s="1794">
        <v>18</v>
      </c>
      <c r="U15" s="1794">
        <v>16</v>
      </c>
      <c r="V15" s="1794">
        <v>4</v>
      </c>
      <c r="W15" s="1794"/>
      <c r="X15" s="1658"/>
      <c r="Y15" s="1678">
        <v>4</v>
      </c>
      <c r="Z15" s="1679"/>
    </row>
    <row r="16" spans="2:30" ht="13.5" thickBot="1" x14ac:dyDescent="0.25">
      <c r="B16" s="33" t="s">
        <v>2583</v>
      </c>
      <c r="C16" s="232" t="s">
        <v>1391</v>
      </c>
      <c r="D16" s="232" t="s">
        <v>1591</v>
      </c>
      <c r="E16" s="232" t="s">
        <v>717</v>
      </c>
      <c r="F16" s="1797">
        <v>50</v>
      </c>
      <c r="G16" s="1729">
        <v>50</v>
      </c>
      <c r="H16" s="228"/>
      <c r="I16" s="228">
        <v>144</v>
      </c>
      <c r="J16" s="228">
        <v>182</v>
      </c>
      <c r="K16" s="228">
        <v>1.667</v>
      </c>
      <c r="L16" s="1642">
        <v>3.15</v>
      </c>
      <c r="M16" s="1642">
        <v>3.84</v>
      </c>
      <c r="N16" s="1644" t="s">
        <v>697</v>
      </c>
      <c r="O16" s="1650" t="s">
        <v>697</v>
      </c>
      <c r="P16" s="1770" t="s">
        <v>2592</v>
      </c>
      <c r="Q16" s="1770" t="s">
        <v>2554</v>
      </c>
      <c r="R16" s="1765">
        <v>20</v>
      </c>
      <c r="S16" s="1765">
        <v>6</v>
      </c>
      <c r="T16" s="1756">
        <v>10</v>
      </c>
      <c r="U16" s="1756">
        <v>10</v>
      </c>
      <c r="V16" s="1756">
        <v>2</v>
      </c>
      <c r="W16" s="1756"/>
      <c r="X16" s="1643"/>
      <c r="Y16" s="1676" t="s">
        <v>2550</v>
      </c>
      <c r="Z16" s="1645"/>
    </row>
    <row r="17" spans="2:30" ht="6" customHeight="1" thickBot="1" x14ac:dyDescent="0.25"/>
    <row r="18" spans="2:30" x14ac:dyDescent="0.2">
      <c r="B18" s="193" t="s">
        <v>2579</v>
      </c>
      <c r="C18" s="1077" t="s">
        <v>2580</v>
      </c>
      <c r="D18" s="1077" t="s">
        <v>1585</v>
      </c>
      <c r="E18" s="1077" t="s">
        <v>717</v>
      </c>
      <c r="F18" s="1789">
        <v>2</v>
      </c>
      <c r="G18" s="1727">
        <v>2</v>
      </c>
      <c r="H18" s="226"/>
      <c r="I18" s="226">
        <v>16</v>
      </c>
      <c r="J18" s="226">
        <v>12</v>
      </c>
      <c r="K18" s="226">
        <v>0.111</v>
      </c>
      <c r="L18" s="1630">
        <v>0.7</v>
      </c>
      <c r="M18" s="1630">
        <v>2</v>
      </c>
      <c r="N18" s="1674" t="s">
        <v>697</v>
      </c>
      <c r="O18" s="1790"/>
      <c r="P18" s="1768"/>
      <c r="Q18" s="1768"/>
      <c r="R18" s="1768">
        <v>30</v>
      </c>
      <c r="S18" s="1768">
        <v>2</v>
      </c>
      <c r="T18" s="1755">
        <v>10</v>
      </c>
      <c r="U18" s="1766">
        <v>4</v>
      </c>
      <c r="V18" s="1766">
        <v>4</v>
      </c>
      <c r="W18" s="1766"/>
      <c r="X18" s="1673"/>
      <c r="Y18" s="1790"/>
      <c r="Z18" s="1639"/>
    </row>
    <row r="19" spans="2:30" x14ac:dyDescent="0.2">
      <c r="B19" s="41" t="s">
        <v>2593</v>
      </c>
      <c r="C19" s="230" t="s">
        <v>2581</v>
      </c>
      <c r="D19" s="230" t="s">
        <v>2594</v>
      </c>
      <c r="E19" s="230" t="s">
        <v>2128</v>
      </c>
      <c r="F19" s="972">
        <v>4.0679999999999996</v>
      </c>
      <c r="G19" s="1800">
        <v>4.0679999999999996</v>
      </c>
      <c r="H19" s="230"/>
      <c r="I19" s="227">
        <v>16</v>
      </c>
      <c r="J19" s="227">
        <v>10</v>
      </c>
      <c r="K19" s="227">
        <v>0.184</v>
      </c>
      <c r="L19" s="457">
        <v>1.417</v>
      </c>
      <c r="M19" s="457">
        <v>2.7559999999999998</v>
      </c>
      <c r="N19" s="1803" t="s">
        <v>697</v>
      </c>
      <c r="O19" s="154"/>
      <c r="P19" s="154"/>
      <c r="Q19" s="154"/>
      <c r="R19" s="1311">
        <v>36</v>
      </c>
      <c r="S19" s="1311">
        <v>4</v>
      </c>
      <c r="T19" s="1311">
        <v>12</v>
      </c>
      <c r="U19" s="1311">
        <v>8</v>
      </c>
      <c r="V19" s="1311">
        <v>8</v>
      </c>
      <c r="W19" s="154"/>
      <c r="X19" s="154"/>
      <c r="Y19" s="1816"/>
      <c r="Z19" s="213"/>
    </row>
    <row r="20" spans="2:30" x14ac:dyDescent="0.2">
      <c r="B20" s="41" t="s">
        <v>2635</v>
      </c>
      <c r="C20" s="230" t="s">
        <v>2641</v>
      </c>
      <c r="D20" s="230" t="s">
        <v>2271</v>
      </c>
      <c r="E20" s="230" t="s">
        <v>2128</v>
      </c>
      <c r="F20" s="972">
        <v>4.0679999999999996</v>
      </c>
      <c r="G20" s="1800">
        <v>4.0679999999999996</v>
      </c>
      <c r="H20" s="230" t="s">
        <v>2640</v>
      </c>
      <c r="I20" s="227">
        <v>16</v>
      </c>
      <c r="J20" s="227">
        <v>10</v>
      </c>
      <c r="K20" s="227">
        <v>0.184</v>
      </c>
      <c r="L20" s="457">
        <v>2.2400000000000002</v>
      </c>
      <c r="M20" s="457">
        <v>2.76</v>
      </c>
      <c r="N20" s="536" t="s">
        <v>697</v>
      </c>
      <c r="O20" s="154"/>
      <c r="P20" s="154" t="s">
        <v>2239</v>
      </c>
      <c r="Q20" s="154"/>
      <c r="R20" s="65">
        <v>25</v>
      </c>
      <c r="S20" s="65">
        <v>4</v>
      </c>
      <c r="T20" s="65">
        <v>11</v>
      </c>
      <c r="U20" s="65">
        <v>8</v>
      </c>
      <c r="V20" s="65">
        <v>6</v>
      </c>
      <c r="W20" s="154"/>
      <c r="X20" s="154"/>
      <c r="Y20" s="154"/>
      <c r="Z20" s="213">
        <v>2</v>
      </c>
      <c r="AC20" s="237"/>
      <c r="AD20" s="237"/>
    </row>
    <row r="21" spans="2:30" s="751" customFormat="1" x14ac:dyDescent="0.2">
      <c r="B21" s="573" t="s">
        <v>2595</v>
      </c>
      <c r="C21" s="574" t="s">
        <v>2596</v>
      </c>
      <c r="D21" s="574" t="s">
        <v>1850</v>
      </c>
      <c r="E21" s="574" t="s">
        <v>717</v>
      </c>
      <c r="F21" s="1605">
        <v>6.2720000000000002</v>
      </c>
      <c r="G21" s="1806">
        <v>6.2720000000000002</v>
      </c>
      <c r="H21" s="574"/>
      <c r="I21" s="574">
        <v>15</v>
      </c>
      <c r="J21" s="574">
        <v>30</v>
      </c>
      <c r="K21" s="574">
        <v>0.27600000000000002</v>
      </c>
      <c r="L21" s="1807">
        <v>2.36</v>
      </c>
      <c r="M21" s="1807">
        <v>3.94</v>
      </c>
      <c r="N21" s="1808" t="s">
        <v>697</v>
      </c>
      <c r="O21" s="1809" t="s">
        <v>697</v>
      </c>
      <c r="P21" s="1810"/>
      <c r="Q21" s="1810" t="s">
        <v>2554</v>
      </c>
      <c r="R21" s="1810">
        <v>16</v>
      </c>
      <c r="S21" s="1810">
        <v>6</v>
      </c>
      <c r="T21" s="1811">
        <v>8</v>
      </c>
      <c r="U21" s="1811">
        <v>8</v>
      </c>
      <c r="V21" s="1811">
        <v>4</v>
      </c>
      <c r="W21" s="1811"/>
      <c r="X21" s="1812"/>
      <c r="Y21" s="1809">
        <v>2</v>
      </c>
      <c r="Z21" s="1814"/>
      <c r="AC21" s="1815"/>
      <c r="AD21" s="788"/>
    </row>
    <row r="22" spans="2:30" x14ac:dyDescent="0.2">
      <c r="B22" s="41" t="s">
        <v>2582</v>
      </c>
      <c r="C22" s="230" t="s">
        <v>2581</v>
      </c>
      <c r="D22" s="227" t="s">
        <v>1787</v>
      </c>
      <c r="E22" s="230" t="s">
        <v>715</v>
      </c>
      <c r="F22" s="972">
        <v>8</v>
      </c>
      <c r="G22" s="1800">
        <v>12.8</v>
      </c>
      <c r="H22" s="227"/>
      <c r="I22" s="227">
        <v>20</v>
      </c>
      <c r="J22" s="227">
        <v>10</v>
      </c>
      <c r="K22" s="227">
        <v>0.36899999999999999</v>
      </c>
      <c r="L22" s="1657">
        <v>2.1</v>
      </c>
      <c r="M22" s="1657">
        <v>2.7</v>
      </c>
      <c r="N22" s="1659" t="s">
        <v>697</v>
      </c>
      <c r="O22" s="1678" t="s">
        <v>697</v>
      </c>
      <c r="P22" s="1769"/>
      <c r="Q22" s="1793" t="s">
        <v>2553</v>
      </c>
      <c r="R22" s="1769">
        <v>20</v>
      </c>
      <c r="S22" s="1769"/>
      <c r="T22" s="1760">
        <v>4</v>
      </c>
      <c r="U22" s="1760">
        <v>4</v>
      </c>
      <c r="V22" s="1760">
        <v>2</v>
      </c>
      <c r="W22" s="1760"/>
      <c r="X22" s="1658"/>
      <c r="Y22" s="1792" t="s">
        <v>2550</v>
      </c>
      <c r="Z22" s="1679">
        <v>2</v>
      </c>
    </row>
    <row r="23" spans="2:30" x14ac:dyDescent="0.2">
      <c r="B23" s="41" t="s">
        <v>2007</v>
      </c>
      <c r="C23" s="230" t="s">
        <v>2449</v>
      </c>
      <c r="D23" s="227" t="s">
        <v>1587</v>
      </c>
      <c r="E23" s="230" t="s">
        <v>717</v>
      </c>
      <c r="F23" s="972">
        <v>8</v>
      </c>
      <c r="G23" s="1800">
        <v>8</v>
      </c>
      <c r="H23" s="227"/>
      <c r="I23" s="227">
        <v>24</v>
      </c>
      <c r="J23" s="227">
        <v>42</v>
      </c>
      <c r="K23" s="227">
        <v>0.38700000000000001</v>
      </c>
      <c r="L23" s="1657">
        <v>0.9</v>
      </c>
      <c r="M23" s="1657">
        <v>2</v>
      </c>
      <c r="N23" s="1659" t="s">
        <v>697</v>
      </c>
      <c r="O23" s="1792" t="s">
        <v>697</v>
      </c>
      <c r="P23" s="1793" t="s">
        <v>2239</v>
      </c>
      <c r="Q23" s="1769"/>
      <c r="R23" s="1769">
        <v>28</v>
      </c>
      <c r="S23" s="1769"/>
      <c r="T23" s="1760">
        <v>8</v>
      </c>
      <c r="U23" s="1794"/>
      <c r="V23" s="1794">
        <v>2</v>
      </c>
      <c r="W23" s="1794"/>
      <c r="X23" s="1658"/>
      <c r="Y23" s="1792" t="s">
        <v>697</v>
      </c>
      <c r="Z23" s="1679"/>
    </row>
    <row r="24" spans="2:30" x14ac:dyDescent="0.2">
      <c r="B24" s="41" t="s">
        <v>2611</v>
      </c>
      <c r="C24" s="230" t="s">
        <v>2613</v>
      </c>
      <c r="D24" s="230" t="s">
        <v>2612</v>
      </c>
      <c r="E24" s="230" t="s">
        <v>715</v>
      </c>
      <c r="F24" s="972">
        <v>5.7</v>
      </c>
      <c r="G24" s="1800">
        <v>9.1999999999999993</v>
      </c>
      <c r="H24" s="227"/>
      <c r="I24" s="227">
        <v>16</v>
      </c>
      <c r="J24" s="227">
        <v>32</v>
      </c>
      <c r="K24" s="227">
        <v>0.59</v>
      </c>
      <c r="L24" s="1657">
        <v>2.87</v>
      </c>
      <c r="M24" s="1657">
        <v>4.72</v>
      </c>
      <c r="N24" s="1796" t="s">
        <v>697</v>
      </c>
      <c r="O24" s="1792"/>
      <c r="P24" s="1793" t="s">
        <v>2592</v>
      </c>
      <c r="Q24" s="1793" t="s">
        <v>2554</v>
      </c>
      <c r="R24" s="1769">
        <v>32</v>
      </c>
      <c r="S24" s="1769">
        <v>3</v>
      </c>
      <c r="T24" s="1760">
        <v>8</v>
      </c>
      <c r="U24" s="1794">
        <v>8</v>
      </c>
      <c r="V24" s="1794">
        <v>6</v>
      </c>
      <c r="W24" s="1794" t="s">
        <v>2586</v>
      </c>
      <c r="X24" s="1658"/>
      <c r="Y24" s="1792">
        <v>4</v>
      </c>
      <c r="Z24" s="1679"/>
    </row>
    <row r="25" spans="2:30" x14ac:dyDescent="0.2">
      <c r="B25" s="17" t="s">
        <v>2426</v>
      </c>
      <c r="C25" s="230" t="s">
        <v>2425</v>
      </c>
      <c r="D25" s="230" t="s">
        <v>2292</v>
      </c>
      <c r="E25" s="230" t="s">
        <v>716</v>
      </c>
      <c r="F25" s="972">
        <v>5.28</v>
      </c>
      <c r="G25" s="1800">
        <v>5.28</v>
      </c>
      <c r="H25" s="227"/>
      <c r="I25" s="227">
        <v>8</v>
      </c>
      <c r="J25" s="227">
        <v>30</v>
      </c>
      <c r="K25" s="227">
        <v>1.171</v>
      </c>
      <c r="L25" s="1657">
        <v>0.9</v>
      </c>
      <c r="M25" s="1657">
        <v>2.4</v>
      </c>
      <c r="N25" s="1659" t="s">
        <v>697</v>
      </c>
      <c r="O25" s="1792"/>
      <c r="P25" s="1769"/>
      <c r="Q25" s="1769"/>
      <c r="R25" s="1769">
        <v>39</v>
      </c>
      <c r="S25" s="1769"/>
      <c r="T25" s="1760">
        <v>1</v>
      </c>
      <c r="U25" s="1794"/>
      <c r="V25" s="1794"/>
      <c r="W25" s="1794"/>
      <c r="X25" s="1658"/>
      <c r="Y25" s="1792" t="s">
        <v>697</v>
      </c>
      <c r="Z25" s="1679"/>
    </row>
    <row r="26" spans="2:30" x14ac:dyDescent="0.2">
      <c r="B26" s="41" t="s">
        <v>2433</v>
      </c>
      <c r="C26" s="230" t="s">
        <v>2577</v>
      </c>
      <c r="D26" s="230" t="s">
        <v>2292</v>
      </c>
      <c r="E26" s="230" t="s">
        <v>716</v>
      </c>
      <c r="F26" s="972">
        <v>5.28</v>
      </c>
      <c r="G26" s="1800">
        <v>5.28</v>
      </c>
      <c r="H26" s="227"/>
      <c r="I26" s="227">
        <v>8</v>
      </c>
      <c r="J26" s="227">
        <v>30</v>
      </c>
      <c r="K26" s="227">
        <v>1.171</v>
      </c>
      <c r="L26" s="1657">
        <v>0.9</v>
      </c>
      <c r="M26" s="1657">
        <v>2</v>
      </c>
      <c r="N26" s="1659" t="s">
        <v>697</v>
      </c>
      <c r="O26" s="1678"/>
      <c r="P26" s="1769"/>
      <c r="Q26" s="1769"/>
      <c r="R26" s="1769">
        <v>20</v>
      </c>
      <c r="S26" s="1769"/>
      <c r="T26" s="1760">
        <v>1</v>
      </c>
      <c r="U26" s="1760"/>
      <c r="V26" s="1760"/>
      <c r="W26" s="1760"/>
      <c r="X26" s="1658" t="s">
        <v>697</v>
      </c>
      <c r="Y26" s="1791"/>
      <c r="Z26" s="1679"/>
    </row>
    <row r="27" spans="2:30" x14ac:dyDescent="0.2">
      <c r="B27" s="41" t="s">
        <v>2583</v>
      </c>
      <c r="C27" s="230" t="s">
        <v>1391</v>
      </c>
      <c r="D27" s="230" t="s">
        <v>1591</v>
      </c>
      <c r="E27" s="230" t="s">
        <v>717</v>
      </c>
      <c r="F27" s="972">
        <v>50</v>
      </c>
      <c r="G27" s="1800">
        <v>50</v>
      </c>
      <c r="H27" s="227"/>
      <c r="I27" s="227">
        <v>144</v>
      </c>
      <c r="J27" s="227">
        <v>182</v>
      </c>
      <c r="K27" s="227">
        <v>1.667</v>
      </c>
      <c r="L27" s="1657">
        <v>3.15</v>
      </c>
      <c r="M27" s="1657">
        <v>3.84</v>
      </c>
      <c r="N27" s="1659" t="s">
        <v>697</v>
      </c>
      <c r="O27" s="1678" t="s">
        <v>697</v>
      </c>
      <c r="P27" s="1793" t="s">
        <v>2592</v>
      </c>
      <c r="Q27" s="1793" t="s">
        <v>2554</v>
      </c>
      <c r="R27" s="1769">
        <v>20</v>
      </c>
      <c r="S27" s="1769">
        <v>6</v>
      </c>
      <c r="T27" s="1760">
        <v>10</v>
      </c>
      <c r="U27" s="1760">
        <v>10</v>
      </c>
      <c r="V27" s="1760">
        <v>2</v>
      </c>
      <c r="W27" s="1760"/>
      <c r="X27" s="1658"/>
      <c r="Y27" s="1792" t="s">
        <v>2550</v>
      </c>
      <c r="Z27" s="1679"/>
    </row>
    <row r="28" spans="2:30" x14ac:dyDescent="0.2">
      <c r="B28" s="41" t="s">
        <v>2588</v>
      </c>
      <c r="C28" s="230" t="s">
        <v>2587</v>
      </c>
      <c r="D28" s="230" t="s">
        <v>2590</v>
      </c>
      <c r="E28" s="230" t="s">
        <v>715</v>
      </c>
      <c r="F28" s="972">
        <v>14.4</v>
      </c>
      <c r="G28" s="1800">
        <v>23</v>
      </c>
      <c r="H28" s="45" t="s">
        <v>2589</v>
      </c>
      <c r="I28" s="227">
        <v>66</v>
      </c>
      <c r="J28" s="227">
        <v>50</v>
      </c>
      <c r="K28" s="227">
        <v>1.843</v>
      </c>
      <c r="L28" s="1795">
        <v>4</v>
      </c>
      <c r="M28" s="1795">
        <v>5.5</v>
      </c>
      <c r="N28" s="1144" t="s">
        <v>697</v>
      </c>
      <c r="O28" s="1144" t="s">
        <v>697</v>
      </c>
      <c r="P28" s="1144" t="s">
        <v>2560</v>
      </c>
      <c r="Q28" s="1144" t="s">
        <v>2553</v>
      </c>
      <c r="R28" s="973">
        <v>36</v>
      </c>
      <c r="S28" s="973">
        <v>4</v>
      </c>
      <c r="T28" s="973">
        <v>12</v>
      </c>
      <c r="U28" s="973">
        <v>12</v>
      </c>
      <c r="V28" s="973">
        <v>6</v>
      </c>
      <c r="W28" s="973"/>
      <c r="X28" s="973"/>
      <c r="Y28" s="973">
        <v>3</v>
      </c>
      <c r="Z28" s="1263"/>
    </row>
    <row r="29" spans="2:30" x14ac:dyDescent="0.2">
      <c r="B29" s="41" t="s">
        <v>2585</v>
      </c>
      <c r="C29" s="230" t="s">
        <v>805</v>
      </c>
      <c r="D29" s="230" t="s">
        <v>2584</v>
      </c>
      <c r="E29" s="230" t="s">
        <v>715</v>
      </c>
      <c r="F29" s="972">
        <v>20.6</v>
      </c>
      <c r="G29" s="1800">
        <v>33.299999999999997</v>
      </c>
      <c r="H29" s="227"/>
      <c r="I29" s="227">
        <v>90</v>
      </c>
      <c r="J29" s="227">
        <v>50</v>
      </c>
      <c r="K29" s="227">
        <v>1.843</v>
      </c>
      <c r="L29" s="1795">
        <v>3.2</v>
      </c>
      <c r="M29" s="1795">
        <v>6</v>
      </c>
      <c r="N29" s="1144" t="s">
        <v>697</v>
      </c>
      <c r="O29" s="1144" t="s">
        <v>697</v>
      </c>
      <c r="P29" s="973"/>
      <c r="Q29" s="1144" t="s">
        <v>2554</v>
      </c>
      <c r="R29" s="973">
        <v>24</v>
      </c>
      <c r="S29" s="973">
        <v>4</v>
      </c>
      <c r="T29" s="973">
        <v>16</v>
      </c>
      <c r="U29" s="973">
        <v>16</v>
      </c>
      <c r="V29" s="973">
        <v>5</v>
      </c>
      <c r="W29" s="1144" t="s">
        <v>2586</v>
      </c>
      <c r="X29" s="973"/>
      <c r="Y29" s="973">
        <v>4</v>
      </c>
      <c r="Z29" s="1263"/>
    </row>
    <row r="30" spans="2:30" ht="13.5" thickBot="1" x14ac:dyDescent="0.25">
      <c r="B30" s="33" t="s">
        <v>2519</v>
      </c>
      <c r="C30" s="232" t="s">
        <v>2587</v>
      </c>
      <c r="D30" s="228" t="s">
        <v>1789</v>
      </c>
      <c r="E30" s="232" t="s">
        <v>715</v>
      </c>
      <c r="F30" s="1797">
        <v>32.6</v>
      </c>
      <c r="G30" s="1729">
        <v>52.2</v>
      </c>
      <c r="H30" s="228"/>
      <c r="I30" s="228">
        <v>120</v>
      </c>
      <c r="J30" s="228">
        <v>75</v>
      </c>
      <c r="K30" s="228">
        <v>2.7650000000000001</v>
      </c>
      <c r="L30" s="1642">
        <v>4</v>
      </c>
      <c r="M30" s="1642">
        <v>6</v>
      </c>
      <c r="N30" s="1683" t="s">
        <v>697</v>
      </c>
      <c r="O30" s="1676" t="s">
        <v>697</v>
      </c>
      <c r="P30" s="1765"/>
      <c r="Q30" s="1770" t="s">
        <v>2553</v>
      </c>
      <c r="R30" s="1765">
        <v>44</v>
      </c>
      <c r="S30" s="1765">
        <v>8</v>
      </c>
      <c r="T30" s="1763">
        <v>18</v>
      </c>
      <c r="U30" s="1763">
        <v>16</v>
      </c>
      <c r="V30" s="1763">
        <v>4</v>
      </c>
      <c r="W30" s="1763"/>
      <c r="X30" s="1643"/>
      <c r="Y30" s="1650">
        <v>4</v>
      </c>
      <c r="Z30" s="164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FPGA 8pg</vt:lpstr>
      <vt:lpstr>4pg_Free tools</vt:lpstr>
      <vt:lpstr>low cost kits</vt:lpstr>
      <vt:lpstr>kits on hand</vt:lpstr>
      <vt:lpstr>kits by shape</vt:lpstr>
      <vt:lpstr>PPT sheet</vt:lpstr>
      <vt:lpstr>'4pg_Free tools'!Print_Area</vt:lpstr>
      <vt:lpstr>'FPGA 8pg'!Print_Area</vt:lpstr>
      <vt:lpstr>'kits on hand'!Print_Area</vt:lpstr>
      <vt:lpstr>'low cost kits'!Print_Area</vt:lpstr>
      <vt:lpstr>'4pg_Free tools'!Print_Titles</vt:lpstr>
      <vt:lpstr>'FPGA 8pg'!Print_Titles</vt:lpstr>
      <vt:lpstr>'kits on hand'!Print_Titles</vt:lpstr>
    </vt:vector>
  </TitlesOfParts>
  <Company>Brakefield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 Brakefield</dc:creator>
  <cp:lastModifiedBy>James Brakefield</cp:lastModifiedBy>
  <cp:lastPrinted>2022-07-12T22:27:51Z</cp:lastPrinted>
  <dcterms:created xsi:type="dcterms:W3CDTF">2005-03-24T08:07:15Z</dcterms:created>
  <dcterms:modified xsi:type="dcterms:W3CDTF">2022-07-12T22:28:18Z</dcterms:modified>
</cp:coreProperties>
</file>