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0" yWindow="0" windowWidth="25600" windowHeight="14260" tabRatio="884"/>
  </bookViews>
  <sheets>
    <sheet name="FLUJO CAJA PRINCIPAL" sheetId="8" r:id="rId1"/>
    <sheet name="INVERSION" sheetId="2" r:id="rId2"/>
    <sheet name="INGRESOS" sheetId="6" r:id="rId3"/>
    <sheet name="ESTRUCTURA DE COSTOS" sheetId="1" r:id="rId4"/>
    <sheet name="DEPRECIACION" sheetId="9" r:id="rId5"/>
    <sheet name="G. FINANCIERO" sheetId="10" r:id="rId6"/>
    <sheet name="HW y SW" sheetId="3" r:id="rId7"/>
    <sheet name="PERSONAL" sheetId="4" r:id="rId8"/>
    <sheet name="CREACIÓN CURSOS" sheetId="5" r:id="rId9"/>
    <sheet name="Plan de Marketing" sheetId="1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C23" i="6"/>
  <c r="C26" i="6"/>
  <c r="D6" i="6"/>
  <c r="D7" i="6"/>
  <c r="D8" i="6"/>
  <c r="D9" i="6"/>
  <c r="E10" i="6"/>
  <c r="D11" i="6"/>
  <c r="D13" i="6"/>
  <c r="D15" i="6"/>
  <c r="D17" i="6"/>
  <c r="D18" i="6"/>
  <c r="E6" i="8"/>
  <c r="D9" i="5"/>
  <c r="E14" i="5"/>
  <c r="E8" i="8"/>
  <c r="E9" i="8"/>
  <c r="E4" i="4"/>
  <c r="E5" i="4"/>
  <c r="E6" i="4"/>
  <c r="E7" i="4"/>
  <c r="E8" i="4"/>
  <c r="E9" i="4"/>
  <c r="E10" i="4"/>
  <c r="E11" i="4"/>
  <c r="E12" i="4"/>
  <c r="D6" i="1"/>
  <c r="E6" i="1"/>
  <c r="H6" i="1"/>
  <c r="E4" i="1"/>
  <c r="E5" i="1"/>
  <c r="E7" i="1"/>
  <c r="E9" i="1"/>
  <c r="E10" i="1"/>
  <c r="E11" i="1"/>
  <c r="D14" i="5"/>
  <c r="E12" i="1"/>
  <c r="D5" i="1"/>
  <c r="D12" i="1"/>
  <c r="D13" i="1"/>
  <c r="E13" i="1"/>
  <c r="H7" i="1"/>
  <c r="H8" i="1"/>
  <c r="E10" i="8"/>
  <c r="D11" i="2"/>
  <c r="C8" i="9"/>
  <c r="G8" i="9"/>
  <c r="G9" i="9"/>
  <c r="E11" i="8"/>
  <c r="E12" i="8"/>
  <c r="D16" i="2"/>
  <c r="D20" i="2"/>
  <c r="C5" i="10"/>
  <c r="E5" i="10"/>
  <c r="E13" i="8"/>
  <c r="E14" i="8"/>
  <c r="E15" i="8"/>
  <c r="E16" i="8"/>
  <c r="C7" i="10"/>
  <c r="E17" i="8"/>
  <c r="E20" i="8"/>
  <c r="F6" i="6"/>
  <c r="F7" i="6"/>
  <c r="F10" i="6"/>
  <c r="F8" i="6"/>
  <c r="F9" i="6"/>
  <c r="G10" i="6"/>
  <c r="F11" i="6"/>
  <c r="F12" i="6"/>
  <c r="G12" i="6"/>
  <c r="F13" i="6"/>
  <c r="F14" i="6"/>
  <c r="F15" i="6"/>
  <c r="F16" i="6"/>
  <c r="F17" i="6"/>
  <c r="F18" i="6"/>
  <c r="F6" i="8"/>
  <c r="F7" i="8"/>
  <c r="F14" i="5"/>
  <c r="F8" i="8"/>
  <c r="F9" i="8"/>
  <c r="I6" i="1"/>
  <c r="I7" i="1"/>
  <c r="I8" i="1"/>
  <c r="F10" i="8"/>
  <c r="F11" i="8"/>
  <c r="F12" i="8"/>
  <c r="F13" i="8"/>
  <c r="F14" i="8"/>
  <c r="F15" i="8"/>
  <c r="F16" i="8"/>
  <c r="F17" i="8"/>
  <c r="F20" i="8"/>
  <c r="C29" i="6"/>
  <c r="H6" i="6"/>
  <c r="H7" i="6"/>
  <c r="H10" i="6"/>
  <c r="H8" i="6"/>
  <c r="H9" i="6"/>
  <c r="I10" i="6"/>
  <c r="H11" i="6"/>
  <c r="H12" i="6"/>
  <c r="I12" i="6"/>
  <c r="H13" i="6"/>
  <c r="H14" i="6"/>
  <c r="H15" i="6"/>
  <c r="H16" i="6"/>
  <c r="H17" i="6"/>
  <c r="H18" i="6"/>
  <c r="G6" i="8"/>
  <c r="G7" i="8"/>
  <c r="G14" i="5"/>
  <c r="G8" i="8"/>
  <c r="G9" i="8"/>
  <c r="J6" i="1"/>
  <c r="J7" i="1"/>
  <c r="J8" i="1"/>
  <c r="G10" i="8"/>
  <c r="G11" i="8"/>
  <c r="G12" i="8"/>
  <c r="G13" i="8"/>
  <c r="G14" i="8"/>
  <c r="G15" i="8"/>
  <c r="G16" i="8"/>
  <c r="G17" i="8"/>
  <c r="G20" i="8"/>
  <c r="J6" i="6"/>
  <c r="J7" i="6"/>
  <c r="J10" i="6"/>
  <c r="J8" i="6"/>
  <c r="J9" i="6"/>
  <c r="K10" i="6"/>
  <c r="J11" i="6"/>
  <c r="J12" i="6"/>
  <c r="K12" i="6"/>
  <c r="J13" i="6"/>
  <c r="J14" i="6"/>
  <c r="J15" i="6"/>
  <c r="J16" i="6"/>
  <c r="J17" i="6"/>
  <c r="J18" i="6"/>
  <c r="H6" i="8"/>
  <c r="H7" i="8"/>
  <c r="H14" i="5"/>
  <c r="H8" i="8"/>
  <c r="H9" i="8"/>
  <c r="K6" i="1"/>
  <c r="K7" i="1"/>
  <c r="K8" i="1"/>
  <c r="H10" i="8"/>
  <c r="H11" i="8"/>
  <c r="H12" i="8"/>
  <c r="H13" i="8"/>
  <c r="H14" i="8"/>
  <c r="H15" i="8"/>
  <c r="H16" i="8"/>
  <c r="H17" i="8"/>
  <c r="H20" i="8"/>
  <c r="L6" i="6"/>
  <c r="L7" i="6"/>
  <c r="L10" i="6"/>
  <c r="L8" i="6"/>
  <c r="L9" i="6"/>
  <c r="M10" i="6"/>
  <c r="L11" i="6"/>
  <c r="L12" i="6"/>
  <c r="M12" i="6"/>
  <c r="L13" i="6"/>
  <c r="L14" i="6"/>
  <c r="L15" i="6"/>
  <c r="L16" i="6"/>
  <c r="L17" i="6"/>
  <c r="L18" i="6"/>
  <c r="I6" i="8"/>
  <c r="I7" i="8"/>
  <c r="I14" i="5"/>
  <c r="I8" i="8"/>
  <c r="I9" i="8"/>
  <c r="L6" i="1"/>
  <c r="L7" i="1"/>
  <c r="L8" i="1"/>
  <c r="I10" i="8"/>
  <c r="I11" i="8"/>
  <c r="I12" i="8"/>
  <c r="I13" i="8"/>
  <c r="I14" i="8"/>
  <c r="I15" i="8"/>
  <c r="I16" i="8"/>
  <c r="I17" i="8"/>
  <c r="I20" i="8"/>
  <c r="N6" i="6"/>
  <c r="N7" i="6"/>
  <c r="N10" i="6"/>
  <c r="N8" i="6"/>
  <c r="N9" i="6"/>
  <c r="O10" i="6"/>
  <c r="N11" i="6"/>
  <c r="N12" i="6"/>
  <c r="O12" i="6"/>
  <c r="N13" i="6"/>
  <c r="N14" i="6"/>
  <c r="N15" i="6"/>
  <c r="N16" i="6"/>
  <c r="N17" i="6"/>
  <c r="N18" i="6"/>
  <c r="J6" i="8"/>
  <c r="J7" i="8"/>
  <c r="J14" i="5"/>
  <c r="J8" i="8"/>
  <c r="J9" i="8"/>
  <c r="M6" i="1"/>
  <c r="M7" i="1"/>
  <c r="M8" i="1"/>
  <c r="J10" i="8"/>
  <c r="J11" i="8"/>
  <c r="J12" i="8"/>
  <c r="J13" i="8"/>
  <c r="J14" i="8"/>
  <c r="J15" i="8"/>
  <c r="J16" i="8"/>
  <c r="J17" i="8"/>
  <c r="J20" i="8"/>
  <c r="D18" i="8"/>
  <c r="D19" i="8"/>
  <c r="D20" i="8"/>
  <c r="D22" i="8"/>
  <c r="F12" i="4"/>
  <c r="G12" i="4"/>
  <c r="H12" i="4"/>
  <c r="I12" i="4"/>
  <c r="J12" i="4"/>
  <c r="E14" i="1"/>
  <c r="C16" i="3"/>
  <c r="C6" i="3"/>
  <c r="D13" i="10"/>
  <c r="C12" i="10"/>
  <c r="D23" i="1"/>
  <c r="E12" i="10"/>
  <c r="D15" i="10"/>
  <c r="D12" i="10"/>
  <c r="F12" i="10"/>
  <c r="D14" i="10"/>
  <c r="D16" i="10"/>
  <c r="D17" i="10"/>
  <c r="C13" i="10"/>
  <c r="C14" i="10"/>
  <c r="E13" i="10"/>
  <c r="C15" i="10"/>
  <c r="E14" i="10"/>
  <c r="F13" i="10"/>
  <c r="E15" i="10"/>
  <c r="C16" i="10"/>
  <c r="F14" i="10"/>
  <c r="F15" i="10"/>
  <c r="E16" i="10"/>
  <c r="C17" i="10"/>
  <c r="E17" i="10"/>
  <c r="F17" i="10"/>
  <c r="F16" i="10"/>
  <c r="D23" i="8"/>
</calcChain>
</file>

<file path=xl/sharedStrings.xml><?xml version="1.0" encoding="utf-8"?>
<sst xmlns="http://schemas.openxmlformats.org/spreadsheetml/2006/main" count="180" uniqueCount="135">
  <si>
    <t>INVERSIÓN</t>
  </si>
  <si>
    <t>PUESTA EN MARCHA</t>
  </si>
  <si>
    <t>PLATAFORMA WEB</t>
  </si>
  <si>
    <t>HARDWARE</t>
  </si>
  <si>
    <t>SOFTWARE</t>
  </si>
  <si>
    <t>DISEÑO Y PROGRAMACIÓN</t>
  </si>
  <si>
    <t>INMOVILIARIO</t>
  </si>
  <si>
    <t>EQUIPOS</t>
  </si>
  <si>
    <t>PERSONAL</t>
  </si>
  <si>
    <t>SERVICIOS BÁSICOS</t>
  </si>
  <si>
    <t>Creación de empresa</t>
  </si>
  <si>
    <t>Hardware</t>
  </si>
  <si>
    <t>Software</t>
  </si>
  <si>
    <t>Servidor</t>
  </si>
  <si>
    <t>Antivirus</t>
  </si>
  <si>
    <t>SQL Server</t>
  </si>
  <si>
    <t>ARRIENDO DOMINIO</t>
  </si>
  <si>
    <t>CARGO</t>
  </si>
  <si>
    <t>CANTIDAD</t>
  </si>
  <si>
    <t>COSTO</t>
  </si>
  <si>
    <t>TOTAL</t>
  </si>
  <si>
    <t>Gerente Comercial</t>
  </si>
  <si>
    <t>Gerente Operaciones</t>
  </si>
  <si>
    <t>Contador</t>
  </si>
  <si>
    <t>Secretaria</t>
  </si>
  <si>
    <t>INSUMOS DE OFICINA</t>
  </si>
  <si>
    <t>CONEXIÓN INTERNET</t>
  </si>
  <si>
    <t>TELEFONÍA MOVIL</t>
  </si>
  <si>
    <t>CREACIÓN DE CURSOS E-LEARNING</t>
  </si>
  <si>
    <t>VALOR</t>
  </si>
  <si>
    <t>PUCLICIDAD Y MARKETING</t>
  </si>
  <si>
    <t>Experto en contenido</t>
  </si>
  <si>
    <t>ITEM</t>
  </si>
  <si>
    <t>Computadores</t>
  </si>
  <si>
    <t>Impresora laser</t>
  </si>
  <si>
    <t>TIR</t>
  </si>
  <si>
    <t>VAN</t>
  </si>
  <si>
    <t>TOTAL INVERSIÓN</t>
  </si>
  <si>
    <t>Router</t>
  </si>
  <si>
    <t>MENSUAL</t>
  </si>
  <si>
    <t>ANUAL</t>
  </si>
  <si>
    <t>COSTO VARIABLE</t>
  </si>
  <si>
    <t>COSTO FIJO</t>
  </si>
  <si>
    <t>COSTO DE VENTA</t>
  </si>
  <si>
    <t>TOTAL FIJO</t>
  </si>
  <si>
    <t xml:space="preserve">Flujo de Efectivo </t>
  </si>
  <si>
    <t>Años</t>
  </si>
  <si>
    <t>+</t>
  </si>
  <si>
    <t>Ingreso por Ventas</t>
  </si>
  <si>
    <t>-</t>
  </si>
  <si>
    <t>Costos de Producción</t>
  </si>
  <si>
    <t>Gastos de Adm. Y Fin.</t>
  </si>
  <si>
    <t>Depreciación</t>
  </si>
  <si>
    <t>=</t>
  </si>
  <si>
    <t>U.A.I.I.</t>
  </si>
  <si>
    <t>Intereses</t>
  </si>
  <si>
    <t>U.A.I.</t>
  </si>
  <si>
    <t>Impuestos</t>
  </si>
  <si>
    <t>Amortización</t>
  </si>
  <si>
    <t>Inversión</t>
  </si>
  <si>
    <t>FLUJO</t>
  </si>
  <si>
    <t>% VENTA</t>
  </si>
  <si>
    <t>TOTAL VARIABLE</t>
  </si>
  <si>
    <t>VIDA UTIL</t>
  </si>
  <si>
    <t>VALOR RESIDUAL</t>
  </si>
  <si>
    <t>VALOR SALVAMIENTO</t>
  </si>
  <si>
    <t>Equipos</t>
  </si>
  <si>
    <t>DEPRECICIÓN</t>
  </si>
  <si>
    <t>(1)</t>
  </si>
  <si>
    <t>(2)=Monto-(3)</t>
  </si>
  <si>
    <t>(3)</t>
  </si>
  <si>
    <t>(5)=(3)+(4)</t>
  </si>
  <si>
    <t>Año</t>
  </si>
  <si>
    <t>Saldo</t>
  </si>
  <si>
    <t>Interés</t>
  </si>
  <si>
    <t>Cuota</t>
  </si>
  <si>
    <t>CAPITAL</t>
  </si>
  <si>
    <t>% INVERSION</t>
  </si>
  <si>
    <t>TASA INTERES</t>
  </si>
  <si>
    <t>CUOTA AMORTIZACIÓN</t>
  </si>
  <si>
    <t>(4)=(2)*(tasa int.)</t>
  </si>
  <si>
    <t>Préstamo</t>
  </si>
  <si>
    <t>Tasa Descuento</t>
  </si>
  <si>
    <t>Inscripción de imagen</t>
  </si>
  <si>
    <t>Inscripción de dominio</t>
  </si>
  <si>
    <t>ARRIENDO + GASTOS COMUNES</t>
  </si>
  <si>
    <t>Jefe Depto. Capacitación</t>
  </si>
  <si>
    <t>Jefe Depto. Gestión</t>
  </si>
  <si>
    <t>Capacitación</t>
  </si>
  <si>
    <t>Gestión</t>
  </si>
  <si>
    <t>Q</t>
  </si>
  <si>
    <t>P</t>
  </si>
  <si>
    <t>AÑO 1</t>
  </si>
  <si>
    <t>Certificación</t>
  </si>
  <si>
    <t>Asesoría</t>
  </si>
  <si>
    <t>AÑO 2</t>
  </si>
  <si>
    <t>AÑO 3</t>
  </si>
  <si>
    <t>AÑO 4</t>
  </si>
  <si>
    <t>AÑO 5</t>
  </si>
  <si>
    <t>AÑO 6</t>
  </si>
  <si>
    <t>TOTAL PERÍODO</t>
  </si>
  <si>
    <t>Windows Server</t>
  </si>
  <si>
    <t>Diseño curso</t>
  </si>
  <si>
    <t>AÑO 0</t>
  </si>
  <si>
    <t>CURSOS CRAEDOS</t>
  </si>
  <si>
    <t>Creación 4 cursos</t>
  </si>
  <si>
    <t>MKT</t>
  </si>
  <si>
    <t>Costo Creación Cursos</t>
  </si>
  <si>
    <t>MENSUALDAD GESTION</t>
  </si>
  <si>
    <t>EE</t>
  </si>
  <si>
    <t>Ingreso Esp. Publicitario</t>
  </si>
  <si>
    <t>CREACIÓN DE CURSO E-LEARNING</t>
  </si>
  <si>
    <t>Crecimiento Anual Gestión</t>
  </si>
  <si>
    <t>Proyección Financiera</t>
  </si>
  <si>
    <t>Crecimiento Anual Capacitación</t>
  </si>
  <si>
    <t>Servidor Web</t>
  </si>
  <si>
    <t>Anual</t>
  </si>
  <si>
    <t>SERVIDOR WEB</t>
  </si>
  <si>
    <t>Programador</t>
  </si>
  <si>
    <t>OTROS (2% TOTAL)</t>
  </si>
  <si>
    <t>Ejecutivos de Venta</t>
  </si>
  <si>
    <t>Red de Negocios</t>
  </si>
  <si>
    <t>OTEC</t>
  </si>
  <si>
    <t>(AVERIGUAR)</t>
  </si>
  <si>
    <t>Precio productos bajos</t>
  </si>
  <si>
    <t>Fuerza de vendedores</t>
  </si>
  <si>
    <t>Empresas piloto</t>
  </si>
  <si>
    <t>Presencia en charlas y conferencias</t>
  </si>
  <si>
    <t>Presupuesto adhoc de marketing</t>
  </si>
  <si>
    <t>OTROS</t>
  </si>
  <si>
    <t>Tasa Crecimiento PERSONAL</t>
  </si>
  <si>
    <t>Tasa Crecimiento OTROS</t>
  </si>
  <si>
    <t>Crecimiento Anual</t>
  </si>
  <si>
    <t>Mensualidad Gestión</t>
  </si>
  <si>
    <t>Tasa Crecimiento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</si>
</sst>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&quot;$&quot;\ #,##0"/>
    <numFmt numFmtId="167" formatCode="#,##0.0"/>
    <numFmt numFmtId="168" formatCode="0.0%"/>
    <numFmt numFmtId="169" formatCode="_-&quot;$&quot;\ * #,##0_-;\-&quot;$&quot;\ * #,##0_-;_-&quot;$&quot;\ * &quot;-&quot;??_-;_-@_-"/>
    <numFmt numFmtId="170" formatCode="&quot;$&quot;#,##0"/>
  </numFmts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i/>
      <sz val="11"/>
      <color rgb="FF000000"/>
      <name val="Arial"/>
    </font>
    <font>
      <b/>
      <sz val="12"/>
      <color rgb="FFFFFFFF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C2D69A"/>
      </right>
      <top style="medium">
        <color rgb="FFC2D69A"/>
      </top>
      <bottom style="medium">
        <color rgb="FFC2D69A"/>
      </bottom>
      <diagonal/>
    </border>
    <border>
      <left/>
      <right/>
      <top style="medium">
        <color rgb="FFC2D69A"/>
      </top>
      <bottom style="medium">
        <color rgb="FFC2D69A"/>
      </bottom>
      <diagonal/>
    </border>
    <border>
      <left style="medium">
        <color rgb="FFC2D69A"/>
      </left>
      <right/>
      <top/>
      <bottom style="medium">
        <color rgb="FFC2D69A"/>
      </bottom>
      <diagonal/>
    </border>
    <border>
      <left/>
      <right style="medium">
        <color rgb="FFC2D69A"/>
      </right>
      <top/>
      <bottom style="medium">
        <color rgb="FFC2D69A"/>
      </bottom>
      <diagonal/>
    </border>
    <border>
      <left/>
      <right/>
      <top/>
      <bottom style="medium">
        <color rgb="FFC2D69A"/>
      </bottom>
      <diagonal/>
    </border>
    <border>
      <left style="medium">
        <color rgb="FFC2D69A"/>
      </left>
      <right style="medium">
        <color rgb="FFC2D69A"/>
      </right>
      <top style="medium">
        <color rgb="FFC2D69A"/>
      </top>
      <bottom style="medium">
        <color rgb="FFC2D69A"/>
      </bottom>
      <diagonal/>
    </border>
    <border>
      <left style="thin">
        <color auto="1"/>
      </left>
      <right style="medium">
        <color rgb="FFC2D69A"/>
      </right>
      <top style="thin">
        <color auto="1"/>
      </top>
      <bottom style="medium">
        <color rgb="FFC2D69A"/>
      </bottom>
      <diagonal/>
    </border>
    <border>
      <left/>
      <right style="thin">
        <color auto="1"/>
      </right>
      <top style="thin">
        <color auto="1"/>
      </top>
      <bottom style="medium">
        <color rgb="FFC2D69A"/>
      </bottom>
      <diagonal/>
    </border>
    <border>
      <left style="thin">
        <color auto="1"/>
      </left>
      <right style="medium">
        <color rgb="FFC2D69A"/>
      </right>
      <top/>
      <bottom style="medium">
        <color rgb="FFC2D69A"/>
      </bottom>
      <diagonal/>
    </border>
    <border>
      <left/>
      <right style="thin">
        <color auto="1"/>
      </right>
      <top/>
      <bottom style="medium">
        <color rgb="FFC2D69A"/>
      </bottom>
      <diagonal/>
    </border>
    <border>
      <left style="thin">
        <color auto="1"/>
      </left>
      <right style="medium">
        <color rgb="FFC2D69A"/>
      </right>
      <top/>
      <bottom style="thin">
        <color auto="1"/>
      </bottom>
      <diagonal/>
    </border>
    <border>
      <left style="medium">
        <color rgb="FFC2D69A"/>
      </left>
      <right style="medium">
        <color rgb="FFC2D69A"/>
      </right>
      <top/>
      <bottom style="medium">
        <color rgb="FFC2D69A"/>
      </bottom>
      <diagonal/>
    </border>
  </borders>
  <cellStyleXfs count="61">
    <xf numFmtId="0" fontId="0" fillId="0" borderId="0"/>
    <xf numFmtId="9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2" fillId="0" borderId="0" xfId="0" applyFon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2" xfId="0" applyBorder="1"/>
    <xf numFmtId="0" fontId="2" fillId="2" borderId="1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3" fontId="2" fillId="3" borderId="1" xfId="0" applyNumberFormat="1" applyFont="1" applyFill="1" applyBorder="1"/>
    <xf numFmtId="0" fontId="0" fillId="4" borderId="2" xfId="0" applyFill="1" applyBorder="1"/>
    <xf numFmtId="0" fontId="0" fillId="4" borderId="0" xfId="0" applyFill="1" applyBorder="1"/>
    <xf numFmtId="3" fontId="0" fillId="4" borderId="2" xfId="0" applyNumberFormat="1" applyFill="1" applyBorder="1"/>
    <xf numFmtId="3" fontId="0" fillId="4" borderId="7" xfId="0" applyNumberFormat="1" applyFill="1" applyBorder="1"/>
    <xf numFmtId="0" fontId="0" fillId="4" borderId="3" xfId="0" applyFill="1" applyBorder="1"/>
    <xf numFmtId="0" fontId="0" fillId="4" borderId="8" xfId="0" applyFill="1" applyBorder="1"/>
    <xf numFmtId="3" fontId="0" fillId="4" borderId="3" xfId="0" applyNumberFormat="1" applyFill="1" applyBorder="1"/>
    <xf numFmtId="3" fontId="0" fillId="4" borderId="9" xfId="0" applyNumberFormat="1" applyFill="1" applyBorder="1"/>
    <xf numFmtId="0" fontId="2" fillId="2" borderId="10" xfId="0" applyFont="1" applyFill="1" applyBorder="1" applyAlignment="1"/>
    <xf numFmtId="0" fontId="0" fillId="0" borderId="4" xfId="0" applyBorder="1"/>
    <xf numFmtId="0" fontId="2" fillId="2" borderId="4" xfId="0" applyFont="1" applyFill="1" applyBorder="1"/>
    <xf numFmtId="0" fontId="2" fillId="0" borderId="11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0" xfId="0" applyBorder="1" applyAlignment="1"/>
    <xf numFmtId="0" fontId="2" fillId="2" borderId="10" xfId="0" applyFont="1" applyFill="1" applyBorder="1"/>
    <xf numFmtId="0" fontId="0" fillId="3" borderId="1" xfId="0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3" fontId="2" fillId="2" borderId="1" xfId="0" applyNumberFormat="1" applyFont="1" applyFill="1" applyBorder="1"/>
    <xf numFmtId="0" fontId="0" fillId="0" borderId="13" xfId="0" applyBorder="1"/>
    <xf numFmtId="3" fontId="0" fillId="0" borderId="14" xfId="0" applyNumberFormat="1" applyBorder="1"/>
    <xf numFmtId="0" fontId="0" fillId="0" borderId="12" xfId="0" applyBorder="1"/>
    <xf numFmtId="3" fontId="0" fillId="0" borderId="7" xfId="0" applyNumberFormat="1" applyBorder="1"/>
    <xf numFmtId="0" fontId="0" fillId="3" borderId="10" xfId="0" applyFill="1" applyBorder="1"/>
    <xf numFmtId="3" fontId="0" fillId="3" borderId="5" xfId="0" applyNumberFormat="1" applyFill="1" applyBorder="1"/>
    <xf numFmtId="0" fontId="0" fillId="3" borderId="3" xfId="0" applyFill="1" applyBorder="1"/>
    <xf numFmtId="3" fontId="0" fillId="3" borderId="3" xfId="0" applyNumberFormat="1" applyFill="1" applyBorder="1"/>
    <xf numFmtId="0" fontId="0" fillId="0" borderId="1" xfId="0" applyBorder="1"/>
    <xf numFmtId="0" fontId="0" fillId="4" borderId="12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12" xfId="0" applyFill="1" applyBorder="1" applyAlignment="1">
      <alignment horizontal="right"/>
    </xf>
    <xf numFmtId="0" fontId="0" fillId="4" borderId="12" xfId="0" applyFill="1" applyBorder="1"/>
    <xf numFmtId="0" fontId="0" fillId="4" borderId="11" xfId="0" applyFill="1" applyBorder="1"/>
    <xf numFmtId="3" fontId="0" fillId="4" borderId="4" xfId="0" applyNumberFormat="1" applyFill="1" applyBorder="1"/>
    <xf numFmtId="3" fontId="0" fillId="4" borderId="1" xfId="0" applyNumberFormat="1" applyFill="1" applyBorder="1"/>
    <xf numFmtId="3" fontId="0" fillId="3" borderId="1" xfId="0" applyNumberFormat="1" applyFill="1" applyBorder="1"/>
    <xf numFmtId="0" fontId="0" fillId="0" borderId="0" xfId="0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4" fillId="0" borderId="0" xfId="0" applyFont="1" applyFill="1"/>
    <xf numFmtId="167" fontId="4" fillId="4" borderId="0" xfId="0" applyNumberFormat="1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167" fontId="4" fillId="4" borderId="8" xfId="0" applyNumberFormat="1" applyFont="1" applyFill="1" applyBorder="1" applyAlignment="1">
      <alignment horizontal="center"/>
    </xf>
    <xf numFmtId="0" fontId="2" fillId="0" borderId="0" xfId="0" applyFont="1" applyFill="1" applyAlignment="1"/>
    <xf numFmtId="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Fill="1" applyAlignment="1"/>
    <xf numFmtId="0" fontId="4" fillId="4" borderId="18" xfId="0" applyFont="1" applyFill="1" applyBorder="1" applyAlignment="1">
      <alignment horizontal="center"/>
    </xf>
    <xf numFmtId="167" fontId="4" fillId="4" borderId="15" xfId="0" applyNumberFormat="1" applyFont="1" applyFill="1" applyBorder="1" applyAlignment="1">
      <alignment horizontal="center"/>
    </xf>
    <xf numFmtId="0" fontId="2" fillId="0" borderId="0" xfId="0" applyFont="1" applyFill="1"/>
    <xf numFmtId="9" fontId="2" fillId="0" borderId="0" xfId="0" applyNumberFormat="1" applyFont="1"/>
    <xf numFmtId="9" fontId="2" fillId="0" borderId="0" xfId="0" applyNumberFormat="1" applyFont="1" applyFill="1"/>
    <xf numFmtId="4" fontId="2" fillId="0" borderId="19" xfId="0" applyNumberFormat="1" applyFont="1" applyFill="1" applyBorder="1" applyAlignment="1">
      <alignment horizontal="center"/>
    </xf>
    <xf numFmtId="167" fontId="4" fillId="4" borderId="20" xfId="0" applyNumberFormat="1" applyFont="1" applyFill="1" applyBorder="1" applyAlignment="1">
      <alignment horizontal="center"/>
    </xf>
    <xf numFmtId="167" fontId="4" fillId="4" borderId="21" xfId="0" applyNumberFormat="1" applyFont="1" applyFill="1" applyBorder="1" applyAlignment="1">
      <alignment horizontal="center"/>
    </xf>
    <xf numFmtId="167" fontId="4" fillId="4" borderId="22" xfId="0" applyNumberFormat="1" applyFont="1" applyFill="1" applyBorder="1" applyAlignment="1">
      <alignment horizontal="center"/>
    </xf>
    <xf numFmtId="167" fontId="4" fillId="4" borderId="14" xfId="0" applyNumberFormat="1" applyFont="1" applyFill="1" applyBorder="1" applyAlignment="1">
      <alignment horizontal="center"/>
    </xf>
    <xf numFmtId="167" fontId="4" fillId="4" borderId="7" xfId="0" applyNumberFormat="1" applyFont="1" applyFill="1" applyBorder="1" applyAlignment="1">
      <alignment horizontal="center"/>
    </xf>
    <xf numFmtId="167" fontId="4" fillId="4" borderId="9" xfId="0" applyNumberFormat="1" applyFont="1" applyFill="1" applyBorder="1" applyAlignment="1">
      <alignment horizontal="center"/>
    </xf>
    <xf numFmtId="167" fontId="4" fillId="4" borderId="2" xfId="0" applyNumberFormat="1" applyFont="1" applyFill="1" applyBorder="1" applyAlignment="1">
      <alignment horizontal="center"/>
    </xf>
    <xf numFmtId="167" fontId="4" fillId="4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3" fontId="2" fillId="3" borderId="3" xfId="0" applyNumberFormat="1" applyFont="1" applyFill="1" applyBorder="1"/>
    <xf numFmtId="0" fontId="0" fillId="4" borderId="4" xfId="0" applyFill="1" applyBorder="1"/>
    <xf numFmtId="0" fontId="0" fillId="4" borderId="15" xfId="0" applyFill="1" applyBorder="1"/>
    <xf numFmtId="3" fontId="0" fillId="4" borderId="14" xfId="0" applyNumberFormat="1" applyFill="1" applyBorder="1"/>
    <xf numFmtId="168" fontId="0" fillId="0" borderId="2" xfId="0" applyNumberFormat="1" applyBorder="1"/>
    <xf numFmtId="168" fontId="0" fillId="0" borderId="3" xfId="0" applyNumberFormat="1" applyBorder="1"/>
    <xf numFmtId="0" fontId="0" fillId="4" borderId="0" xfId="0" applyFill="1"/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11" xfId="0" applyFont="1" applyFill="1" applyBorder="1"/>
    <xf numFmtId="3" fontId="0" fillId="4" borderId="1" xfId="0" applyNumberFormat="1" applyFill="1" applyBorder="1" applyAlignment="1">
      <alignment horizontal="center" vertical="center"/>
    </xf>
    <xf numFmtId="0" fontId="4" fillId="0" borderId="3" xfId="0" applyFont="1" applyBorder="1"/>
    <xf numFmtId="0" fontId="4" fillId="4" borderId="0" xfId="0" applyFont="1" applyFill="1" applyBorder="1"/>
    <xf numFmtId="0" fontId="4" fillId="4" borderId="8" xfId="0" applyFont="1" applyFill="1" applyBorder="1"/>
    <xf numFmtId="0" fontId="4" fillId="0" borderId="13" xfId="0" applyFont="1" applyBorder="1"/>
    <xf numFmtId="0" fontId="0" fillId="0" borderId="15" xfId="0" applyBorder="1"/>
    <xf numFmtId="0" fontId="0" fillId="0" borderId="14" xfId="0" applyBorder="1"/>
    <xf numFmtId="0" fontId="4" fillId="0" borderId="11" xfId="0" applyFont="1" applyBorder="1"/>
    <xf numFmtId="0" fontId="4" fillId="0" borderId="15" xfId="0" applyFont="1" applyBorder="1"/>
    <xf numFmtId="0" fontId="4" fillId="0" borderId="14" xfId="0" applyFont="1" applyBorder="1"/>
    <xf numFmtId="0" fontId="4" fillId="0" borderId="4" xfId="0" applyFont="1" applyBorder="1"/>
    <xf numFmtId="166" fontId="0" fillId="0" borderId="11" xfId="0" applyNumberFormat="1" applyBorder="1"/>
    <xf numFmtId="166" fontId="0" fillId="0" borderId="3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0" fontId="2" fillId="3" borderId="1" xfId="0" applyFont="1" applyFill="1" applyBorder="1"/>
    <xf numFmtId="0" fontId="0" fillId="4" borderId="0" xfId="0" applyFill="1" applyAlignment="1"/>
    <xf numFmtId="0" fontId="2" fillId="2" borderId="1" xfId="0" applyFont="1" applyFill="1" applyBorder="1" applyAlignment="1"/>
    <xf numFmtId="3" fontId="0" fillId="4" borderId="0" xfId="0" applyNumberFormat="1" applyFill="1"/>
    <xf numFmtId="0" fontId="2" fillId="4" borderId="0" xfId="0" applyFont="1" applyFill="1"/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4" fillId="0" borderId="0" xfId="0" applyNumberFormat="1" applyFont="1" applyFill="1"/>
    <xf numFmtId="9" fontId="0" fillId="0" borderId="0" xfId="1" applyFont="1"/>
    <xf numFmtId="9" fontId="0" fillId="0" borderId="0" xfId="1" applyFont="1" applyAlignment="1">
      <alignment horizontal="center" vertical="center"/>
    </xf>
    <xf numFmtId="169" fontId="0" fillId="0" borderId="0" xfId="2" applyNumberFormat="1" applyFont="1"/>
    <xf numFmtId="9" fontId="0" fillId="0" borderId="0" xfId="0" applyNumberFormat="1"/>
    <xf numFmtId="0" fontId="2" fillId="2" borderId="29" xfId="0" applyFont="1" applyFill="1" applyBorder="1" applyAlignment="1">
      <alignment horizontal="center"/>
    </xf>
    <xf numFmtId="0" fontId="0" fillId="4" borderId="19" xfId="0" applyFill="1" applyBorder="1"/>
    <xf numFmtId="3" fontId="0" fillId="0" borderId="19" xfId="0" applyNumberFormat="1" applyBorder="1"/>
    <xf numFmtId="0" fontId="0" fillId="0" borderId="19" xfId="0" applyBorder="1"/>
    <xf numFmtId="0" fontId="4" fillId="7" borderId="19" xfId="0" applyFont="1" applyFill="1" applyBorder="1"/>
    <xf numFmtId="3" fontId="0" fillId="7" borderId="19" xfId="0" applyNumberFormat="1" applyFill="1" applyBorder="1"/>
    <xf numFmtId="0" fontId="0" fillId="7" borderId="19" xfId="0" applyFill="1" applyBorder="1"/>
    <xf numFmtId="9" fontId="0" fillId="7" borderId="0" xfId="0" applyNumberFormat="1" applyFill="1"/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169" fontId="0" fillId="0" borderId="0" xfId="2" applyNumberFormat="1" applyFont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6" borderId="10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0" fillId="6" borderId="5" xfId="0" applyFill="1" applyBorder="1" applyAlignment="1">
      <alignment horizontal="left"/>
    </xf>
    <xf numFmtId="3" fontId="2" fillId="4" borderId="11" xfId="0" applyNumberFormat="1" applyFont="1" applyFill="1" applyBorder="1" applyAlignment="1">
      <alignment horizontal="center" vertical="center"/>
    </xf>
    <xf numFmtId="3" fontId="2" fillId="4" borderId="9" xfId="0" applyNumberFormat="1" applyFont="1" applyFill="1" applyBorder="1" applyAlignment="1">
      <alignment horizontal="center" vertical="center"/>
    </xf>
    <xf numFmtId="3" fontId="0" fillId="4" borderId="26" xfId="0" applyNumberFormat="1" applyFill="1" applyBorder="1" applyAlignment="1">
      <alignment horizontal="center" vertical="center"/>
    </xf>
    <xf numFmtId="3" fontId="0" fillId="4" borderId="27" xfId="0" applyNumberForma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/>
    </xf>
    <xf numFmtId="3" fontId="0" fillId="4" borderId="28" xfId="0" applyNumberFormat="1" applyFill="1" applyBorder="1" applyAlignment="1">
      <alignment horizontal="center" vertical="center"/>
    </xf>
    <xf numFmtId="3" fontId="0" fillId="4" borderId="12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  <xf numFmtId="3" fontId="0" fillId="4" borderId="9" xfId="0" applyNumberForma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13" xfId="0" applyNumberFormat="1" applyFont="1" applyFill="1" applyBorder="1" applyAlignment="1">
      <alignment horizontal="center" vertical="center" wrapText="1"/>
    </xf>
    <xf numFmtId="0" fontId="2" fillId="4" borderId="12" xfId="0" applyNumberFormat="1" applyFont="1" applyFill="1" applyBorder="1" applyAlignment="1">
      <alignment horizontal="center" vertical="center" wrapText="1"/>
    </xf>
    <xf numFmtId="0" fontId="2" fillId="4" borderId="11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horizontal="righ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0" fillId="9" borderId="31" xfId="0" applyFont="1" applyFill="1" applyBorder="1" applyAlignment="1">
      <alignment vertical="center"/>
    </xf>
    <xf numFmtId="0" fontId="10" fillId="9" borderId="31" xfId="0" applyFont="1" applyFill="1" applyBorder="1" applyAlignment="1">
      <alignment horizontal="center" vertical="center"/>
    </xf>
    <xf numFmtId="0" fontId="11" fillId="0" borderId="33" xfId="0" applyFont="1" applyBorder="1" applyAlignment="1">
      <alignment vertical="center" wrapText="1"/>
    </xf>
    <xf numFmtId="170" fontId="11" fillId="0" borderId="34" xfId="0" applyNumberFormat="1" applyFont="1" applyBorder="1" applyAlignment="1">
      <alignment vertical="center"/>
    </xf>
    <xf numFmtId="0" fontId="11" fillId="10" borderId="33" xfId="0" applyFont="1" applyFill="1" applyBorder="1" applyAlignment="1">
      <alignment vertical="center" wrapText="1"/>
    </xf>
    <xf numFmtId="170" fontId="11" fillId="10" borderId="34" xfId="0" applyNumberFormat="1" applyFont="1" applyFill="1" applyBorder="1" applyAlignment="1">
      <alignment vertical="center"/>
    </xf>
    <xf numFmtId="0" fontId="11" fillId="8" borderId="33" xfId="0" applyFont="1" applyFill="1" applyBorder="1" applyAlignment="1">
      <alignment vertical="center" wrapText="1"/>
    </xf>
    <xf numFmtId="170" fontId="11" fillId="8" borderId="33" xfId="0" applyNumberFormat="1" applyFont="1" applyFill="1" applyBorder="1" applyAlignment="1">
      <alignment vertical="center" wrapText="1"/>
    </xf>
    <xf numFmtId="170" fontId="11" fillId="8" borderId="34" xfId="0" applyNumberFormat="1" applyFont="1" applyFill="1" applyBorder="1" applyAlignment="1">
      <alignment vertical="center"/>
    </xf>
    <xf numFmtId="0" fontId="0" fillId="4" borderId="0" xfId="0" applyFont="1" applyFill="1"/>
    <xf numFmtId="3" fontId="0" fillId="4" borderId="0" xfId="0" applyNumberFormat="1" applyFont="1" applyFill="1"/>
    <xf numFmtId="0" fontId="10" fillId="9" borderId="32" xfId="0" applyFont="1" applyFill="1" applyBorder="1" applyAlignment="1">
      <alignment horizontal="right" vertical="center"/>
    </xf>
    <xf numFmtId="0" fontId="10" fillId="9" borderId="31" xfId="0" applyFont="1" applyFill="1" applyBorder="1" applyAlignment="1">
      <alignment horizontal="right" vertical="center"/>
    </xf>
    <xf numFmtId="170" fontId="11" fillId="10" borderId="36" xfId="0" applyNumberFormat="1" applyFont="1" applyFill="1" applyBorder="1" applyAlignment="1">
      <alignment vertical="center"/>
    </xf>
    <xf numFmtId="10" fontId="0" fillId="4" borderId="0" xfId="0" applyNumberFormat="1" applyFont="1" applyFill="1"/>
    <xf numFmtId="9" fontId="0" fillId="4" borderId="0" xfId="0" applyNumberFormat="1" applyFont="1" applyFill="1"/>
    <xf numFmtId="9" fontId="11" fillId="0" borderId="34" xfId="1" applyFont="1" applyBorder="1" applyAlignment="1">
      <alignment horizontal="center" vertical="center"/>
    </xf>
    <xf numFmtId="170" fontId="11" fillId="0" borderId="34" xfId="0" applyNumberFormat="1" applyFont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9" borderId="38" xfId="0" applyFont="1" applyFill="1" applyBorder="1" applyAlignment="1">
      <alignment horizontal="center" vertical="center"/>
    </xf>
    <xf numFmtId="9" fontId="11" fillId="0" borderId="39" xfId="1" applyFont="1" applyBorder="1" applyAlignment="1">
      <alignment horizontal="center" vertical="center"/>
    </xf>
    <xf numFmtId="170" fontId="11" fillId="0" borderId="40" xfId="0" applyNumberFormat="1" applyFont="1" applyBorder="1" applyAlignment="1">
      <alignment horizontal="center" vertical="center"/>
    </xf>
    <xf numFmtId="9" fontId="11" fillId="0" borderId="41" xfId="1" applyFont="1" applyBorder="1" applyAlignment="1">
      <alignment horizontal="center" vertical="center"/>
    </xf>
    <xf numFmtId="170" fontId="11" fillId="0" borderId="30" xfId="0" applyNumberFormat="1" applyFont="1" applyBorder="1" applyAlignment="1">
      <alignment horizontal="center" vertical="center"/>
    </xf>
    <xf numFmtId="9" fontId="11" fillId="10" borderId="36" xfId="1" applyFont="1" applyFill="1" applyBorder="1" applyAlignment="1">
      <alignment vertical="center"/>
    </xf>
    <xf numFmtId="0" fontId="0" fillId="11" borderId="0" xfId="0" applyFont="1" applyFill="1"/>
    <xf numFmtId="0" fontId="3" fillId="11" borderId="0" xfId="0" applyFont="1" applyFill="1"/>
    <xf numFmtId="0" fontId="9" fillId="11" borderId="35" xfId="0" applyFont="1" applyFill="1" applyBorder="1" applyAlignment="1">
      <alignment vertical="center" wrapText="1"/>
    </xf>
    <xf numFmtId="170" fontId="11" fillId="0" borderId="36" xfId="0" applyNumberFormat="1" applyFont="1" applyBorder="1" applyAlignment="1">
      <alignment vertical="center" wrapText="1"/>
    </xf>
    <xf numFmtId="170" fontId="11" fillId="0" borderId="42" xfId="0" applyNumberFormat="1" applyFont="1" applyBorder="1" applyAlignment="1">
      <alignment vertical="center" wrapText="1"/>
    </xf>
    <xf numFmtId="170" fontId="11" fillId="10" borderId="42" xfId="0" applyNumberFormat="1" applyFont="1" applyFill="1" applyBorder="1" applyAlignment="1">
      <alignment vertical="center" wrapText="1"/>
    </xf>
    <xf numFmtId="170" fontId="11" fillId="0" borderId="36" xfId="0" applyNumberFormat="1" applyFont="1" applyBorder="1" applyAlignment="1">
      <alignment vertical="center"/>
    </xf>
    <xf numFmtId="170" fontId="11" fillId="0" borderId="42" xfId="0" applyNumberFormat="1" applyFont="1" applyBorder="1" applyAlignment="1">
      <alignment vertical="center"/>
    </xf>
  </cellXfs>
  <cellStyles count="61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Moneda" xfId="2" builtinId="4"/>
    <cellStyle name="Normal" xfId="0" builtinId="0"/>
    <cellStyle name="Porcentual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334427072668"/>
          <c:y val="0.217840712143428"/>
          <c:w val="0.76083182924332"/>
          <c:h val="0.646076316235207"/>
        </c:manualLayout>
      </c:layout>
      <c:lineChart>
        <c:grouping val="standard"/>
        <c:varyColors val="0"/>
        <c:ser>
          <c:idx val="1"/>
          <c:order val="0"/>
          <c:tx>
            <c:strRef>
              <c:f>'FLUJO CAJA PRINCIPAL'!$D$34</c:f>
              <c:strCache>
                <c:ptCount val="1"/>
                <c:pt idx="0">
                  <c:v>VAN</c:v>
                </c:pt>
              </c:strCache>
            </c:strRef>
          </c:tx>
          <c:spPr>
            <a:ln w="31750"/>
          </c:spPr>
          <c:marker>
            <c:symbol val="circle"/>
            <c:size val="5"/>
          </c:marker>
          <c:trendline>
            <c:spPr>
              <a:ln w="12700">
                <a:prstDash val="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0498278432064"/>
                  <c:y val="-0.0820383274963258"/>
                </c:manualLayout>
              </c:layout>
              <c:numFmt formatCode="General" sourceLinked="0"/>
            </c:trendlineLbl>
          </c:trendline>
          <c:cat>
            <c:numRef>
              <c:f>'FLUJO CAJA PRINCIPAL'!$C$35:$C$44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'FLUJO CAJA PRINCIPAL'!$D$35:$D$44</c:f>
              <c:numCache>
                <c:formatCode>"$"#,##0</c:formatCode>
                <c:ptCount val="10"/>
                <c:pt idx="0">
                  <c:v>1.24284765697745E7</c:v>
                </c:pt>
                <c:pt idx="1">
                  <c:v>4.10013094003728E7</c:v>
                </c:pt>
                <c:pt idx="2">
                  <c:v>7.31875357014692E7</c:v>
                </c:pt>
                <c:pt idx="3">
                  <c:v>1.09367561870083E8</c:v>
                </c:pt>
                <c:pt idx="4">
                  <c:v>1.49949445521999E8</c:v>
                </c:pt>
                <c:pt idx="5">
                  <c:v>1.95369906186683E8</c:v>
                </c:pt>
                <c:pt idx="6">
                  <c:v>2.46095336002192E8</c:v>
                </c:pt>
                <c:pt idx="7">
                  <c:v>3.02622810410091E8</c:v>
                </c:pt>
                <c:pt idx="8">
                  <c:v>3.65481098850362E8</c:v>
                </c:pt>
                <c:pt idx="9">
                  <c:v>4.35231675456323E8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548104"/>
        <c:axId val="2047550616"/>
      </c:lineChart>
      <c:catAx>
        <c:axId val="2047548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47550616"/>
        <c:crosses val="autoZero"/>
        <c:auto val="1"/>
        <c:lblAlgn val="ctr"/>
        <c:lblOffset val="100"/>
        <c:noMultiLvlLbl val="0"/>
      </c:catAx>
      <c:valAx>
        <c:axId val="204755061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</c:majorGridlines>
        <c:numFmt formatCode="&quot;$&quot;#,##0" sourceLinked="1"/>
        <c:majorTickMark val="out"/>
        <c:minorTickMark val="none"/>
        <c:tickLblPos val="nextTo"/>
        <c:crossAx val="2047548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484299125802247"/>
          <c:y val="0.00522892646397109"/>
          <c:w val="0.893609046129131"/>
          <c:h val="0.1149747899447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700127913264"/>
          <c:y val="0.120062995197514"/>
          <c:w val="0.758034938982456"/>
          <c:h val="0.610686000934149"/>
        </c:manualLayout>
      </c:layout>
      <c:lineChart>
        <c:grouping val="standard"/>
        <c:varyColors val="0"/>
        <c:ser>
          <c:idx val="1"/>
          <c:order val="0"/>
          <c:tx>
            <c:strRef>
              <c:f>'FLUJO CAJA PRINCIPAL'!$D$49</c:f>
              <c:strCache>
                <c:ptCount val="1"/>
                <c:pt idx="0">
                  <c:v>VAN</c:v>
                </c:pt>
              </c:strCache>
            </c:strRef>
          </c:tx>
          <c:spPr>
            <a:ln w="28575"/>
          </c:spPr>
          <c:marker>
            <c:symbol val="square"/>
            <c:size val="4"/>
          </c:marker>
          <c:trendline>
            <c:spPr>
              <a:ln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24364659495372"/>
                  <c:y val="-0.0114210874798328"/>
                </c:manualLayout>
              </c:layout>
              <c:numFmt formatCode="General" sourceLinked="0"/>
            </c:trendlineLbl>
          </c:trendline>
          <c:cat>
            <c:numRef>
              <c:f>'FLUJO CAJA PRINCIPAL'!$C$50:$C$59</c:f>
              <c:numCache>
                <c:formatCode>"$"#,##0</c:formatCode>
                <c:ptCount val="10"/>
                <c:pt idx="0">
                  <c:v>25000.0</c:v>
                </c:pt>
                <c:pt idx="1">
                  <c:v>30000.0</c:v>
                </c:pt>
                <c:pt idx="2">
                  <c:v>35000.0</c:v>
                </c:pt>
                <c:pt idx="3">
                  <c:v>40000.0</c:v>
                </c:pt>
                <c:pt idx="4">
                  <c:v>45000.0</c:v>
                </c:pt>
                <c:pt idx="5">
                  <c:v>50000.0</c:v>
                </c:pt>
                <c:pt idx="6">
                  <c:v>55000.0</c:v>
                </c:pt>
                <c:pt idx="7">
                  <c:v>60000.0</c:v>
                </c:pt>
                <c:pt idx="8">
                  <c:v>65000.0</c:v>
                </c:pt>
                <c:pt idx="9">
                  <c:v>70000.0</c:v>
                </c:pt>
              </c:numCache>
            </c:numRef>
          </c:cat>
          <c:val>
            <c:numRef>
              <c:f>'FLUJO CAJA PRINCIPAL'!$D$50:$D$59</c:f>
              <c:numCache>
                <c:formatCode>"$"#,##0</c:formatCode>
                <c:ptCount val="10"/>
                <c:pt idx="0">
                  <c:v>2.23218906268827E7</c:v>
                </c:pt>
                <c:pt idx="1">
                  <c:v>5.74442568903771E7</c:v>
                </c:pt>
                <c:pt idx="2">
                  <c:v>9.25666231538715E7</c:v>
                </c:pt>
                <c:pt idx="3">
                  <c:v>1.2698006968994E8</c:v>
                </c:pt>
                <c:pt idx="4">
                  <c:v>1.61174987938312E8</c:v>
                </c:pt>
                <c:pt idx="5">
                  <c:v>1.95369906186683E8</c:v>
                </c:pt>
                <c:pt idx="6">
                  <c:v>2.29564824435055E8</c:v>
                </c:pt>
                <c:pt idx="7">
                  <c:v>2.63759742683426E8</c:v>
                </c:pt>
                <c:pt idx="8">
                  <c:v>2.97689622288736E8</c:v>
                </c:pt>
                <c:pt idx="9">
                  <c:v>3.310641057545E8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631912"/>
        <c:axId val="2047634856"/>
      </c:lineChart>
      <c:catAx>
        <c:axId val="2047631912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2047634856"/>
        <c:crosses val="autoZero"/>
        <c:auto val="1"/>
        <c:lblAlgn val="ctr"/>
        <c:lblOffset val="100"/>
        <c:noMultiLvlLbl val="0"/>
      </c:catAx>
      <c:valAx>
        <c:axId val="204763485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</c:majorGridlines>
        <c:numFmt formatCode="&quot;$&quot;#,##0" sourceLinked="1"/>
        <c:majorTickMark val="out"/>
        <c:minorTickMark val="none"/>
        <c:tickLblPos val="nextTo"/>
        <c:crossAx val="2047631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736899879599293"/>
          <c:y val="0.00522892646397106"/>
          <c:w val="0.842572978692711"/>
          <c:h val="0.08781431301530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318452380952"/>
          <c:y val="0.141791376741051"/>
          <c:w val="0.762237301587301"/>
          <c:h val="0.722125651637585"/>
        </c:manualLayout>
      </c:layout>
      <c:lineChart>
        <c:grouping val="standard"/>
        <c:varyColors val="0"/>
        <c:ser>
          <c:idx val="1"/>
          <c:order val="0"/>
          <c:tx>
            <c:strRef>
              <c:f>'FLUJO CAJA PRINCIPAL'!$D$64</c:f>
              <c:strCache>
                <c:ptCount val="1"/>
                <c:pt idx="0">
                  <c:v>VAN</c:v>
                </c:pt>
              </c:strCache>
            </c:strRef>
          </c:tx>
          <c:spPr>
            <a:ln w="31750"/>
          </c:spPr>
          <c:marker>
            <c:symbol val="circle"/>
            <c:size val="5"/>
          </c:marker>
          <c:trendline>
            <c:spPr>
              <a:ln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0161009920634921"/>
                  <c:y val="-0.229987647329548"/>
                </c:manualLayout>
              </c:layout>
              <c:numFmt formatCode="General" sourceLinked="0"/>
            </c:trendlineLbl>
          </c:trendline>
          <c:cat>
            <c:numRef>
              <c:f>'FLUJO CAJA PRINCIPAL'!$C$65:$C$74</c:f>
              <c:numCache>
                <c:formatCode>0%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0.07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</c:numCache>
            </c:numRef>
          </c:cat>
          <c:val>
            <c:numRef>
              <c:f>'FLUJO CAJA PRINCIPAL'!$D$65:$D$74</c:f>
              <c:numCache>
                <c:formatCode>"$"#,##0</c:formatCode>
                <c:ptCount val="10"/>
                <c:pt idx="0">
                  <c:v>2.40326790210242E8</c:v>
                </c:pt>
                <c:pt idx="1">
                  <c:v>2.33274407530949E8</c:v>
                </c:pt>
                <c:pt idx="2">
                  <c:v>2.26050675050158E8</c:v>
                </c:pt>
                <c:pt idx="3">
                  <c:v>2.18652015839584E8</c:v>
                </c:pt>
                <c:pt idx="4">
                  <c:v>2.1107479964565E8</c:v>
                </c:pt>
                <c:pt idx="5">
                  <c:v>2.03315342476111E8</c:v>
                </c:pt>
                <c:pt idx="6">
                  <c:v>1.95369906186683E8</c:v>
                </c:pt>
                <c:pt idx="7">
                  <c:v>1.87234698067668E8</c:v>
                </c:pt>
                <c:pt idx="8">
                  <c:v>1.78905870430577E8</c:v>
                </c:pt>
                <c:pt idx="9">
                  <c:v>1.70379520194759E8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663656"/>
        <c:axId val="2047666600"/>
      </c:lineChart>
      <c:catAx>
        <c:axId val="20476636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47666600"/>
        <c:crosses val="autoZero"/>
        <c:auto val="1"/>
        <c:lblAlgn val="ctr"/>
        <c:lblOffset val="100"/>
        <c:noMultiLvlLbl val="0"/>
      </c:catAx>
      <c:valAx>
        <c:axId val="20476666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>
            <a:solidFill>
              <a:schemeClr val="tx1">
                <a:lumMod val="50000"/>
                <a:lumOff val="50000"/>
              </a:schemeClr>
            </a:solidFill>
            <a:prstDash val="sysDot"/>
          </a:ln>
        </c:spPr>
        <c:crossAx val="2047663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549327380952381"/>
          <c:y val="0.0106610218498551"/>
          <c:w val="0.887110912698413"/>
          <c:h val="0.1149747899447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17318</xdr:colOff>
      <xdr:row>32</xdr:row>
      <xdr:rowOff>121227</xdr:rowOff>
    </xdr:from>
    <xdr:to>
      <xdr:col>11</xdr:col>
      <xdr:colOff>25978</xdr:colOff>
      <xdr:row>46</xdr:row>
      <xdr:rowOff>155865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17319</xdr:colOff>
      <xdr:row>48</xdr:row>
      <xdr:rowOff>17318</xdr:rowOff>
    </xdr:from>
    <xdr:to>
      <xdr:col>11</xdr:col>
      <xdr:colOff>26387</xdr:colOff>
      <xdr:row>62</xdr:row>
      <xdr:rowOff>51956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25977</xdr:colOff>
      <xdr:row>63</xdr:row>
      <xdr:rowOff>86591</xdr:rowOff>
    </xdr:from>
    <xdr:to>
      <xdr:col>11</xdr:col>
      <xdr:colOff>35045</xdr:colOff>
      <xdr:row>77</xdr:row>
      <xdr:rowOff>121228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115957</xdr:colOff>
      <xdr:row>21</xdr:row>
      <xdr:rowOff>8283</xdr:rowOff>
    </xdr:from>
    <xdr:to>
      <xdr:col>16</xdr:col>
      <xdr:colOff>157370</xdr:colOff>
      <xdr:row>29</xdr:row>
      <xdr:rowOff>132522</xdr:rowOff>
    </xdr:to>
    <xdr:sp macro="" textlink="">
      <xdr:nvSpPr>
        <xdr:cNvPr id="2" name="1 CuadroTexto"/>
        <xdr:cNvSpPr txBox="1"/>
      </xdr:nvSpPr>
      <xdr:spPr>
        <a:xfrm>
          <a:off x="2733261" y="3619500"/>
          <a:ext cx="4489174" cy="1929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L" sz="1100"/>
            <a:t>APLICAR CRECIMIENTOS DE LOS SERVICIOS RELEVANTES SEGÚN LO ESTABLECIDO EN EL PLAN DE MKT.</a:t>
          </a:r>
        </a:p>
        <a:p>
          <a:r>
            <a:rPr lang="es-CL" sz="1100"/>
            <a:t>LA</a:t>
          </a:r>
          <a:r>
            <a:rPr lang="es-CL" sz="1100" baseline="0"/>
            <a:t> VISIÓN DE LA EMPRESA, OJO, ESTÁ SOBRE EL MODULO DE GESTIÓN.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74"/>
  <sheetViews>
    <sheetView tabSelected="1" zoomScale="110" zoomScaleNormal="110" zoomScalePageLayoutView="110" workbookViewId="0">
      <selection activeCell="M19" sqref="M19"/>
    </sheetView>
  </sheetViews>
  <sheetFormatPr baseColWidth="10" defaultColWidth="11.5" defaultRowHeight="12" x14ac:dyDescent="0"/>
  <cols>
    <col min="1" max="1" width="6.33203125" customWidth="1"/>
    <col min="2" max="2" width="4.6640625" customWidth="1"/>
    <col min="3" max="3" width="19.5" customWidth="1"/>
    <col min="4" max="10" width="12.1640625" customWidth="1"/>
    <col min="11" max="11" width="11.5" customWidth="1"/>
  </cols>
  <sheetData>
    <row r="4" spans="2:10" ht="14" thickBot="1">
      <c r="B4" s="199"/>
      <c r="C4" s="201" t="s">
        <v>45</v>
      </c>
      <c r="D4" s="200"/>
      <c r="E4" s="199"/>
      <c r="F4" s="199"/>
      <c r="G4" s="199"/>
      <c r="H4" s="199"/>
      <c r="I4" s="199"/>
      <c r="J4" s="199"/>
    </row>
    <row r="5" spans="2:10" ht="16" thickBot="1">
      <c r="B5" s="174" t="s">
        <v>109</v>
      </c>
      <c r="C5" s="174" t="s">
        <v>46</v>
      </c>
      <c r="D5" s="175">
        <v>0</v>
      </c>
      <c r="E5" s="175">
        <v>1</v>
      </c>
      <c r="F5" s="175">
        <v>2</v>
      </c>
      <c r="G5" s="175">
        <v>3</v>
      </c>
      <c r="H5" s="175">
        <v>4</v>
      </c>
      <c r="I5" s="175">
        <v>5</v>
      </c>
      <c r="J5" s="175">
        <v>6</v>
      </c>
    </row>
    <row r="6" spans="2:10" ht="13" thickBot="1">
      <c r="B6" s="176" t="s">
        <v>47</v>
      </c>
      <c r="C6" s="176" t="s">
        <v>48</v>
      </c>
      <c r="D6" s="202"/>
      <c r="E6" s="177">
        <f>INGRESOS!D18</f>
        <v>109500000</v>
      </c>
      <c r="F6" s="177">
        <f>INGRESOS!F18</f>
        <v>156820000</v>
      </c>
      <c r="G6" s="177">
        <f>INGRESOS!H18</f>
        <v>199978000</v>
      </c>
      <c r="H6" s="177">
        <f>INGRESOS!J18</f>
        <v>255186169.23076925</v>
      </c>
      <c r="I6" s="177">
        <f>INGRESOS!L18</f>
        <v>325852505.20710063</v>
      </c>
      <c r="J6" s="177">
        <f>INGRESOS!N18</f>
        <v>416359623.17796993</v>
      </c>
    </row>
    <row r="7" spans="2:10" ht="13" thickBot="1">
      <c r="B7" s="176" t="s">
        <v>47</v>
      </c>
      <c r="C7" s="176" t="s">
        <v>110</v>
      </c>
      <c r="D7" s="203"/>
      <c r="E7" s="177">
        <v>5000000</v>
      </c>
      <c r="F7" s="177">
        <f>E7*1.3</f>
        <v>6500000</v>
      </c>
      <c r="G7" s="177">
        <f>F7*1.3</f>
        <v>8450000</v>
      </c>
      <c r="H7" s="177">
        <f>G7*1.3</f>
        <v>10985000</v>
      </c>
      <c r="I7" s="177">
        <f>H7*1.3</f>
        <v>14280500</v>
      </c>
      <c r="J7" s="177">
        <f>I7*1.3</f>
        <v>18564650</v>
      </c>
    </row>
    <row r="8" spans="2:10" ht="13" thickBot="1">
      <c r="B8" s="176" t="s">
        <v>49</v>
      </c>
      <c r="C8" s="176" t="s">
        <v>107</v>
      </c>
      <c r="D8" s="203"/>
      <c r="E8" s="177">
        <f>-'CREACIÓN CURSOS'!E14</f>
        <v>-4400000</v>
      </c>
      <c r="F8" s="177">
        <f>-'CREACIÓN CURSOS'!F14</f>
        <v>-4400000</v>
      </c>
      <c r="G8" s="177">
        <f>-'CREACIÓN CURSOS'!G14</f>
        <v>-4400000</v>
      </c>
      <c r="H8" s="177">
        <f>-'CREACIÓN CURSOS'!H14</f>
        <v>-4400000</v>
      </c>
      <c r="I8" s="177">
        <f>-'CREACIÓN CURSOS'!I14</f>
        <v>-4400000</v>
      </c>
      <c r="J8" s="177">
        <f>-'CREACIÓN CURSOS'!J14</f>
        <v>-4400000</v>
      </c>
    </row>
    <row r="9" spans="2:10" ht="13" thickBot="1">
      <c r="B9" s="176" t="s">
        <v>49</v>
      </c>
      <c r="C9" s="176" t="s">
        <v>50</v>
      </c>
      <c r="D9" s="203"/>
      <c r="E9" s="177">
        <f>-INGRESOS!D18*('ESTRUCTURA DE COSTOS'!$D$18+'ESTRUCTURA DE COSTOS'!$D$19)</f>
        <v>-8212500.0000000009</v>
      </c>
      <c r="F9" s="177">
        <f>-INGRESOS!F18*('ESTRUCTURA DE COSTOS'!$D$18+'ESTRUCTURA DE COSTOS'!$D$19)</f>
        <v>-11761500.000000002</v>
      </c>
      <c r="G9" s="177">
        <f>-INGRESOS!H18*('ESTRUCTURA DE COSTOS'!$D$18+'ESTRUCTURA DE COSTOS'!$D$19)</f>
        <v>-14998350.000000002</v>
      </c>
      <c r="H9" s="177">
        <f>-INGRESOS!J18*('ESTRUCTURA DE COSTOS'!$D$18+'ESTRUCTURA DE COSTOS'!$D$19)</f>
        <v>-19138962.692307696</v>
      </c>
      <c r="I9" s="177">
        <f>-INGRESOS!L18*('ESTRUCTURA DE COSTOS'!$D$18+'ESTRUCTURA DE COSTOS'!$D$19)</f>
        <v>-24438937.890532549</v>
      </c>
      <c r="J9" s="177">
        <f>-INGRESOS!N18*('ESTRUCTURA DE COSTOS'!$D$18+'ESTRUCTURA DE COSTOS'!$D$19)</f>
        <v>-31226971.73834775</v>
      </c>
    </row>
    <row r="10" spans="2:10" ht="13" thickBot="1">
      <c r="B10" s="176" t="s">
        <v>49</v>
      </c>
      <c r="C10" s="176" t="s">
        <v>51</v>
      </c>
      <c r="D10" s="203"/>
      <c r="E10" s="177">
        <f>-'ESTRUCTURA DE COSTOS'!H8</f>
        <v>-113378600</v>
      </c>
      <c r="F10" s="177">
        <f>-'ESTRUCTURA DE COSTOS'!I8</f>
        <v>-123847530.00000001</v>
      </c>
      <c r="G10" s="177">
        <f>-'ESTRUCTURA DE COSTOS'!J8</f>
        <v>-135319906.50000003</v>
      </c>
      <c r="H10" s="177">
        <f>-'ESTRUCTURA DE COSTOS'!K8</f>
        <v>-147893901.82500005</v>
      </c>
      <c r="I10" s="177">
        <f>-'ESTRUCTURA DE COSTOS'!L8</f>
        <v>-161677396.91625005</v>
      </c>
      <c r="J10" s="177">
        <f>-'ESTRUCTURA DE COSTOS'!M8</f>
        <v>-176788946.76206258</v>
      </c>
    </row>
    <row r="11" spans="2:10" ht="13" thickBot="1">
      <c r="B11" s="176" t="s">
        <v>49</v>
      </c>
      <c r="C11" s="176" t="s">
        <v>52</v>
      </c>
      <c r="D11" s="203"/>
      <c r="E11" s="177">
        <f>-DEPRECIACION!$G$9</f>
        <v>-526666.66666666663</v>
      </c>
      <c r="F11" s="177">
        <f>-DEPRECIACION!$G$9</f>
        <v>-526666.66666666663</v>
      </c>
      <c r="G11" s="177">
        <f>-DEPRECIACION!$G$9</f>
        <v>-526666.66666666663</v>
      </c>
      <c r="H11" s="177">
        <f>-DEPRECIACION!$G$9</f>
        <v>-526666.66666666663</v>
      </c>
      <c r="I11" s="177">
        <f>-DEPRECIACION!$G$9</f>
        <v>-526666.66666666663</v>
      </c>
      <c r="J11" s="177">
        <f>-DEPRECIACION!$G$9</f>
        <v>-526666.66666666663</v>
      </c>
    </row>
    <row r="12" spans="2:10" ht="13" thickBot="1">
      <c r="B12" s="178" t="s">
        <v>53</v>
      </c>
      <c r="C12" s="178" t="s">
        <v>54</v>
      </c>
      <c r="D12" s="204"/>
      <c r="E12" s="179">
        <f t="shared" ref="E12:J12" si="0">SUM(E6:E11)</f>
        <v>-12017766.666666666</v>
      </c>
      <c r="F12" s="179">
        <f t="shared" si="0"/>
        <v>22784303.333333317</v>
      </c>
      <c r="G12" s="179">
        <f t="shared" si="0"/>
        <v>53183076.833333306</v>
      </c>
      <c r="H12" s="179">
        <f t="shared" si="0"/>
        <v>94211638.046794847</v>
      </c>
      <c r="I12" s="179">
        <f t="shared" si="0"/>
        <v>149090003.73365137</v>
      </c>
      <c r="J12" s="179">
        <f t="shared" si="0"/>
        <v>221981688.01089293</v>
      </c>
    </row>
    <row r="13" spans="2:10" ht="13" thickBot="1">
      <c r="B13" s="176" t="s">
        <v>49</v>
      </c>
      <c r="C13" s="176" t="s">
        <v>55</v>
      </c>
      <c r="D13" s="203"/>
      <c r="E13" s="177">
        <f>'G. FINANCIERO'!$E$5</f>
        <v>-2839324.8655647454</v>
      </c>
      <c r="F13" s="177">
        <f>'G. FINANCIERO'!$E$5</f>
        <v>-2839324.8655647454</v>
      </c>
      <c r="G13" s="177">
        <f>'G. FINANCIERO'!$E$5</f>
        <v>-2839324.8655647454</v>
      </c>
      <c r="H13" s="177">
        <f>'G. FINANCIERO'!$E$5</f>
        <v>-2839324.8655647454</v>
      </c>
      <c r="I13" s="177">
        <f>'G. FINANCIERO'!$E$5</f>
        <v>-2839324.8655647454</v>
      </c>
      <c r="J13" s="177">
        <f>'G. FINANCIERO'!$E$5</f>
        <v>-2839324.8655647454</v>
      </c>
    </row>
    <row r="14" spans="2:10" ht="13" thickBot="1">
      <c r="B14" s="178" t="s">
        <v>53</v>
      </c>
      <c r="C14" s="178" t="s">
        <v>56</v>
      </c>
      <c r="D14" s="204"/>
      <c r="E14" s="179">
        <f t="shared" ref="E14:J14" si="1">SUM(E12:E13)</f>
        <v>-14857091.532231411</v>
      </c>
      <c r="F14" s="179">
        <f t="shared" si="1"/>
        <v>19944978.467768572</v>
      </c>
      <c r="G14" s="179">
        <f t="shared" si="1"/>
        <v>50343751.967768557</v>
      </c>
      <c r="H14" s="179">
        <f t="shared" si="1"/>
        <v>91372313.181230098</v>
      </c>
      <c r="I14" s="179">
        <f t="shared" si="1"/>
        <v>146250678.86808664</v>
      </c>
      <c r="J14" s="179">
        <f t="shared" si="1"/>
        <v>219142363.14532819</v>
      </c>
    </row>
    <row r="15" spans="2:10" ht="13" thickBot="1">
      <c r="B15" s="176" t="s">
        <v>49</v>
      </c>
      <c r="C15" s="176" t="s">
        <v>57</v>
      </c>
      <c r="D15" s="203"/>
      <c r="E15" s="177">
        <f t="shared" ref="E15:J15" si="2">+IF(E14&gt;0,-(E14*0.17),0)</f>
        <v>0</v>
      </c>
      <c r="F15" s="177">
        <f t="shared" si="2"/>
        <v>-3390646.3395206574</v>
      </c>
      <c r="G15" s="177">
        <f t="shared" si="2"/>
        <v>-8558437.8345206548</v>
      </c>
      <c r="H15" s="177">
        <f t="shared" si="2"/>
        <v>-15533293.240809118</v>
      </c>
      <c r="I15" s="177">
        <f t="shared" si="2"/>
        <v>-24862615.407574728</v>
      </c>
      <c r="J15" s="177">
        <f t="shared" si="2"/>
        <v>-37254201.734705798</v>
      </c>
    </row>
    <row r="16" spans="2:10" ht="13" thickBot="1">
      <c r="B16" s="176" t="s">
        <v>47</v>
      </c>
      <c r="C16" s="176" t="s">
        <v>52</v>
      </c>
      <c r="D16" s="203"/>
      <c r="E16" s="177">
        <f t="shared" ref="E16:J16" si="3">-(E11)</f>
        <v>526666.66666666663</v>
      </c>
      <c r="F16" s="177">
        <f t="shared" si="3"/>
        <v>526666.66666666663</v>
      </c>
      <c r="G16" s="177">
        <f t="shared" si="3"/>
        <v>526666.66666666663</v>
      </c>
      <c r="H16" s="177">
        <f t="shared" si="3"/>
        <v>526666.66666666663</v>
      </c>
      <c r="I16" s="177">
        <f t="shared" si="3"/>
        <v>526666.66666666663</v>
      </c>
      <c r="J16" s="177">
        <f t="shared" si="3"/>
        <v>526666.66666666663</v>
      </c>
    </row>
    <row r="17" spans="2:10" ht="13" thickBot="1">
      <c r="B17" s="176" t="s">
        <v>49</v>
      </c>
      <c r="C17" s="176" t="s">
        <v>58</v>
      </c>
      <c r="D17" s="203"/>
      <c r="E17" s="177">
        <f>-'G. FINANCIERO'!$C$7</f>
        <v>-2061000</v>
      </c>
      <c r="F17" s="177">
        <f>-'G. FINANCIERO'!$C$7</f>
        <v>-2061000</v>
      </c>
      <c r="G17" s="177">
        <f>-'G. FINANCIERO'!$C$7</f>
        <v>-2061000</v>
      </c>
      <c r="H17" s="177">
        <f>-'G. FINANCIERO'!$C$7</f>
        <v>-2061000</v>
      </c>
      <c r="I17" s="177">
        <f>-'G. FINANCIERO'!$C$7</f>
        <v>-2061000</v>
      </c>
      <c r="J17" s="177">
        <f>-'G. FINANCIERO'!$C$7</f>
        <v>-2061000</v>
      </c>
    </row>
    <row r="18" spans="2:10" ht="13" thickBot="1">
      <c r="B18" s="176" t="s">
        <v>49</v>
      </c>
      <c r="C18" s="176" t="s">
        <v>59</v>
      </c>
      <c r="D18" s="205">
        <f>-INVERSION!D20</f>
        <v>-20610000</v>
      </c>
      <c r="E18" s="177"/>
      <c r="F18" s="177"/>
      <c r="G18" s="177"/>
      <c r="H18" s="177"/>
      <c r="I18" s="177"/>
      <c r="J18" s="177"/>
    </row>
    <row r="19" spans="2:10" ht="13" thickBot="1">
      <c r="B19" s="176"/>
      <c r="C19" s="176" t="s">
        <v>81</v>
      </c>
      <c r="D19" s="206">
        <f>'G. FINANCIERO'!C5</f>
        <v>12366000</v>
      </c>
      <c r="E19" s="177"/>
      <c r="F19" s="177"/>
      <c r="G19" s="177"/>
      <c r="H19" s="177"/>
      <c r="I19" s="177"/>
      <c r="J19" s="177"/>
    </row>
    <row r="20" spans="2:10" ht="13" thickBot="1">
      <c r="B20" s="180" t="s">
        <v>53</v>
      </c>
      <c r="C20" s="180" t="s">
        <v>60</v>
      </c>
      <c r="D20" s="181">
        <f>SUM(D18:D19)</f>
        <v>-8244000</v>
      </c>
      <c r="E20" s="182">
        <f t="shared" ref="E20:J20" si="4">SUM(E14:E19)</f>
        <v>-16391424.865564745</v>
      </c>
      <c r="F20" s="182">
        <f t="shared" si="4"/>
        <v>15019998.794914581</v>
      </c>
      <c r="G20" s="182">
        <f t="shared" si="4"/>
        <v>40250980.799914569</v>
      </c>
      <c r="H20" s="182">
        <f t="shared" si="4"/>
        <v>74304686.607087657</v>
      </c>
      <c r="I20" s="182">
        <f t="shared" si="4"/>
        <v>119853730.12717858</v>
      </c>
      <c r="J20" s="182">
        <f t="shared" si="4"/>
        <v>180353828.07728904</v>
      </c>
    </row>
    <row r="21" spans="2:10" ht="13" thickBot="1">
      <c r="B21" s="183"/>
      <c r="C21" s="183"/>
      <c r="D21" s="184"/>
      <c r="E21" s="184"/>
      <c r="F21" s="184"/>
      <c r="G21" s="184"/>
      <c r="H21" s="184"/>
      <c r="I21" s="184"/>
      <c r="J21" s="184"/>
    </row>
    <row r="22" spans="2:10" ht="13" customHeight="1" thickBot="1">
      <c r="B22" s="185" t="s">
        <v>36</v>
      </c>
      <c r="C22" s="186"/>
      <c r="D22" s="187">
        <f>NPV(D24,E20:J20)+D20</f>
        <v>195369906.18668318</v>
      </c>
      <c r="E22" s="184"/>
      <c r="F22" s="188"/>
      <c r="G22" s="184"/>
      <c r="H22" s="184"/>
      <c r="I22" s="184"/>
      <c r="J22" s="184"/>
    </row>
    <row r="23" spans="2:10" ht="13" customHeight="1" thickBot="1">
      <c r="B23" s="185" t="s">
        <v>35</v>
      </c>
      <c r="C23" s="186"/>
      <c r="D23" s="198">
        <f>IRR(D20:J20)</f>
        <v>1.1222172349230157</v>
      </c>
      <c r="E23" s="183"/>
      <c r="F23" s="189"/>
      <c r="G23" s="183"/>
      <c r="H23" s="183"/>
      <c r="I23" s="183"/>
      <c r="J23" s="183"/>
    </row>
    <row r="24" spans="2:10" ht="13" customHeight="1" thickBot="1">
      <c r="B24" s="185" t="s">
        <v>82</v>
      </c>
      <c r="C24" s="185"/>
      <c r="D24" s="198">
        <v>0.15</v>
      </c>
      <c r="E24" s="183"/>
      <c r="F24" s="183"/>
      <c r="G24" s="183"/>
      <c r="H24" s="183"/>
      <c r="I24" s="183"/>
      <c r="J24" s="183"/>
    </row>
    <row r="27" spans="2:10">
      <c r="C27" s="134" t="s">
        <v>132</v>
      </c>
      <c r="D27" s="134"/>
      <c r="E27" s="131">
        <v>0.3</v>
      </c>
    </row>
    <row r="28" spans="2:10">
      <c r="C28" s="134" t="s">
        <v>133</v>
      </c>
      <c r="D28" s="134"/>
      <c r="E28" s="117">
        <v>50000</v>
      </c>
    </row>
    <row r="29" spans="2:10">
      <c r="C29" s="134" t="s">
        <v>130</v>
      </c>
      <c r="D29" s="134"/>
      <c r="E29" s="131">
        <v>0.1</v>
      </c>
    </row>
    <row r="34" spans="1:4" ht="16" thickBot="1">
      <c r="C34" s="192" t="s">
        <v>132</v>
      </c>
      <c r="D34" s="193" t="s">
        <v>36</v>
      </c>
    </row>
    <row r="35" spans="1:4" ht="13" thickBot="1">
      <c r="C35" s="194">
        <v>0.05</v>
      </c>
      <c r="D35" s="195">
        <v>12428476.569774456</v>
      </c>
    </row>
    <row r="36" spans="1:4" ht="13" thickBot="1">
      <c r="C36" s="194">
        <v>0.1</v>
      </c>
      <c r="D36" s="195">
        <v>41001309.400372759</v>
      </c>
    </row>
    <row r="37" spans="1:4" ht="13" thickBot="1">
      <c r="C37" s="194">
        <v>0.15</v>
      </c>
      <c r="D37" s="195">
        <v>73187535.701469153</v>
      </c>
    </row>
    <row r="38" spans="1:4" ht="13" thickBot="1">
      <c r="C38" s="194">
        <v>0.2</v>
      </c>
      <c r="D38" s="195">
        <v>109367561.87008296</v>
      </c>
    </row>
    <row r="39" spans="1:4" ht="13" thickBot="1">
      <c r="A39" s="122"/>
      <c r="C39" s="194">
        <v>0.25</v>
      </c>
      <c r="D39" s="195">
        <v>149949445.5219993</v>
      </c>
    </row>
    <row r="40" spans="1:4" ht="13" thickBot="1">
      <c r="C40" s="194">
        <v>0.3</v>
      </c>
      <c r="D40" s="195">
        <v>195369906.18668318</v>
      </c>
    </row>
    <row r="41" spans="1:4" ht="13" thickBot="1">
      <c r="C41" s="194">
        <v>0.35</v>
      </c>
      <c r="D41" s="195">
        <v>246095336.00219232</v>
      </c>
    </row>
    <row r="42" spans="1:4" ht="13" thickBot="1">
      <c r="C42" s="194">
        <v>0.4</v>
      </c>
      <c r="D42" s="195">
        <v>302622810.41009074</v>
      </c>
    </row>
    <row r="43" spans="1:4" ht="13" thickBot="1">
      <c r="C43" s="194">
        <v>0.45</v>
      </c>
      <c r="D43" s="195">
        <v>365481098.85036224</v>
      </c>
    </row>
    <row r="44" spans="1:4">
      <c r="C44" s="196">
        <v>0.5</v>
      </c>
      <c r="D44" s="197">
        <v>435231675.45632291</v>
      </c>
    </row>
    <row r="45" spans="1:4">
      <c r="C45" s="132"/>
      <c r="D45" s="133"/>
    </row>
    <row r="46" spans="1:4">
      <c r="C46" s="132"/>
      <c r="D46" s="133"/>
    </row>
    <row r="47" spans="1:4">
      <c r="C47" s="132"/>
      <c r="D47" s="133"/>
    </row>
    <row r="48" spans="1:4" ht="13" thickBot="1"/>
    <row r="49" spans="3:4" ht="16" thickBot="1">
      <c r="C49" s="175" t="s">
        <v>133</v>
      </c>
      <c r="D49" s="175" t="s">
        <v>36</v>
      </c>
    </row>
    <row r="50" spans="3:4" ht="13" thickBot="1">
      <c r="C50" s="191">
        <v>25000</v>
      </c>
      <c r="D50" s="191">
        <v>22321890.626882717</v>
      </c>
    </row>
    <row r="51" spans="3:4" ht="13" thickBot="1">
      <c r="C51" s="191">
        <v>30000</v>
      </c>
      <c r="D51" s="191">
        <v>57444256.890377134</v>
      </c>
    </row>
    <row r="52" spans="3:4" ht="13" thickBot="1">
      <c r="C52" s="191">
        <v>35000</v>
      </c>
      <c r="D52" s="191">
        <v>92566623.153871506</v>
      </c>
    </row>
    <row r="53" spans="3:4" ht="13" thickBot="1">
      <c r="C53" s="191">
        <v>40000</v>
      </c>
      <c r="D53" s="191">
        <v>126980069.68994012</v>
      </c>
    </row>
    <row r="54" spans="3:4" ht="13" thickBot="1">
      <c r="C54" s="191">
        <v>45000</v>
      </c>
      <c r="D54" s="191">
        <v>161174987.93831164</v>
      </c>
    </row>
    <row r="55" spans="3:4" ht="13" thickBot="1">
      <c r="C55" s="191">
        <v>50000</v>
      </c>
      <c r="D55" s="191">
        <v>195369906.18668318</v>
      </c>
    </row>
    <row r="56" spans="3:4" ht="13" thickBot="1">
      <c r="C56" s="191">
        <v>55000</v>
      </c>
      <c r="D56" s="191">
        <v>229564824.43505466</v>
      </c>
    </row>
    <row r="57" spans="3:4" ht="13" thickBot="1">
      <c r="C57" s="191">
        <v>60000</v>
      </c>
      <c r="D57" s="191">
        <v>263759742.68342614</v>
      </c>
    </row>
    <row r="58" spans="3:4" ht="13" thickBot="1">
      <c r="C58" s="191">
        <v>65000</v>
      </c>
      <c r="D58" s="191">
        <v>297689622.28873622</v>
      </c>
    </row>
    <row r="59" spans="3:4" ht="13" thickBot="1">
      <c r="C59" s="191">
        <v>70000</v>
      </c>
      <c r="D59" s="191">
        <v>331064105.75449902</v>
      </c>
    </row>
    <row r="60" spans="3:4">
      <c r="C60" s="133"/>
      <c r="D60" s="121"/>
    </row>
    <row r="61" spans="3:4">
      <c r="C61" s="133"/>
      <c r="D61" s="121"/>
    </row>
    <row r="62" spans="3:4">
      <c r="C62" s="133"/>
      <c r="D62" s="121"/>
    </row>
    <row r="63" spans="3:4" ht="13" thickBot="1"/>
    <row r="64" spans="3:4" ht="16" thickBot="1">
      <c r="C64" s="175" t="s">
        <v>134</v>
      </c>
      <c r="D64" s="175" t="s">
        <v>36</v>
      </c>
    </row>
    <row r="65" spans="3:4" ht="13" thickBot="1">
      <c r="C65" s="190">
        <v>0.04</v>
      </c>
      <c r="D65" s="191">
        <v>240326790.21024233</v>
      </c>
    </row>
    <row r="66" spans="3:4" ht="13" thickBot="1">
      <c r="C66" s="190">
        <v>0.05</v>
      </c>
      <c r="D66" s="191">
        <v>233274407.53094852</v>
      </c>
    </row>
    <row r="67" spans="3:4" ht="13" thickBot="1">
      <c r="C67" s="190">
        <v>0.06</v>
      </c>
      <c r="D67" s="191">
        <v>226050675.05015779</v>
      </c>
    </row>
    <row r="68" spans="3:4" ht="13" thickBot="1">
      <c r="C68" s="190">
        <v>7.0000000000000007E-2</v>
      </c>
      <c r="D68" s="191">
        <v>218652015.83958411</v>
      </c>
    </row>
    <row r="69" spans="3:4" ht="13" thickBot="1">
      <c r="C69" s="190">
        <v>0.08</v>
      </c>
      <c r="D69" s="191">
        <v>211074799.64564967</v>
      </c>
    </row>
    <row r="70" spans="3:4" ht="13" thickBot="1">
      <c r="C70" s="190">
        <v>0.09</v>
      </c>
      <c r="D70" s="191">
        <v>203315342.47611076</v>
      </c>
    </row>
    <row r="71" spans="3:4" ht="13" thickBot="1">
      <c r="C71" s="190">
        <v>0.1</v>
      </c>
      <c r="D71" s="191">
        <v>195369906.18668318</v>
      </c>
    </row>
    <row r="72" spans="3:4" ht="13" thickBot="1">
      <c r="C72" s="190">
        <v>0.11</v>
      </c>
      <c r="D72" s="191">
        <v>187234698.06766796</v>
      </c>
    </row>
    <row r="73" spans="3:4" ht="13" thickBot="1">
      <c r="C73" s="190">
        <v>0.12</v>
      </c>
      <c r="D73" s="191">
        <v>178905870.4305771</v>
      </c>
    </row>
    <row r="74" spans="3:4" ht="13" thickBot="1">
      <c r="C74" s="190">
        <v>0.13</v>
      </c>
      <c r="D74" s="191">
        <v>170379520.1947594</v>
      </c>
    </row>
  </sheetData>
  <mergeCells count="6">
    <mergeCell ref="C29:D29"/>
    <mergeCell ref="C28:D28"/>
    <mergeCell ref="C27:D27"/>
    <mergeCell ref="B22:C22"/>
    <mergeCell ref="B23:C23"/>
    <mergeCell ref="B24:C24"/>
  </mergeCells>
  <phoneticPr fontId="1" type="noConversion"/>
  <pageMargins left="0.75" right="0.75" top="1" bottom="1" header="0" footer="0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8" sqref="B8"/>
    </sheetView>
  </sheetViews>
  <sheetFormatPr baseColWidth="10" defaultRowHeight="12" x14ac:dyDescent="0"/>
  <sheetData>
    <row r="3" spans="2:2">
      <c r="B3" t="s">
        <v>124</v>
      </c>
    </row>
    <row r="4" spans="2:2">
      <c r="B4" t="s">
        <v>125</v>
      </c>
    </row>
    <row r="5" spans="2:2">
      <c r="B5" t="s">
        <v>126</v>
      </c>
    </row>
    <row r="6" spans="2:2">
      <c r="B6" t="s">
        <v>127</v>
      </c>
    </row>
    <row r="7" spans="2:2">
      <c r="B7" t="s">
        <v>128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B3:D20"/>
  <sheetViews>
    <sheetView zoomScale="110" zoomScaleNormal="110" zoomScalePageLayoutView="110" workbookViewId="0">
      <selection activeCell="F30" sqref="F30"/>
    </sheetView>
  </sheetViews>
  <sheetFormatPr baseColWidth="10" defaultColWidth="11.5" defaultRowHeight="12" x14ac:dyDescent="0"/>
  <cols>
    <col min="2" max="2" width="11" bestFit="1" customWidth="1"/>
    <col min="3" max="3" width="19.5" bestFit="1" customWidth="1"/>
  </cols>
  <sheetData>
    <row r="3" spans="2:4" ht="13" thickBot="1"/>
    <row r="4" spans="2:4" ht="13" thickBot="1">
      <c r="B4" s="139" t="s">
        <v>0</v>
      </c>
      <c r="C4" s="140"/>
      <c r="D4" s="8" t="s">
        <v>29</v>
      </c>
    </row>
    <row r="5" spans="2:4" ht="13" thickBot="1">
      <c r="B5" s="137" t="s">
        <v>2</v>
      </c>
      <c r="C5" s="138"/>
      <c r="D5" s="45"/>
    </row>
    <row r="6" spans="2:4">
      <c r="B6" s="40"/>
      <c r="C6" s="41" t="s">
        <v>11</v>
      </c>
      <c r="D6" s="14"/>
    </row>
    <row r="7" spans="2:4" ht="13" thickBot="1">
      <c r="B7" s="40"/>
      <c r="C7" s="41" t="s">
        <v>12</v>
      </c>
      <c r="D7" s="18"/>
    </row>
    <row r="8" spans="2:4" ht="13" thickBot="1">
      <c r="B8" s="137" t="s">
        <v>5</v>
      </c>
      <c r="C8" s="141"/>
      <c r="D8" s="46">
        <v>5000000</v>
      </c>
    </row>
    <row r="9" spans="2:4" ht="13" thickBot="1">
      <c r="B9" s="137" t="s">
        <v>6</v>
      </c>
      <c r="C9" s="138"/>
      <c r="D9" s="46">
        <v>2500000</v>
      </c>
    </row>
    <row r="10" spans="2:4" ht="13" thickBot="1">
      <c r="B10" s="137" t="s">
        <v>7</v>
      </c>
      <c r="C10" s="138"/>
      <c r="D10" s="45"/>
    </row>
    <row r="11" spans="2:4">
      <c r="B11" s="42">
        <v>7</v>
      </c>
      <c r="C11" s="41" t="s">
        <v>33</v>
      </c>
      <c r="D11" s="14">
        <f>400000*B11</f>
        <v>2800000</v>
      </c>
    </row>
    <row r="12" spans="2:4">
      <c r="B12" s="42">
        <v>1</v>
      </c>
      <c r="C12" s="41" t="s">
        <v>34</v>
      </c>
      <c r="D12" s="14">
        <v>300000</v>
      </c>
    </row>
    <row r="13" spans="2:4" ht="13" thickBot="1">
      <c r="B13" s="43">
        <v>1</v>
      </c>
      <c r="C13" s="13" t="s">
        <v>38</v>
      </c>
      <c r="D13" s="18">
        <v>60000</v>
      </c>
    </row>
    <row r="14" spans="2:4" ht="13" thickBot="1">
      <c r="B14" s="137" t="s">
        <v>1</v>
      </c>
      <c r="C14" s="138"/>
      <c r="D14" s="45"/>
    </row>
    <row r="15" spans="2:4">
      <c r="B15" s="43"/>
      <c r="C15" s="13" t="s">
        <v>10</v>
      </c>
      <c r="D15" s="14">
        <v>300000</v>
      </c>
    </row>
    <row r="16" spans="2:4">
      <c r="B16" s="43"/>
      <c r="C16" s="95" t="s">
        <v>105</v>
      </c>
      <c r="D16" s="14">
        <f>'CREACIÓN CURSOS'!D14</f>
        <v>4400000</v>
      </c>
    </row>
    <row r="17" spans="2:4">
      <c r="B17" s="43"/>
      <c r="C17" s="13" t="s">
        <v>84</v>
      </c>
      <c r="D17" s="14">
        <v>50000</v>
      </c>
    </row>
    <row r="18" spans="2:4">
      <c r="B18" s="43"/>
      <c r="C18" s="13" t="s">
        <v>83</v>
      </c>
      <c r="D18" s="14">
        <v>200000</v>
      </c>
    </row>
    <row r="19" spans="2:4" ht="13" thickBot="1">
      <c r="B19" s="44"/>
      <c r="C19" s="96" t="s">
        <v>106</v>
      </c>
      <c r="D19" s="18">
        <v>5000000</v>
      </c>
    </row>
    <row r="20" spans="2:4" ht="13" thickBot="1">
      <c r="B20" s="135" t="s">
        <v>37</v>
      </c>
      <c r="C20" s="136"/>
      <c r="D20" s="47">
        <f>SUM(D5:D19)</f>
        <v>20610000</v>
      </c>
    </row>
  </sheetData>
  <mergeCells count="7">
    <mergeCell ref="B20:C20"/>
    <mergeCell ref="B5:C5"/>
    <mergeCell ref="B4:C4"/>
    <mergeCell ref="B14:C14"/>
    <mergeCell ref="B9:C9"/>
    <mergeCell ref="B10:C10"/>
    <mergeCell ref="B8:C8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topLeftCell="A7" zoomScale="110" zoomScaleNormal="110" zoomScalePageLayoutView="110" workbookViewId="0">
      <selection activeCell="C23" sqref="C23"/>
    </sheetView>
  </sheetViews>
  <sheetFormatPr baseColWidth="10" defaultColWidth="11.5" defaultRowHeight="12" x14ac:dyDescent="0"/>
  <cols>
    <col min="1" max="1" width="2.6640625" customWidth="1"/>
    <col min="2" max="2" width="3.1640625" customWidth="1"/>
    <col min="3" max="3" width="16.1640625" bestFit="1" customWidth="1"/>
    <col min="4" max="4" width="4.1640625" customWidth="1"/>
    <col min="5" max="5" width="7.5" bestFit="1" customWidth="1"/>
    <col min="6" max="6" width="5.5" bestFit="1" customWidth="1"/>
    <col min="7" max="7" width="7.5" bestFit="1" customWidth="1"/>
    <col min="8" max="8" width="3.83203125" customWidth="1"/>
    <col min="9" max="9" width="7.5" bestFit="1" customWidth="1"/>
    <col min="10" max="10" width="4" bestFit="1" customWidth="1"/>
    <col min="11" max="11" width="7.5" bestFit="1" customWidth="1"/>
    <col min="12" max="12" width="5.5" bestFit="1" customWidth="1"/>
    <col min="13" max="13" width="7.5" bestFit="1" customWidth="1"/>
    <col min="14" max="14" width="5.5" bestFit="1" customWidth="1"/>
    <col min="15" max="15" width="7.5" bestFit="1" customWidth="1"/>
  </cols>
  <sheetData>
    <row r="2" spans="2:16"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</row>
    <row r="3" spans="2:16" ht="13" thickBot="1"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2:16" ht="13" thickBot="1">
      <c r="B4" s="88"/>
      <c r="C4" s="88"/>
      <c r="D4" s="154" t="s">
        <v>92</v>
      </c>
      <c r="E4" s="156"/>
      <c r="F4" s="154" t="s">
        <v>95</v>
      </c>
      <c r="G4" s="155"/>
      <c r="H4" s="156" t="s">
        <v>96</v>
      </c>
      <c r="I4" s="156"/>
      <c r="J4" s="154" t="s">
        <v>97</v>
      </c>
      <c r="K4" s="155"/>
      <c r="L4" s="156" t="s">
        <v>98</v>
      </c>
      <c r="M4" s="156"/>
      <c r="N4" s="154" t="s">
        <v>99</v>
      </c>
      <c r="O4" s="155"/>
      <c r="P4" s="88"/>
    </row>
    <row r="5" spans="2:16" ht="13" thickBot="1">
      <c r="B5" s="88"/>
      <c r="C5" s="88"/>
      <c r="D5" s="89" t="s">
        <v>90</v>
      </c>
      <c r="E5" s="90" t="s">
        <v>91</v>
      </c>
      <c r="F5" s="89" t="s">
        <v>90</v>
      </c>
      <c r="G5" s="91" t="s">
        <v>91</v>
      </c>
      <c r="H5" s="90" t="s">
        <v>90</v>
      </c>
      <c r="I5" s="90" t="s">
        <v>91</v>
      </c>
      <c r="J5" s="89" t="s">
        <v>90</v>
      </c>
      <c r="K5" s="91" t="s">
        <v>91</v>
      </c>
      <c r="L5" s="90" t="s">
        <v>90</v>
      </c>
      <c r="M5" s="90" t="s">
        <v>91</v>
      </c>
      <c r="N5" s="89" t="s">
        <v>90</v>
      </c>
      <c r="O5" s="91" t="s">
        <v>91</v>
      </c>
      <c r="P5" s="88"/>
    </row>
    <row r="6" spans="2:16" ht="13" thickBot="1">
      <c r="B6" s="88"/>
      <c r="C6" s="158" t="s">
        <v>88</v>
      </c>
      <c r="D6" s="116">
        <f>12*1*20</f>
        <v>240</v>
      </c>
      <c r="E6" s="93">
        <v>180000</v>
      </c>
      <c r="F6" s="93">
        <f>20*1.3*12</f>
        <v>312</v>
      </c>
      <c r="G6" s="93">
        <v>180000</v>
      </c>
      <c r="H6" s="93">
        <f>F6*(1+$C$29)</f>
        <v>384</v>
      </c>
      <c r="I6" s="93">
        <v>180000</v>
      </c>
      <c r="J6" s="93">
        <f>H6*(1+$C$29)</f>
        <v>472.61538461538464</v>
      </c>
      <c r="K6" s="93">
        <v>180000</v>
      </c>
      <c r="L6" s="93">
        <f>J6*(1+$C$29)</f>
        <v>581.68047337278108</v>
      </c>
      <c r="M6" s="93">
        <v>180000</v>
      </c>
      <c r="N6" s="93">
        <f>L6*(1+$C$29)</f>
        <v>715.91442876649978</v>
      </c>
      <c r="O6" s="93">
        <v>180000</v>
      </c>
      <c r="P6" s="88"/>
    </row>
    <row r="7" spans="2:16" ht="13" thickBot="1">
      <c r="B7" s="88"/>
      <c r="C7" s="159"/>
      <c r="D7" s="148">
        <f>D6*E6</f>
        <v>43200000</v>
      </c>
      <c r="E7" s="153"/>
      <c r="F7" s="148">
        <f>F6*G6</f>
        <v>56160000</v>
      </c>
      <c r="G7" s="149"/>
      <c r="H7" s="153">
        <f>H6*I6</f>
        <v>69120000</v>
      </c>
      <c r="I7" s="153"/>
      <c r="J7" s="148">
        <f>J6*K6</f>
        <v>85070769.230769232</v>
      </c>
      <c r="K7" s="149"/>
      <c r="L7" s="153">
        <f>L6*M6</f>
        <v>104702485.2071006</v>
      </c>
      <c r="M7" s="153"/>
      <c r="N7" s="148">
        <f>N6*O6</f>
        <v>128864597.17796996</v>
      </c>
      <c r="O7" s="149"/>
      <c r="P7" s="88"/>
    </row>
    <row r="8" spans="2:16" ht="13" thickBot="1">
      <c r="B8" s="88"/>
      <c r="C8" s="158" t="s">
        <v>113</v>
      </c>
      <c r="D8" s="93">
        <f>D10*0.9</f>
        <v>90</v>
      </c>
      <c r="E8" s="93">
        <v>70000</v>
      </c>
      <c r="F8" s="93">
        <f>(F10-D10)*0.9+0.2*D10</f>
        <v>47</v>
      </c>
      <c r="G8" s="93">
        <v>70000</v>
      </c>
      <c r="H8" s="93">
        <f>(H10-F10)*0.9+0.2*F10</f>
        <v>61.1</v>
      </c>
      <c r="I8" s="93">
        <v>70000</v>
      </c>
      <c r="J8" s="93">
        <f>(J10-H10)*0.9+0.2*H10</f>
        <v>79.430000000000021</v>
      </c>
      <c r="K8" s="93">
        <v>70000</v>
      </c>
      <c r="L8" s="93">
        <f>(L10-J10)*0.9+0.2*J10</f>
        <v>103.259</v>
      </c>
      <c r="M8" s="93">
        <v>70000</v>
      </c>
      <c r="N8" s="93">
        <f>(N10-L10)*0.9+0.2*L10</f>
        <v>134.23670000000001</v>
      </c>
      <c r="O8" s="93">
        <v>70000</v>
      </c>
      <c r="P8" s="88"/>
    </row>
    <row r="9" spans="2:16" ht="13" thickBot="1">
      <c r="B9" s="88"/>
      <c r="C9" s="160"/>
      <c r="D9" s="151">
        <f>D8*E8</f>
        <v>6300000</v>
      </c>
      <c r="E9" s="150"/>
      <c r="F9" s="151">
        <f>F8*G8</f>
        <v>3290000</v>
      </c>
      <c r="G9" s="152"/>
      <c r="H9" s="150">
        <f>H8*I8</f>
        <v>4277000</v>
      </c>
      <c r="I9" s="150"/>
      <c r="J9" s="151">
        <f>J8*K8</f>
        <v>5560100.0000000019</v>
      </c>
      <c r="K9" s="152"/>
      <c r="L9" s="150">
        <f>L8*M8</f>
        <v>7228130</v>
      </c>
      <c r="M9" s="150"/>
      <c r="N9" s="151">
        <f>N8*O8</f>
        <v>9396569</v>
      </c>
      <c r="O9" s="152"/>
      <c r="P9" s="88"/>
    </row>
    <row r="10" spans="2:16" ht="13" thickBot="1">
      <c r="B10" s="88"/>
      <c r="C10" s="159" t="s">
        <v>89</v>
      </c>
      <c r="D10" s="93">
        <v>100</v>
      </c>
      <c r="E10" s="93">
        <f>$C$23*12</f>
        <v>600000</v>
      </c>
      <c r="F10" s="93">
        <f>D10*(1+$C$26)</f>
        <v>130</v>
      </c>
      <c r="G10" s="93">
        <f>$C$23*12</f>
        <v>600000</v>
      </c>
      <c r="H10" s="93">
        <f>F10*(1+$C$26)</f>
        <v>169</v>
      </c>
      <c r="I10" s="93">
        <f>$C$23*12</f>
        <v>600000</v>
      </c>
      <c r="J10" s="93">
        <f>H10*(1+$C$26)</f>
        <v>219.70000000000002</v>
      </c>
      <c r="K10" s="93">
        <f>$C$23*12</f>
        <v>600000</v>
      </c>
      <c r="L10" s="93">
        <f>J10*(1+$C$26)</f>
        <v>285.61</v>
      </c>
      <c r="M10" s="93">
        <f>$C$23*12</f>
        <v>600000</v>
      </c>
      <c r="N10" s="93">
        <f>L10*(1+$C$26)</f>
        <v>371.29300000000001</v>
      </c>
      <c r="O10" s="93">
        <f>$C$23*12</f>
        <v>600000</v>
      </c>
      <c r="P10" s="88"/>
    </row>
    <row r="11" spans="2:16" ht="13" thickBot="1">
      <c r="B11" s="88"/>
      <c r="C11" s="159"/>
      <c r="D11" s="148">
        <f>D10*E10</f>
        <v>60000000</v>
      </c>
      <c r="E11" s="153"/>
      <c r="F11" s="148">
        <f>F10*G10</f>
        <v>78000000</v>
      </c>
      <c r="G11" s="149"/>
      <c r="H11" s="153">
        <f>H10*I10</f>
        <v>101400000</v>
      </c>
      <c r="I11" s="153"/>
      <c r="J11" s="148">
        <f>J10*K10</f>
        <v>131820000.00000001</v>
      </c>
      <c r="K11" s="149"/>
      <c r="L11" s="153">
        <f>L10*M10</f>
        <v>171366000</v>
      </c>
      <c r="M11" s="153"/>
      <c r="N11" s="148">
        <f>N10*O10</f>
        <v>222775800</v>
      </c>
      <c r="O11" s="149"/>
      <c r="P11" s="88"/>
    </row>
    <row r="12" spans="2:16" ht="13" thickBot="1">
      <c r="B12" s="88"/>
      <c r="C12" s="158" t="s">
        <v>121</v>
      </c>
      <c r="D12" s="93"/>
      <c r="E12" s="93"/>
      <c r="F12" s="93">
        <f>0.7*F10</f>
        <v>91</v>
      </c>
      <c r="G12" s="93">
        <f>10000*12</f>
        <v>120000</v>
      </c>
      <c r="H12" s="93">
        <f>0.7*H10</f>
        <v>118.3</v>
      </c>
      <c r="I12" s="93">
        <f>10000*12</f>
        <v>120000</v>
      </c>
      <c r="J12" s="93">
        <f>0.7*J10</f>
        <v>153.79</v>
      </c>
      <c r="K12" s="93">
        <f>10000*12</f>
        <v>120000</v>
      </c>
      <c r="L12" s="93">
        <f>0.7*L10</f>
        <v>199.92699999999999</v>
      </c>
      <c r="M12" s="93">
        <f>10000*12</f>
        <v>120000</v>
      </c>
      <c r="N12" s="93">
        <f>0.7*N10</f>
        <v>259.9051</v>
      </c>
      <c r="O12" s="93">
        <f>10000*12</f>
        <v>120000</v>
      </c>
      <c r="P12" s="88"/>
    </row>
    <row r="13" spans="2:16" ht="13" thickBot="1">
      <c r="B13" s="88"/>
      <c r="C13" s="160"/>
      <c r="D13" s="151">
        <f>D12*E12</f>
        <v>0</v>
      </c>
      <c r="E13" s="150"/>
      <c r="F13" s="151">
        <f>F12*G12</f>
        <v>10920000</v>
      </c>
      <c r="G13" s="152"/>
      <c r="H13" s="150">
        <f>H12*I12</f>
        <v>14196000</v>
      </c>
      <c r="I13" s="150"/>
      <c r="J13" s="151">
        <f>J12*K12</f>
        <v>18454800</v>
      </c>
      <c r="K13" s="152"/>
      <c r="L13" s="150">
        <f>L12*M12</f>
        <v>23991240</v>
      </c>
      <c r="M13" s="150"/>
      <c r="N13" s="151">
        <f>N12*O12</f>
        <v>31188612</v>
      </c>
      <c r="O13" s="152"/>
      <c r="P13" s="88"/>
    </row>
    <row r="14" spans="2:16" ht="13" thickBot="1">
      <c r="B14" s="88"/>
      <c r="C14" s="159" t="s">
        <v>93</v>
      </c>
      <c r="D14" s="93"/>
      <c r="E14" s="93"/>
      <c r="F14" s="93">
        <f>0.3*F10</f>
        <v>39</v>
      </c>
      <c r="G14" s="93">
        <v>50000</v>
      </c>
      <c r="H14" s="93">
        <f>0.3*H10</f>
        <v>50.699999999999996</v>
      </c>
      <c r="I14" s="93">
        <v>50000</v>
      </c>
      <c r="J14" s="93">
        <f>0.3*J10</f>
        <v>65.91</v>
      </c>
      <c r="K14" s="93">
        <v>50000</v>
      </c>
      <c r="L14" s="93">
        <f>0.3*L10</f>
        <v>85.683000000000007</v>
      </c>
      <c r="M14" s="93">
        <v>50000</v>
      </c>
      <c r="N14" s="93">
        <f>0.3*N10</f>
        <v>111.3879</v>
      </c>
      <c r="O14" s="93">
        <v>50000</v>
      </c>
      <c r="P14" s="88"/>
    </row>
    <row r="15" spans="2:16" ht="13" thickBot="1">
      <c r="B15" s="88"/>
      <c r="C15" s="159"/>
      <c r="D15" s="148">
        <f>D14*E14</f>
        <v>0</v>
      </c>
      <c r="E15" s="153"/>
      <c r="F15" s="148">
        <f>F14*G14</f>
        <v>1950000</v>
      </c>
      <c r="G15" s="149"/>
      <c r="H15" s="153">
        <f>H14*I14</f>
        <v>2535000</v>
      </c>
      <c r="I15" s="153"/>
      <c r="J15" s="148">
        <f>J14*K14</f>
        <v>3295500</v>
      </c>
      <c r="K15" s="149"/>
      <c r="L15" s="153">
        <f>L14*M14</f>
        <v>4284150</v>
      </c>
      <c r="M15" s="153"/>
      <c r="N15" s="148">
        <f>N14*O14</f>
        <v>5569395</v>
      </c>
      <c r="O15" s="149"/>
      <c r="P15" s="88"/>
    </row>
    <row r="16" spans="2:16" ht="13" thickBot="1">
      <c r="B16" s="88"/>
      <c r="C16" s="158" t="s">
        <v>94</v>
      </c>
      <c r="D16" s="93"/>
      <c r="E16" s="93"/>
      <c r="F16" s="93">
        <f>0.5*F10</f>
        <v>65</v>
      </c>
      <c r="G16" s="93">
        <v>100000</v>
      </c>
      <c r="H16" s="93">
        <f>0.5*H10</f>
        <v>84.5</v>
      </c>
      <c r="I16" s="93">
        <v>100000</v>
      </c>
      <c r="J16" s="93">
        <f>0.5*J10</f>
        <v>109.85000000000001</v>
      </c>
      <c r="K16" s="93">
        <v>100000</v>
      </c>
      <c r="L16" s="93">
        <f>0.5*L10</f>
        <v>142.80500000000001</v>
      </c>
      <c r="M16" s="93">
        <v>100000</v>
      </c>
      <c r="N16" s="93">
        <f>0.5*N10</f>
        <v>185.6465</v>
      </c>
      <c r="O16" s="93">
        <v>100000</v>
      </c>
      <c r="P16" s="88"/>
    </row>
    <row r="17" spans="2:16" ht="13" thickBot="1">
      <c r="B17" s="88"/>
      <c r="C17" s="160"/>
      <c r="D17" s="144">
        <f>D16*E16</f>
        <v>0</v>
      </c>
      <c r="E17" s="147"/>
      <c r="F17" s="144">
        <f>F16*G16</f>
        <v>6500000</v>
      </c>
      <c r="G17" s="145"/>
      <c r="H17" s="147">
        <f>H16*I16</f>
        <v>8450000</v>
      </c>
      <c r="I17" s="147"/>
      <c r="J17" s="144">
        <f>J16*K16</f>
        <v>10985000</v>
      </c>
      <c r="K17" s="145"/>
      <c r="L17" s="147">
        <f>L16*M16</f>
        <v>14280500</v>
      </c>
      <c r="M17" s="147"/>
      <c r="N17" s="144">
        <f>N16*O16</f>
        <v>18564650</v>
      </c>
      <c r="O17" s="145"/>
      <c r="P17" s="88"/>
    </row>
    <row r="18" spans="2:16" ht="13" thickBot="1">
      <c r="B18" s="88"/>
      <c r="C18" s="92" t="s">
        <v>100</v>
      </c>
      <c r="D18" s="142">
        <f>D7+D9+D11+D13+D15+D17</f>
        <v>109500000</v>
      </c>
      <c r="E18" s="146"/>
      <c r="F18" s="142">
        <f>F7+F9+F11+F13+F15+F17</f>
        <v>156820000</v>
      </c>
      <c r="G18" s="143"/>
      <c r="H18" s="146">
        <f>H7+H9+H11+H13+H15+H17</f>
        <v>199978000</v>
      </c>
      <c r="I18" s="146"/>
      <c r="J18" s="142">
        <f>J7+J9+J11+J13+J15+J17</f>
        <v>255186169.23076925</v>
      </c>
      <c r="K18" s="143"/>
      <c r="L18" s="146">
        <f>L7+L9+L11+L13+L15+L17</f>
        <v>325852505.20710063</v>
      </c>
      <c r="M18" s="146"/>
      <c r="N18" s="142">
        <f>N7+N9+N11+N13+N15+N17</f>
        <v>416359623.17796993</v>
      </c>
      <c r="O18" s="143"/>
      <c r="P18" s="88"/>
    </row>
    <row r="19" spans="2:16"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</row>
    <row r="20" spans="2:16"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</row>
    <row r="21" spans="2:16">
      <c r="C21" s="157" t="s">
        <v>108</v>
      </c>
    </row>
    <row r="22" spans="2:16">
      <c r="C22" s="157"/>
    </row>
    <row r="23" spans="2:16">
      <c r="C23" s="117">
        <f>'FLUJO CAJA PRINCIPAL'!E28</f>
        <v>50000</v>
      </c>
    </row>
    <row r="25" spans="2:16" ht="24">
      <c r="C25" s="113" t="s">
        <v>112</v>
      </c>
    </row>
    <row r="26" spans="2:16">
      <c r="C26" s="114">
        <f>'FLUJO CAJA PRINCIPAL'!E27</f>
        <v>0.3</v>
      </c>
    </row>
    <row r="28" spans="2:16" ht="24">
      <c r="C28" s="115" t="s">
        <v>114</v>
      </c>
    </row>
    <row r="29" spans="2:16">
      <c r="C29" s="120">
        <f>(F6-D6)/F6</f>
        <v>0.23076923076923078</v>
      </c>
    </row>
    <row r="30" spans="2:16">
      <c r="C30" s="119"/>
    </row>
  </sheetData>
  <mergeCells count="55">
    <mergeCell ref="C21:C22"/>
    <mergeCell ref="L13:M13"/>
    <mergeCell ref="D17:E17"/>
    <mergeCell ref="C6:C7"/>
    <mergeCell ref="C8:C9"/>
    <mergeCell ref="C10:C11"/>
    <mergeCell ref="C12:C13"/>
    <mergeCell ref="C14:C15"/>
    <mergeCell ref="D15:E15"/>
    <mergeCell ref="F15:G15"/>
    <mergeCell ref="C16:C17"/>
    <mergeCell ref="D13:E13"/>
    <mergeCell ref="D18:E18"/>
    <mergeCell ref="F18:G18"/>
    <mergeCell ref="H15:I15"/>
    <mergeCell ref="J15:K15"/>
    <mergeCell ref="N4:O4"/>
    <mergeCell ref="D7:E7"/>
    <mergeCell ref="F7:G7"/>
    <mergeCell ref="H7:I7"/>
    <mergeCell ref="J7:K7"/>
    <mergeCell ref="L7:M7"/>
    <mergeCell ref="N7:O7"/>
    <mergeCell ref="D4:E4"/>
    <mergeCell ref="L4:M4"/>
    <mergeCell ref="F4:G4"/>
    <mergeCell ref="H4:I4"/>
    <mergeCell ref="J4:K4"/>
    <mergeCell ref="N9:O9"/>
    <mergeCell ref="D11:E11"/>
    <mergeCell ref="F11:G11"/>
    <mergeCell ref="H11:I11"/>
    <mergeCell ref="J11:K11"/>
    <mergeCell ref="L11:M11"/>
    <mergeCell ref="N11:O11"/>
    <mergeCell ref="L9:M9"/>
    <mergeCell ref="D9:E9"/>
    <mergeCell ref="F9:G9"/>
    <mergeCell ref="H9:I9"/>
    <mergeCell ref="J9:K9"/>
    <mergeCell ref="N15:O15"/>
    <mergeCell ref="H13:I13"/>
    <mergeCell ref="J13:K13"/>
    <mergeCell ref="F13:G13"/>
    <mergeCell ref="N13:O13"/>
    <mergeCell ref="L15:M15"/>
    <mergeCell ref="N18:O18"/>
    <mergeCell ref="N17:O17"/>
    <mergeCell ref="L18:M18"/>
    <mergeCell ref="F17:G17"/>
    <mergeCell ref="H17:I17"/>
    <mergeCell ref="J17:K17"/>
    <mergeCell ref="L17:M17"/>
    <mergeCell ref="H18:I18"/>
    <mergeCell ref="J18:K18"/>
  </mergeCells>
  <phoneticPr fontId="1" type="noConversion"/>
  <pageMargins left="0.75" right="0.75" top="1" bottom="1" header="0" footer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M23"/>
  <sheetViews>
    <sheetView zoomScale="110" zoomScaleNormal="110" zoomScalePageLayoutView="110" workbookViewId="0">
      <selection activeCell="I11" sqref="I11"/>
    </sheetView>
  </sheetViews>
  <sheetFormatPr baseColWidth="10" defaultColWidth="11.5" defaultRowHeight="12" x14ac:dyDescent="0"/>
  <cols>
    <col min="1" max="1" width="6.83203125" customWidth="1"/>
    <col min="2" max="2" width="20" bestFit="1" customWidth="1"/>
    <col min="3" max="3" width="14.1640625" customWidth="1"/>
    <col min="4" max="4" width="17.33203125" bestFit="1" customWidth="1"/>
    <col min="6" max="6" width="7.33203125" customWidth="1"/>
    <col min="7" max="7" width="20.33203125" bestFit="1" customWidth="1"/>
    <col min="8" max="8" width="12.5" customWidth="1"/>
  </cols>
  <sheetData>
    <row r="1" spans="1:13">
      <c r="A1" s="88"/>
      <c r="B1" s="88"/>
      <c r="C1" s="88"/>
      <c r="D1" s="88"/>
      <c r="E1" s="88"/>
      <c r="G1" s="88"/>
    </row>
    <row r="2" spans="1:13" ht="13" thickBot="1">
      <c r="A2" s="88"/>
      <c r="B2" s="88"/>
      <c r="C2" s="88"/>
      <c r="D2" s="88"/>
      <c r="E2" s="88"/>
      <c r="G2" s="88"/>
    </row>
    <row r="3" spans="1:13" ht="13" thickBot="1">
      <c r="A3" s="88"/>
      <c r="B3" s="110" t="s">
        <v>42</v>
      </c>
      <c r="C3" s="109"/>
      <c r="D3" s="20" t="s">
        <v>39</v>
      </c>
      <c r="E3" s="8" t="s">
        <v>40</v>
      </c>
      <c r="G3" s="112"/>
    </row>
    <row r="4" spans="1:13">
      <c r="A4" s="88"/>
      <c r="B4" s="164" t="s">
        <v>85</v>
      </c>
      <c r="C4" s="165"/>
      <c r="D4" s="6">
        <v>600000</v>
      </c>
      <c r="E4" s="4">
        <f>D4*12</f>
        <v>7200000</v>
      </c>
      <c r="G4" s="88"/>
    </row>
    <row r="5" spans="1:13">
      <c r="A5" s="88"/>
      <c r="B5" s="162" t="s">
        <v>117</v>
      </c>
      <c r="C5" s="163"/>
      <c r="D5" s="4">
        <f>IF('HW y SW'!C5=0,100000,0)</f>
        <v>0</v>
      </c>
      <c r="E5" s="4">
        <f>'HW y SW'!G4</f>
        <v>500000</v>
      </c>
      <c r="G5" s="88"/>
      <c r="H5" s="123">
        <v>1</v>
      </c>
      <c r="I5" s="123">
        <v>2</v>
      </c>
      <c r="J5" s="123">
        <v>3</v>
      </c>
      <c r="K5" s="123">
        <v>4</v>
      </c>
      <c r="L5" s="123">
        <v>5</v>
      </c>
      <c r="M5" s="123">
        <v>6</v>
      </c>
    </row>
    <row r="6" spans="1:13">
      <c r="A6" s="88"/>
      <c r="B6" s="162" t="s">
        <v>8</v>
      </c>
      <c r="C6" s="163"/>
      <c r="D6" s="4">
        <f>PERSONAL!E12</f>
        <v>8000000</v>
      </c>
      <c r="E6" s="4">
        <f t="shared" ref="E6:E11" si="0">D6*12</f>
        <v>96000000</v>
      </c>
      <c r="G6" s="124" t="s">
        <v>8</v>
      </c>
      <c r="H6" s="125">
        <f>E6</f>
        <v>96000000</v>
      </c>
      <c r="I6" s="126">
        <f>H6*(1+$I$10)</f>
        <v>105600000.00000001</v>
      </c>
      <c r="J6" s="126">
        <f t="shared" ref="J6:M6" si="1">I6*(1+$I$10)</f>
        <v>116160000.00000003</v>
      </c>
      <c r="K6" s="126">
        <f t="shared" si="1"/>
        <v>127776000.00000004</v>
      </c>
      <c r="L6" s="126">
        <f t="shared" si="1"/>
        <v>140553600.00000006</v>
      </c>
      <c r="M6" s="126">
        <f t="shared" si="1"/>
        <v>154608960.00000009</v>
      </c>
    </row>
    <row r="7" spans="1:13">
      <c r="A7" s="88"/>
      <c r="B7" s="162" t="s">
        <v>25</v>
      </c>
      <c r="C7" s="163"/>
      <c r="D7" s="4">
        <v>100000</v>
      </c>
      <c r="E7" s="4">
        <f t="shared" si="0"/>
        <v>1200000</v>
      </c>
      <c r="G7" s="124" t="s">
        <v>129</v>
      </c>
      <c r="H7" s="125">
        <f>SUM(E4:E13)-H6</f>
        <v>17378600</v>
      </c>
      <c r="I7" s="126">
        <f>H7*(1+$I$11)</f>
        <v>18247530</v>
      </c>
      <c r="J7" s="126">
        <f t="shared" ref="J7:M7" si="2">I7*(1+$I$11)</f>
        <v>19159906.5</v>
      </c>
      <c r="K7" s="126">
        <f t="shared" si="2"/>
        <v>20117901.824999999</v>
      </c>
      <c r="L7" s="126">
        <f t="shared" si="2"/>
        <v>21123796.916250002</v>
      </c>
      <c r="M7" s="126">
        <f t="shared" si="2"/>
        <v>22179986.762062501</v>
      </c>
    </row>
    <row r="8" spans="1:13">
      <c r="A8" s="88"/>
      <c r="B8" s="162" t="s">
        <v>16</v>
      </c>
      <c r="C8" s="163"/>
      <c r="D8" s="4"/>
      <c r="E8" s="4">
        <v>13000</v>
      </c>
      <c r="G8" s="127" t="s">
        <v>51</v>
      </c>
      <c r="H8" s="128">
        <f>H6+H7</f>
        <v>113378600</v>
      </c>
      <c r="I8" s="129">
        <f t="shared" ref="I8:M8" si="3">SUM(I6:I7)</f>
        <v>123847530.00000001</v>
      </c>
      <c r="J8" s="129">
        <f t="shared" si="3"/>
        <v>135319906.50000003</v>
      </c>
      <c r="K8" s="129">
        <f t="shared" si="3"/>
        <v>147893901.82500005</v>
      </c>
      <c r="L8" s="129">
        <f t="shared" si="3"/>
        <v>161677396.91625005</v>
      </c>
      <c r="M8" s="129">
        <f t="shared" si="3"/>
        <v>176788946.76206258</v>
      </c>
    </row>
    <row r="9" spans="1:13">
      <c r="A9" s="88"/>
      <c r="B9" s="162" t="s">
        <v>9</v>
      </c>
      <c r="C9" s="163"/>
      <c r="D9" s="4">
        <v>50000</v>
      </c>
      <c r="E9" s="4">
        <f t="shared" si="0"/>
        <v>600000</v>
      </c>
      <c r="G9" s="88"/>
    </row>
    <row r="10" spans="1:13">
      <c r="A10" s="88"/>
      <c r="B10" s="162" t="s">
        <v>26</v>
      </c>
      <c r="C10" s="163"/>
      <c r="D10" s="4">
        <v>45000</v>
      </c>
      <c r="E10" s="4">
        <f t="shared" si="0"/>
        <v>540000</v>
      </c>
      <c r="G10" s="161" t="s">
        <v>130</v>
      </c>
      <c r="H10" s="161"/>
      <c r="I10" s="130">
        <f>'FLUJO CAJA PRINCIPAL'!E29</f>
        <v>0.1</v>
      </c>
    </row>
    <row r="11" spans="1:13">
      <c r="A11" s="88"/>
      <c r="B11" s="162" t="s">
        <v>27</v>
      </c>
      <c r="C11" s="163"/>
      <c r="D11" s="4">
        <v>45000</v>
      </c>
      <c r="E11" s="4">
        <f t="shared" si="0"/>
        <v>540000</v>
      </c>
      <c r="G11" s="161" t="s">
        <v>131</v>
      </c>
      <c r="H11" s="161"/>
      <c r="I11" s="130">
        <v>0.05</v>
      </c>
    </row>
    <row r="12" spans="1:13">
      <c r="A12" s="88"/>
      <c r="B12" s="162" t="s">
        <v>28</v>
      </c>
      <c r="C12" s="163"/>
      <c r="D12" s="4">
        <f>'CREACIÓN CURSOS'!D9</f>
        <v>1100000</v>
      </c>
      <c r="E12" s="4">
        <f>'CREACIÓN CURSOS'!D14</f>
        <v>4400000</v>
      </c>
      <c r="G12" s="88"/>
    </row>
    <row r="13" spans="1:13" ht="13" thickBot="1">
      <c r="A13" s="88"/>
      <c r="B13" s="166" t="s">
        <v>119</v>
      </c>
      <c r="C13" s="168"/>
      <c r="D13" s="5">
        <f>SUM(D4:D12)*0.02</f>
        <v>198800</v>
      </c>
      <c r="E13" s="5">
        <f>D13*12</f>
        <v>2385600</v>
      </c>
      <c r="G13" s="88"/>
    </row>
    <row r="14" spans="1:13" ht="13" thickBot="1">
      <c r="A14" s="88"/>
      <c r="B14" s="88"/>
      <c r="C14" s="135" t="s">
        <v>44</v>
      </c>
      <c r="D14" s="169"/>
      <c r="E14" s="11">
        <f>SUM(E4:E13)</f>
        <v>113378600</v>
      </c>
      <c r="G14" s="88"/>
    </row>
    <row r="15" spans="1:13">
      <c r="A15" s="88"/>
      <c r="B15" s="88"/>
      <c r="C15" s="88"/>
      <c r="D15" s="111"/>
      <c r="E15" s="111"/>
      <c r="G15" s="88"/>
    </row>
    <row r="16" spans="1:13" ht="13" thickBot="1">
      <c r="A16" s="88"/>
      <c r="B16" s="88"/>
      <c r="C16" s="88"/>
      <c r="D16" s="111"/>
      <c r="E16" s="111"/>
      <c r="G16" s="88"/>
    </row>
    <row r="17" spans="1:7" ht="13" thickBot="1">
      <c r="A17" s="88"/>
      <c r="B17" s="170" t="s">
        <v>41</v>
      </c>
      <c r="C17" s="171"/>
      <c r="D17" s="30" t="s">
        <v>61</v>
      </c>
      <c r="E17" s="88"/>
      <c r="G17" s="88"/>
    </row>
    <row r="18" spans="1:7">
      <c r="A18" s="88"/>
      <c r="B18" s="25" t="s">
        <v>30</v>
      </c>
      <c r="C18" s="26"/>
      <c r="D18" s="86">
        <v>7.0000000000000007E-2</v>
      </c>
      <c r="E18" s="88"/>
      <c r="G18" s="88"/>
    </row>
    <row r="19" spans="1:7" ht="13" thickBot="1">
      <c r="A19" s="88"/>
      <c r="B19" s="166" t="s">
        <v>43</v>
      </c>
      <c r="C19" s="167"/>
      <c r="D19" s="87">
        <v>5.0000000000000001E-3</v>
      </c>
      <c r="E19" s="88"/>
      <c r="G19" s="88"/>
    </row>
    <row r="20" spans="1:7" ht="13" thickBot="1">
      <c r="A20" s="88"/>
      <c r="B20" s="88"/>
      <c r="C20" s="88"/>
      <c r="D20" s="108" t="s">
        <v>62</v>
      </c>
      <c r="E20" s="88"/>
      <c r="G20" s="88"/>
    </row>
    <row r="21" spans="1:7">
      <c r="A21" s="88"/>
      <c r="B21" s="88"/>
      <c r="C21" s="88"/>
      <c r="D21" s="88"/>
      <c r="E21" s="88"/>
      <c r="G21" s="88"/>
    </row>
    <row r="23" spans="1:7">
      <c r="D23">
        <f>E14*D19</f>
        <v>566893</v>
      </c>
    </row>
  </sheetData>
  <mergeCells count="15">
    <mergeCell ref="B19:C19"/>
    <mergeCell ref="B13:C13"/>
    <mergeCell ref="C14:D14"/>
    <mergeCell ref="B11:C11"/>
    <mergeCell ref="B12:C12"/>
    <mergeCell ref="B17:C17"/>
    <mergeCell ref="G10:H10"/>
    <mergeCell ref="G11:H11"/>
    <mergeCell ref="B9:C9"/>
    <mergeCell ref="B10:C10"/>
    <mergeCell ref="B4:C4"/>
    <mergeCell ref="B5:C5"/>
    <mergeCell ref="B6:C6"/>
    <mergeCell ref="B7:C7"/>
    <mergeCell ref="B8:C8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9"/>
  <sheetViews>
    <sheetView zoomScale="110" zoomScaleNormal="110" zoomScalePageLayoutView="110" workbookViewId="0">
      <selection activeCell="F24" sqref="F24"/>
    </sheetView>
  </sheetViews>
  <sheetFormatPr baseColWidth="10" defaultColWidth="11.5" defaultRowHeight="12" x14ac:dyDescent="0"/>
  <cols>
    <col min="5" max="5" width="17.1640625" bestFit="1" customWidth="1"/>
    <col min="6" max="6" width="21.33203125" bestFit="1" customWidth="1"/>
    <col min="7" max="7" width="13.5" bestFit="1" customWidth="1"/>
  </cols>
  <sheetData>
    <row r="6" spans="2:7" ht="13" thickBot="1"/>
    <row r="7" spans="2:7" ht="13" thickBot="1">
      <c r="B7" s="48"/>
      <c r="C7" s="75" t="s">
        <v>29</v>
      </c>
      <c r="D7" s="29" t="s">
        <v>63</v>
      </c>
      <c r="E7" s="75" t="s">
        <v>64</v>
      </c>
      <c r="F7" s="24" t="s">
        <v>65</v>
      </c>
      <c r="G7" s="75" t="s">
        <v>67</v>
      </c>
    </row>
    <row r="8" spans="2:7" ht="13" thickBot="1">
      <c r="B8" s="23" t="s">
        <v>66</v>
      </c>
      <c r="C8" s="49">
        <f>SUM(INVERSION!D11:D13)</f>
        <v>3160000</v>
      </c>
      <c r="D8" s="50">
        <v>6</v>
      </c>
      <c r="E8" s="49">
        <v>0</v>
      </c>
      <c r="F8" s="51"/>
      <c r="G8" s="5">
        <f>(C8-E8)/D8</f>
        <v>526666.66666666663</v>
      </c>
    </row>
    <row r="9" spans="2:7" ht="13" thickBot="1">
      <c r="F9" s="76" t="s">
        <v>20</v>
      </c>
      <c r="G9" s="47">
        <f>SUM(G8:G8)</f>
        <v>526666.66666666663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8"/>
  <sheetViews>
    <sheetView zoomScale="110" zoomScaleNormal="110" zoomScalePageLayoutView="110" workbookViewId="0">
      <selection activeCell="G28" sqref="G28"/>
    </sheetView>
  </sheetViews>
  <sheetFormatPr baseColWidth="10" defaultColWidth="11.5" defaultRowHeight="12" x14ac:dyDescent="0"/>
  <cols>
    <col min="2" max="2" width="22.5" bestFit="1" customWidth="1"/>
    <col min="3" max="3" width="12.1640625" bestFit="1" customWidth="1"/>
    <col min="4" max="4" width="13" bestFit="1" customWidth="1"/>
    <col min="5" max="5" width="15" bestFit="1" customWidth="1"/>
    <col min="6" max="6" width="14.33203125" bestFit="1" customWidth="1"/>
  </cols>
  <sheetData>
    <row r="4" spans="2:6">
      <c r="B4" s="1" t="s">
        <v>77</v>
      </c>
      <c r="C4" s="64">
        <v>0.6</v>
      </c>
    </row>
    <row r="5" spans="2:6">
      <c r="B5" s="57" t="s">
        <v>76</v>
      </c>
      <c r="C5" s="60">
        <f>INVERSION!D20*'G. FINANCIERO'!C4</f>
        <v>12366000</v>
      </c>
      <c r="D5" s="52"/>
      <c r="E5" s="118">
        <f>PMT(C6,B17,C5)</f>
        <v>-2839324.8655647454</v>
      </c>
      <c r="F5" s="118"/>
    </row>
    <row r="6" spans="2:6">
      <c r="B6" s="63" t="s">
        <v>78</v>
      </c>
      <c r="C6" s="65">
        <v>0.1</v>
      </c>
      <c r="D6" s="52"/>
      <c r="E6" s="52"/>
      <c r="F6" s="52"/>
    </row>
    <row r="7" spans="2:6">
      <c r="B7" s="63" t="s">
        <v>79</v>
      </c>
      <c r="C7" s="66">
        <f>C5/B17</f>
        <v>2061000</v>
      </c>
      <c r="E7" s="52"/>
      <c r="F7" s="52"/>
    </row>
    <row r="8" spans="2:6">
      <c r="B8" s="52"/>
      <c r="C8" s="52"/>
      <c r="D8" s="58"/>
      <c r="E8" s="52"/>
      <c r="F8" s="52"/>
    </row>
    <row r="9" spans="2:6">
      <c r="B9" s="52"/>
      <c r="C9" s="52"/>
      <c r="D9" s="58"/>
      <c r="E9" s="52"/>
      <c r="F9" s="52"/>
    </row>
    <row r="10" spans="2:6" ht="17.25" customHeight="1" thickBot="1">
      <c r="B10" s="59" t="s">
        <v>68</v>
      </c>
      <c r="C10" s="59" t="s">
        <v>69</v>
      </c>
      <c r="D10" s="59" t="s">
        <v>70</v>
      </c>
      <c r="E10" s="59" t="s">
        <v>80</v>
      </c>
      <c r="F10" s="59" t="s">
        <v>71</v>
      </c>
    </row>
    <row r="11" spans="2:6" ht="13" thickBot="1">
      <c r="B11" s="77" t="s">
        <v>72</v>
      </c>
      <c r="C11" s="78" t="s">
        <v>73</v>
      </c>
      <c r="D11" s="79" t="s">
        <v>58</v>
      </c>
      <c r="E11" s="80" t="s">
        <v>74</v>
      </c>
      <c r="F11" s="81" t="s">
        <v>75</v>
      </c>
    </row>
    <row r="12" spans="2:6">
      <c r="B12" s="61">
        <v>1</v>
      </c>
      <c r="C12" s="62">
        <f>C5</f>
        <v>12366000</v>
      </c>
      <c r="D12" s="67">
        <f t="shared" ref="D12:D17" si="0">$C$7</f>
        <v>2061000</v>
      </c>
      <c r="E12" s="73">
        <f t="shared" ref="E12:E17" si="1">+$C$6*C12</f>
        <v>1236600</v>
      </c>
      <c r="F12" s="70">
        <f t="shared" ref="F12:F17" si="2">+(D12+E12)</f>
        <v>3297600</v>
      </c>
    </row>
    <row r="13" spans="2:6">
      <c r="B13" s="54">
        <v>2</v>
      </c>
      <c r="C13" s="53">
        <f>+(C12-D12)</f>
        <v>10305000</v>
      </c>
      <c r="D13" s="68">
        <f>$C$7</f>
        <v>2061000</v>
      </c>
      <c r="E13" s="73">
        <f t="shared" si="1"/>
        <v>1030500</v>
      </c>
      <c r="F13" s="71">
        <f t="shared" si="2"/>
        <v>3091500</v>
      </c>
    </row>
    <row r="14" spans="2:6">
      <c r="B14" s="54">
        <v>3</v>
      </c>
      <c r="C14" s="53">
        <f>+(C13-D13)</f>
        <v>8244000</v>
      </c>
      <c r="D14" s="68">
        <f t="shared" si="0"/>
        <v>2061000</v>
      </c>
      <c r="E14" s="73">
        <f t="shared" si="1"/>
        <v>824400</v>
      </c>
      <c r="F14" s="71">
        <f t="shared" si="2"/>
        <v>2885400</v>
      </c>
    </row>
    <row r="15" spans="2:6">
      <c r="B15" s="54">
        <v>4</v>
      </c>
      <c r="C15" s="53">
        <f>+(C14-D14)</f>
        <v>6183000</v>
      </c>
      <c r="D15" s="68">
        <f t="shared" si="0"/>
        <v>2061000</v>
      </c>
      <c r="E15" s="73">
        <f t="shared" si="1"/>
        <v>618300</v>
      </c>
      <c r="F15" s="71">
        <f t="shared" si="2"/>
        <v>2679300</v>
      </c>
    </row>
    <row r="16" spans="2:6">
      <c r="B16" s="54">
        <v>5</v>
      </c>
      <c r="C16" s="53">
        <f>+(C15-D15)</f>
        <v>4122000</v>
      </c>
      <c r="D16" s="68">
        <f t="shared" si="0"/>
        <v>2061000</v>
      </c>
      <c r="E16" s="73">
        <f t="shared" si="1"/>
        <v>412200</v>
      </c>
      <c r="F16" s="71">
        <f t="shared" si="2"/>
        <v>2473200</v>
      </c>
    </row>
    <row r="17" spans="2:6" ht="13" thickBot="1">
      <c r="B17" s="55">
        <v>6</v>
      </c>
      <c r="C17" s="56">
        <f>+(C16-D16)</f>
        <v>2061000</v>
      </c>
      <c r="D17" s="69">
        <f t="shared" si="0"/>
        <v>2061000</v>
      </c>
      <c r="E17" s="74">
        <f t="shared" si="1"/>
        <v>206100</v>
      </c>
      <c r="F17" s="72">
        <f t="shared" si="2"/>
        <v>2267100</v>
      </c>
    </row>
    <row r="18" spans="2:6" ht="13" thickBot="1">
      <c r="C18" s="56"/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B3:G16"/>
  <sheetViews>
    <sheetView zoomScale="125" zoomScaleNormal="125" zoomScalePageLayoutView="125" workbookViewId="0">
      <selection activeCell="F19" sqref="F19"/>
    </sheetView>
  </sheetViews>
  <sheetFormatPr baseColWidth="10" defaultColWidth="11.5" defaultRowHeight="12" x14ac:dyDescent="0"/>
  <cols>
    <col min="2" max="2" width="14.5" bestFit="1" customWidth="1"/>
    <col min="4" max="4" width="3" customWidth="1"/>
    <col min="5" max="5" width="13" bestFit="1" customWidth="1"/>
    <col min="6" max="6" width="12" bestFit="1" customWidth="1"/>
    <col min="7" max="7" width="13.83203125" bestFit="1" customWidth="1"/>
  </cols>
  <sheetData>
    <row r="3" spans="2:7" ht="13" thickBot="1">
      <c r="G3" t="s">
        <v>116</v>
      </c>
    </row>
    <row r="4" spans="2:7" ht="13" thickBot="1">
      <c r="B4" s="22" t="s">
        <v>3</v>
      </c>
      <c r="F4" t="s">
        <v>115</v>
      </c>
      <c r="G4" s="121">
        <v>500000</v>
      </c>
    </row>
    <row r="5" spans="2:7" ht="13" thickBot="1">
      <c r="B5" s="39" t="s">
        <v>13</v>
      </c>
      <c r="C5" s="3">
        <v>4000000</v>
      </c>
    </row>
    <row r="6" spans="2:7" ht="13" thickBot="1">
      <c r="B6" s="37" t="s">
        <v>20</v>
      </c>
      <c r="C6" s="38">
        <f>SUM(C5)</f>
        <v>4000000</v>
      </c>
    </row>
    <row r="7" spans="2:7">
      <c r="C7" s="2"/>
    </row>
    <row r="8" spans="2:7">
      <c r="C8" s="2"/>
    </row>
    <row r="9" spans="2:7">
      <c r="C9" s="2"/>
    </row>
    <row r="10" spans="2:7">
      <c r="C10" s="2"/>
    </row>
    <row r="11" spans="2:7" ht="13" thickBot="1">
      <c r="C11" s="2"/>
    </row>
    <row r="12" spans="2:7" ht="13" thickBot="1">
      <c r="B12" s="8" t="s">
        <v>4</v>
      </c>
      <c r="C12" s="2"/>
    </row>
    <row r="13" spans="2:7">
      <c r="B13" s="31" t="s">
        <v>14</v>
      </c>
      <c r="C13" s="32">
        <v>500000</v>
      </c>
    </row>
    <row r="14" spans="2:7">
      <c r="B14" s="33" t="s">
        <v>15</v>
      </c>
      <c r="C14" s="34">
        <v>500000</v>
      </c>
    </row>
    <row r="15" spans="2:7" ht="13" thickBot="1">
      <c r="B15" s="33" t="s">
        <v>101</v>
      </c>
      <c r="C15" s="34">
        <v>500000</v>
      </c>
    </row>
    <row r="16" spans="2:7" ht="13" thickBot="1">
      <c r="B16" s="35" t="s">
        <v>20</v>
      </c>
      <c r="C16" s="36">
        <f>SUM(C13:C15)</f>
        <v>1500000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B1:J12"/>
  <sheetViews>
    <sheetView zoomScale="125" zoomScaleNormal="125" zoomScalePageLayoutView="125" workbookViewId="0">
      <selection activeCell="G16" sqref="G16"/>
    </sheetView>
  </sheetViews>
  <sheetFormatPr baseColWidth="10" defaultColWidth="11.5" defaultRowHeight="12" x14ac:dyDescent="0"/>
  <cols>
    <col min="3" max="3" width="22.5" bestFit="1" customWidth="1"/>
  </cols>
  <sheetData>
    <row r="1" spans="2:10" ht="13" thickBot="1">
      <c r="F1">
        <v>2</v>
      </c>
      <c r="G1">
        <v>3</v>
      </c>
      <c r="H1">
        <v>4</v>
      </c>
      <c r="I1">
        <v>5</v>
      </c>
      <c r="J1">
        <v>6</v>
      </c>
    </row>
    <row r="2" spans="2:10" ht="13" thickBot="1">
      <c r="D2" s="170" t="s">
        <v>39</v>
      </c>
      <c r="E2" s="172"/>
    </row>
    <row r="3" spans="2:10" ht="13" thickBot="1">
      <c r="B3" s="8" t="s">
        <v>18</v>
      </c>
      <c r="C3" s="10" t="s">
        <v>17</v>
      </c>
      <c r="D3" s="8" t="s">
        <v>19</v>
      </c>
      <c r="E3" s="9" t="s">
        <v>20</v>
      </c>
    </row>
    <row r="4" spans="2:10">
      <c r="B4" s="83">
        <v>1</v>
      </c>
      <c r="C4" s="84" t="s">
        <v>21</v>
      </c>
      <c r="D4" s="45">
        <v>1500000</v>
      </c>
      <c r="E4" s="85">
        <f t="shared" ref="E4:E11" si="0">B4*D4</f>
        <v>1500000</v>
      </c>
    </row>
    <row r="5" spans="2:10">
      <c r="B5" s="12">
        <v>1</v>
      </c>
      <c r="C5" s="13" t="s">
        <v>22</v>
      </c>
      <c r="D5" s="14">
        <v>1500000</v>
      </c>
      <c r="E5" s="15">
        <f t="shared" si="0"/>
        <v>1500000</v>
      </c>
    </row>
    <row r="6" spans="2:10">
      <c r="B6" s="12">
        <v>2</v>
      </c>
      <c r="C6" s="13" t="s">
        <v>118</v>
      </c>
      <c r="D6" s="14">
        <v>600000</v>
      </c>
      <c r="E6" s="15">
        <f t="shared" si="0"/>
        <v>1200000</v>
      </c>
    </row>
    <row r="7" spans="2:10">
      <c r="B7" s="12">
        <v>3</v>
      </c>
      <c r="C7" s="13" t="s">
        <v>120</v>
      </c>
      <c r="D7" s="14">
        <v>500000</v>
      </c>
      <c r="E7" s="15">
        <f t="shared" si="0"/>
        <v>1500000</v>
      </c>
    </row>
    <row r="8" spans="2:10">
      <c r="B8" s="12">
        <v>1</v>
      </c>
      <c r="C8" s="13" t="s">
        <v>23</v>
      </c>
      <c r="D8" s="14">
        <v>100000</v>
      </c>
      <c r="E8" s="15">
        <f t="shared" si="0"/>
        <v>100000</v>
      </c>
    </row>
    <row r="9" spans="2:10">
      <c r="B9" s="12">
        <v>1</v>
      </c>
      <c r="C9" s="13" t="s">
        <v>86</v>
      </c>
      <c r="D9" s="14">
        <v>850000</v>
      </c>
      <c r="E9" s="15">
        <f t="shared" si="0"/>
        <v>850000</v>
      </c>
    </row>
    <row r="10" spans="2:10">
      <c r="B10" s="12">
        <v>1</v>
      </c>
      <c r="C10" s="13" t="s">
        <v>87</v>
      </c>
      <c r="D10" s="14">
        <v>850000</v>
      </c>
      <c r="E10" s="15">
        <f t="shared" si="0"/>
        <v>850000</v>
      </c>
    </row>
    <row r="11" spans="2:10" ht="13" thickBot="1">
      <c r="B11" s="16">
        <v>1</v>
      </c>
      <c r="C11" s="17" t="s">
        <v>24</v>
      </c>
      <c r="D11" s="18">
        <v>500000</v>
      </c>
      <c r="E11" s="19">
        <f t="shared" si="0"/>
        <v>500000</v>
      </c>
    </row>
    <row r="12" spans="2:10" ht="13" thickBot="1">
      <c r="E12" s="82">
        <f>SUM(E4:E11)</f>
        <v>8000000</v>
      </c>
      <c r="F12">
        <f>E12*1.1</f>
        <v>8800000</v>
      </c>
      <c r="G12">
        <f t="shared" ref="G12:J12" si="1">F12*1.1</f>
        <v>9680000</v>
      </c>
      <c r="H12">
        <f t="shared" si="1"/>
        <v>10648000</v>
      </c>
      <c r="I12">
        <f t="shared" si="1"/>
        <v>11712800.000000002</v>
      </c>
      <c r="J12">
        <f t="shared" si="1"/>
        <v>12884080.000000004</v>
      </c>
    </row>
  </sheetData>
  <mergeCells count="1">
    <mergeCell ref="D2:E2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C3:J14"/>
  <sheetViews>
    <sheetView zoomScale="125" zoomScaleNormal="125" zoomScalePageLayoutView="125" workbookViewId="0">
      <selection activeCell="D14" sqref="D14"/>
    </sheetView>
  </sheetViews>
  <sheetFormatPr baseColWidth="10" defaultColWidth="11.5" defaultRowHeight="12" x14ac:dyDescent="0"/>
  <cols>
    <col min="3" max="3" width="20.33203125" customWidth="1"/>
    <col min="4" max="10" width="13.5" bestFit="1" customWidth="1"/>
  </cols>
  <sheetData>
    <row r="3" spans="3:10" ht="13" thickBot="1"/>
    <row r="4" spans="3:10" ht="13" thickBot="1">
      <c r="C4" s="173" t="s">
        <v>111</v>
      </c>
      <c r="D4" s="169"/>
    </row>
    <row r="5" spans="3:10" ht="13" thickBot="1">
      <c r="C5" s="27" t="s">
        <v>32</v>
      </c>
      <c r="D5" s="8" t="s">
        <v>29</v>
      </c>
    </row>
    <row r="6" spans="3:10">
      <c r="C6" s="21" t="s">
        <v>31</v>
      </c>
      <c r="D6" s="4">
        <v>500000</v>
      </c>
    </row>
    <row r="7" spans="3:10">
      <c r="C7" s="7" t="s">
        <v>122</v>
      </c>
      <c r="D7" s="4">
        <v>100000</v>
      </c>
      <c r="E7" t="s">
        <v>123</v>
      </c>
    </row>
    <row r="8" spans="3:10" ht="13" thickBot="1">
      <c r="C8" s="94" t="s">
        <v>102</v>
      </c>
      <c r="D8" s="5">
        <v>500000</v>
      </c>
    </row>
    <row r="9" spans="3:10" ht="13" thickBot="1">
      <c r="C9" s="28" t="s">
        <v>20</v>
      </c>
      <c r="D9" s="36">
        <f>SUM(D6:D8)</f>
        <v>1100000</v>
      </c>
    </row>
    <row r="11" spans="3:10" ht="13" thickBot="1"/>
    <row r="12" spans="3:10" ht="13" thickBot="1">
      <c r="D12" s="97" t="s">
        <v>103</v>
      </c>
      <c r="E12" s="103" t="s">
        <v>92</v>
      </c>
      <c r="F12" s="101" t="s">
        <v>95</v>
      </c>
      <c r="G12" s="103" t="s">
        <v>96</v>
      </c>
      <c r="H12" s="101" t="s">
        <v>97</v>
      </c>
      <c r="I12" s="103" t="s">
        <v>98</v>
      </c>
      <c r="J12" s="102" t="s">
        <v>99</v>
      </c>
    </row>
    <row r="13" spans="3:10">
      <c r="C13" s="97" t="s">
        <v>104</v>
      </c>
      <c r="D13" s="31">
        <v>4</v>
      </c>
      <c r="E13" s="21">
        <v>4</v>
      </c>
      <c r="F13" s="98">
        <v>4</v>
      </c>
      <c r="G13" s="21">
        <v>4</v>
      </c>
      <c r="H13" s="98">
        <v>4</v>
      </c>
      <c r="I13" s="21">
        <v>4</v>
      </c>
      <c r="J13" s="99">
        <v>4</v>
      </c>
    </row>
    <row r="14" spans="3:10" ht="13" thickBot="1">
      <c r="C14" s="100" t="s">
        <v>19</v>
      </c>
      <c r="D14" s="104">
        <f>$D$9*D13</f>
        <v>4400000</v>
      </c>
      <c r="E14" s="105">
        <f t="shared" ref="E14:J14" si="0">$D$9*E13</f>
        <v>4400000</v>
      </c>
      <c r="F14" s="106">
        <f t="shared" si="0"/>
        <v>4400000</v>
      </c>
      <c r="G14" s="105">
        <f t="shared" si="0"/>
        <v>4400000</v>
      </c>
      <c r="H14" s="106">
        <f t="shared" si="0"/>
        <v>4400000</v>
      </c>
      <c r="I14" s="105">
        <f t="shared" si="0"/>
        <v>4400000</v>
      </c>
      <c r="J14" s="107">
        <f t="shared" si="0"/>
        <v>4400000</v>
      </c>
    </row>
  </sheetData>
  <mergeCells count="1">
    <mergeCell ref="C4:D4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FLUJO CAJA PRINCIPAL</vt:lpstr>
      <vt:lpstr>INVERSION</vt:lpstr>
      <vt:lpstr>INGRESOS</vt:lpstr>
      <vt:lpstr>ESTRUCTURA DE COSTOS</vt:lpstr>
      <vt:lpstr>DEPRECIACION</vt:lpstr>
      <vt:lpstr>G. FINANCIERO</vt:lpstr>
      <vt:lpstr>HW y SW</vt:lpstr>
      <vt:lpstr>PERSONAL</vt:lpstr>
      <vt:lpstr>CREACIÓN CURSOS</vt:lpstr>
      <vt:lpstr>Plan de Marketing</vt:lpstr>
    </vt:vector>
  </TitlesOfParts>
  <Company>Mutual de Seguridad C.CH.C.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Bustamante</dc:creator>
  <cp:lastModifiedBy>Miguel Ángel Navarrete</cp:lastModifiedBy>
  <dcterms:created xsi:type="dcterms:W3CDTF">2010-12-06T13:51:38Z</dcterms:created>
  <dcterms:modified xsi:type="dcterms:W3CDTF">2012-05-15T02:06:40Z</dcterms:modified>
</cp:coreProperties>
</file>