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240" yWindow="240" windowWidth="25360" windowHeight="14020" tabRatio="884"/>
  </bookViews>
  <sheets>
    <sheet name="FLUJO CAJA PESIMISTA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6" l="1"/>
  <c r="F8" i="6"/>
  <c r="F9" i="6"/>
  <c r="G10" i="6"/>
  <c r="F11" i="6"/>
  <c r="F12" i="6"/>
  <c r="G12" i="6"/>
  <c r="F13" i="6"/>
  <c r="F14" i="6"/>
  <c r="F15" i="6"/>
  <c r="F16" i="6"/>
  <c r="F17" i="6"/>
  <c r="F6" i="6"/>
  <c r="F7" i="6"/>
  <c r="F18" i="6"/>
  <c r="F6" i="8"/>
  <c r="F9" i="8"/>
  <c r="F7" i="8"/>
  <c r="C9" i="5"/>
  <c r="E14" i="5"/>
  <c r="F8" i="8"/>
  <c r="E4" i="4"/>
  <c r="E5" i="4"/>
  <c r="E6" i="4"/>
  <c r="E7" i="4"/>
  <c r="E8" i="4"/>
  <c r="E9" i="4"/>
  <c r="E10" i="4"/>
  <c r="E11" i="4"/>
  <c r="E12" i="4"/>
  <c r="D6" i="1"/>
  <c r="E6" i="1"/>
  <c r="H6" i="1"/>
  <c r="I6" i="1"/>
  <c r="E4" i="1"/>
  <c r="E5" i="1"/>
  <c r="E7" i="1"/>
  <c r="E9" i="1"/>
  <c r="E10" i="1"/>
  <c r="E11" i="1"/>
  <c r="C14" i="5"/>
  <c r="E12" i="1"/>
  <c r="D5" i="1"/>
  <c r="D12" i="1"/>
  <c r="D13" i="1"/>
  <c r="E13" i="1"/>
  <c r="H7" i="1"/>
  <c r="I7" i="1"/>
  <c r="I8" i="1"/>
  <c r="F10" i="8"/>
  <c r="D11" i="2"/>
  <c r="C8" i="9"/>
  <c r="G8" i="9"/>
  <c r="G9" i="9"/>
  <c r="F11" i="8"/>
  <c r="F12" i="8"/>
  <c r="D16" i="2"/>
  <c r="D20" i="2"/>
  <c r="C5" i="10"/>
  <c r="E5" i="10"/>
  <c r="F13" i="8"/>
  <c r="F14" i="8"/>
  <c r="F15" i="8"/>
  <c r="F16" i="8"/>
  <c r="C7" i="10"/>
  <c r="F17" i="8"/>
  <c r="F20" i="8"/>
  <c r="H10" i="6"/>
  <c r="H8" i="6"/>
  <c r="H9" i="6"/>
  <c r="I10" i="6"/>
  <c r="H11" i="6"/>
  <c r="H12" i="6"/>
  <c r="I12" i="6"/>
  <c r="H13" i="6"/>
  <c r="H14" i="6"/>
  <c r="H15" i="6"/>
  <c r="H16" i="6"/>
  <c r="H17" i="6"/>
  <c r="D6" i="6"/>
  <c r="C29" i="6"/>
  <c r="H6" i="6"/>
  <c r="H7" i="6"/>
  <c r="H18" i="6"/>
  <c r="G6" i="8"/>
  <c r="G9" i="8"/>
  <c r="G7" i="8"/>
  <c r="F14" i="5"/>
  <c r="G8" i="8"/>
  <c r="J6" i="1"/>
  <c r="J7" i="1"/>
  <c r="J8" i="1"/>
  <c r="G10" i="8"/>
  <c r="G11" i="8"/>
  <c r="G12" i="8"/>
  <c r="G13" i="8"/>
  <c r="G14" i="8"/>
  <c r="G15" i="8"/>
  <c r="G16" i="8"/>
  <c r="G17" i="8"/>
  <c r="G20" i="8"/>
  <c r="J10" i="6"/>
  <c r="J8" i="6"/>
  <c r="J9" i="6"/>
  <c r="K10" i="6"/>
  <c r="J11" i="6"/>
  <c r="J12" i="6"/>
  <c r="K12" i="6"/>
  <c r="J13" i="6"/>
  <c r="J14" i="6"/>
  <c r="J15" i="6"/>
  <c r="J16" i="6"/>
  <c r="J17" i="6"/>
  <c r="J6" i="6"/>
  <c r="J7" i="6"/>
  <c r="J18" i="6"/>
  <c r="H6" i="8"/>
  <c r="H9" i="8"/>
  <c r="H7" i="8"/>
  <c r="G14" i="5"/>
  <c r="H8" i="8"/>
  <c r="K6" i="1"/>
  <c r="K7" i="1"/>
  <c r="K8" i="1"/>
  <c r="H10" i="8"/>
  <c r="H11" i="8"/>
  <c r="H12" i="8"/>
  <c r="H13" i="8"/>
  <c r="H14" i="8"/>
  <c r="H15" i="8"/>
  <c r="H16" i="8"/>
  <c r="H17" i="8"/>
  <c r="H20" i="8"/>
  <c r="L10" i="6"/>
  <c r="L8" i="6"/>
  <c r="L9" i="6"/>
  <c r="M10" i="6"/>
  <c r="L11" i="6"/>
  <c r="L12" i="6"/>
  <c r="M12" i="6"/>
  <c r="L13" i="6"/>
  <c r="L14" i="6"/>
  <c r="L15" i="6"/>
  <c r="L16" i="6"/>
  <c r="L17" i="6"/>
  <c r="L6" i="6"/>
  <c r="L7" i="6"/>
  <c r="L18" i="6"/>
  <c r="I6" i="8"/>
  <c r="I9" i="8"/>
  <c r="I7" i="8"/>
  <c r="H14" i="5"/>
  <c r="I8" i="8"/>
  <c r="L6" i="1"/>
  <c r="L7" i="1"/>
  <c r="L8" i="1"/>
  <c r="I10" i="8"/>
  <c r="I11" i="8"/>
  <c r="I12" i="8"/>
  <c r="I13" i="8"/>
  <c r="I14" i="8"/>
  <c r="I15" i="8"/>
  <c r="I16" i="8"/>
  <c r="I17" i="8"/>
  <c r="I20" i="8"/>
  <c r="N10" i="6"/>
  <c r="N8" i="6"/>
  <c r="N9" i="6"/>
  <c r="O10" i="6"/>
  <c r="N11" i="6"/>
  <c r="N12" i="6"/>
  <c r="O12" i="6"/>
  <c r="N13" i="6"/>
  <c r="N14" i="6"/>
  <c r="N15" i="6"/>
  <c r="N16" i="6"/>
  <c r="N17" i="6"/>
  <c r="N6" i="6"/>
  <c r="N7" i="6"/>
  <c r="N18" i="6"/>
  <c r="J6" i="8"/>
  <c r="J9" i="8"/>
  <c r="J7" i="8"/>
  <c r="I14" i="5"/>
  <c r="J8" i="8"/>
  <c r="M6" i="1"/>
  <c r="M7" i="1"/>
  <c r="M8" i="1"/>
  <c r="J10" i="8"/>
  <c r="J11" i="8"/>
  <c r="J12" i="8"/>
  <c r="J13" i="8"/>
  <c r="J14" i="8"/>
  <c r="J15" i="8"/>
  <c r="J16" i="8"/>
  <c r="J17" i="8"/>
  <c r="J20" i="8"/>
  <c r="D7" i="6"/>
  <c r="D8" i="6"/>
  <c r="D9" i="6"/>
  <c r="E10" i="6"/>
  <c r="D11" i="6"/>
  <c r="D13" i="6"/>
  <c r="D15" i="6"/>
  <c r="D17" i="6"/>
  <c r="D18" i="6"/>
  <c r="E6" i="8"/>
  <c r="D14" i="5"/>
  <c r="E8" i="8"/>
  <c r="E9" i="8"/>
  <c r="H8" i="1"/>
  <c r="E10" i="8"/>
  <c r="E11" i="8"/>
  <c r="E12" i="8"/>
  <c r="E13" i="8"/>
  <c r="E14" i="8"/>
  <c r="E15" i="8"/>
  <c r="E16" i="8"/>
  <c r="E17" i="8"/>
  <c r="E20" i="8"/>
  <c r="D18" i="8"/>
  <c r="D19" i="8"/>
  <c r="D20" i="8"/>
  <c r="D22" i="8"/>
  <c r="F12" i="4"/>
  <c r="G12" i="4"/>
  <c r="H12" i="4"/>
  <c r="I12" i="4"/>
  <c r="J12" i="4"/>
  <c r="E33" i="8"/>
  <c r="F33" i="8"/>
  <c r="G33" i="8"/>
  <c r="H33" i="8"/>
  <c r="I33" i="8"/>
  <c r="J33" i="8"/>
  <c r="C38" i="8"/>
  <c r="C39" i="8"/>
  <c r="E34" i="8"/>
  <c r="F34" i="8"/>
  <c r="F35" i="8"/>
  <c r="E14" i="1"/>
  <c r="F37" i="8"/>
  <c r="G34" i="8"/>
  <c r="G35" i="8"/>
  <c r="G37" i="8"/>
  <c r="H34" i="8"/>
  <c r="H35" i="8"/>
  <c r="H37" i="8"/>
  <c r="I34" i="8"/>
  <c r="I35" i="8"/>
  <c r="I37" i="8"/>
  <c r="J34" i="8"/>
  <c r="J35" i="8"/>
  <c r="J37" i="8"/>
  <c r="E35" i="8"/>
  <c r="E37" i="8"/>
  <c r="C16" i="3"/>
  <c r="C6" i="3"/>
  <c r="D13" i="10"/>
  <c r="C12" i="10"/>
  <c r="D23" i="1"/>
  <c r="E12" i="10"/>
  <c r="D15" i="10"/>
  <c r="D12" i="10"/>
  <c r="F12" i="10"/>
  <c r="D14" i="10"/>
  <c r="D16" i="10"/>
  <c r="D17" i="10"/>
  <c r="C13" i="10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D23" i="8"/>
</calcChain>
</file>

<file path=xl/sharedStrings.xml><?xml version="1.0" encoding="utf-8"?>
<sst xmlns="http://schemas.openxmlformats.org/spreadsheetml/2006/main" count="176" uniqueCount="135">
  <si>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</si>
  <si>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</si>
  <si>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</si>
  <si>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</si>
  <si>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</si>
  <si>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</si>
  <si>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</si>
  <si>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</si>
  <si>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</si>
  <si>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</si>
  <si>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</si>
  <si>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</si>
  <si>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</si>
  <si>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</si>
  <si>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</si>
  <si>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</si>
  <si>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</si>
  <si>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</si>
  <si>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</si>
  <si>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</si>
  <si>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</si>
  <si>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</si>
  <si>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</si>
  <si>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</si>
  <si>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</si>
  <si>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</si>
  <si>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</si>
  <si>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</si>
  <si>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</si>
  <si>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</si>
  <si>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</si>
  <si>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</si>
  <si>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</si>
  <si>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</si>
  <si>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</si>
  <si>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</si>
  <si>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</si>
  <si>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</si>
  <si>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</si>
  <si>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</si>
  <si>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</si>
  <si>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</si>
  <si>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</si>
  <si>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</si>
  <si>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</si>
  <si>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</si>
  <si>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</si>
  <si>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</si>
  <si>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</si>
  <si>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</si>
  <si>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</si>
  <si>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</si>
  <si>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</si>
  <si>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</si>
  <si>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</si>
  <si>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</si>
  <si>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</si>
  <si>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</si>
  <si>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</si>
  <si>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</si>
  <si>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</si>
  <si>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</si>
  <si>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</si>
  <si>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</si>
  <si>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</si>
  <si>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</si>
  <si>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</si>
  <si>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</si>
  <si>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</si>
  <si>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</si>
  <si>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</si>
  <si>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</si>
  <si>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</si>
  <si>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</si>
  <si>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</si>
  <si>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</si>
  <si>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</si>
  <si>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</si>
  <si>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</si>
  <si>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</si>
  <si>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</si>
  <si>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</si>
  <si>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</si>
  <si>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</si>
  <si>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</si>
  <si>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 xml:space="preserve"> 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</si>
  <si>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</si>
  <si>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</si>
  <si>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</si>
  <si>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</si>
  <si>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</si>
  <si>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</si>
  <si>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</si>
  <si>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</si>
  <si>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</si>
  <si>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</si>
  <si>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</si>
  <si>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</si>
  <si>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</si>
  <si>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</si>
  <si>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</si>
  <si>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</si>
  <si>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</si>
  <si>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</si>
  <si>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</si>
  <si>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</si>
  <si>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</si>
  <si>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</si>
  <si>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</si>
  <si>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</si>
  <si>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</si>
  <si>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</si>
  <si>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</si>
  <si>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</si>
  <si>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</si>
  <si>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</si>
  <si>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</si>
  <si>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</si>
  <si>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</si>
  <si>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</si>
  <si>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</si>
  <si>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</si>
  <si>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</si>
  <si>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</si>
  <si>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</si>
  <si>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</si>
  <si>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</si>
  <si>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</si>
  <si>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</si>
  <si>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</si>
  <si>
    <t>OTROS</t>
  </si>
  <si>
    <t>GASTOS ADM Y FIN</t>
  </si>
  <si>
    <t>Tasa Crecimiento PERSONAL</t>
  </si>
  <si>
    <t>Tasa Crecimiento OTROS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</si>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</sst>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&quot;$&quot;\ #,##0"/>
    <numFmt numFmtId="167" formatCode="#,##0.0"/>
    <numFmt numFmtId="168" formatCode="0.0%"/>
    <numFmt numFmtId="169" formatCode="_-&quot;$&quot;\ * #,##0_-;\-&quot;$&quot;\ * #,##0_-;_-&quot;$&quot;\ * &quot;-&quot;??_-;_-@_-"/>
    <numFmt numFmtId="170" formatCode="&quot;$&quot;#,##0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  <font>
      <i/>
      <sz val="11"/>
      <color rgb="FF000000"/>
      <name val="Arial"/>
    </font>
    <font>
      <b/>
      <sz val="12"/>
      <color rgb="FFFFFFFF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2D69A"/>
      </left>
      <right/>
      <top/>
      <bottom style="medium">
        <color rgb="FFC2D69A"/>
      </bottom>
      <diagonal/>
    </border>
    <border>
      <left/>
      <right style="medium">
        <color rgb="FFC2D69A"/>
      </right>
      <top style="medium">
        <color rgb="FFC2D69A"/>
      </top>
      <bottom style="medium">
        <color rgb="FFC2D69A"/>
      </bottom>
      <diagonal/>
    </border>
    <border>
      <left/>
      <right style="medium">
        <color rgb="FFC2D69A"/>
      </right>
      <top/>
      <bottom style="medium">
        <color rgb="FFC2D69A"/>
      </bottom>
      <diagonal/>
    </border>
    <border>
      <left/>
      <right/>
      <top style="medium">
        <color rgb="FFC2D69A"/>
      </top>
      <bottom style="medium">
        <color rgb="FFC2D69A"/>
      </bottom>
      <diagonal/>
    </border>
    <border>
      <left style="medium">
        <color rgb="FFC2D69A"/>
      </left>
      <right style="medium">
        <color rgb="FFC2D69A"/>
      </right>
      <top style="medium">
        <color rgb="FFC2D69A"/>
      </top>
      <bottom style="medium">
        <color rgb="FFC2D69A"/>
      </bottom>
      <diagonal/>
    </border>
    <border>
      <left/>
      <right/>
      <top/>
      <bottom style="medium">
        <color rgb="FFC2D69A"/>
      </bottom>
      <diagonal/>
    </border>
    <border>
      <left style="medium">
        <color rgb="FFC2D69A"/>
      </left>
      <right style="medium">
        <color rgb="FFC2D69A"/>
      </right>
      <top/>
      <bottom style="medium">
        <color rgb="FFC2D69A"/>
      </bottom>
      <diagonal/>
    </border>
  </borders>
  <cellStyleXfs count="35">
    <xf numFmtId="0" fontId="0" fillId="0" borderId="0"/>
    <xf numFmtId="9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3" fontId="2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2" fillId="2" borderId="10" xfId="0" applyFont="1" applyFill="1" applyBorder="1" applyAlignment="1"/>
    <xf numFmtId="0" fontId="0" fillId="0" borderId="4" xfId="0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2" fillId="2" borderId="10" xfId="0" applyFont="1" applyFill="1" applyBorder="1"/>
    <xf numFmtId="0" fontId="0" fillId="3" borderId="1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0" xfId="0" applyFont="1" applyFill="1"/>
    <xf numFmtId="167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7" fontId="4" fillId="4" borderId="8" xfId="0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/>
    <xf numFmtId="0" fontId="4" fillId="4" borderId="18" xfId="0" applyFont="1" applyFill="1" applyBorder="1" applyAlignment="1">
      <alignment horizontal="center"/>
    </xf>
    <xf numFmtId="167" fontId="4" fillId="4" borderId="15" xfId="0" applyNumberFormat="1" applyFont="1" applyFill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9" fontId="2" fillId="0" borderId="0" xfId="0" applyNumberFormat="1" applyFont="1" applyFill="1"/>
    <xf numFmtId="4" fontId="2" fillId="0" borderId="19" xfId="0" applyNumberFormat="1" applyFont="1" applyFill="1" applyBorder="1" applyAlignment="1">
      <alignment horizontal="center"/>
    </xf>
    <xf numFmtId="167" fontId="4" fillId="4" borderId="20" xfId="0" applyNumberFormat="1" applyFont="1" applyFill="1" applyBorder="1" applyAlignment="1">
      <alignment horizontal="center"/>
    </xf>
    <xf numFmtId="167" fontId="4" fillId="4" borderId="21" xfId="0" applyNumberFormat="1" applyFont="1" applyFill="1" applyBorder="1" applyAlignment="1">
      <alignment horizontal="center"/>
    </xf>
    <xf numFmtId="167" fontId="4" fillId="4" borderId="22" xfId="0" applyNumberFormat="1" applyFont="1" applyFill="1" applyBorder="1" applyAlignment="1">
      <alignment horizontal="center"/>
    </xf>
    <xf numFmtId="167" fontId="4" fillId="4" borderId="14" xfId="0" applyNumberFormat="1" applyFont="1" applyFill="1" applyBorder="1" applyAlignment="1">
      <alignment horizontal="center"/>
    </xf>
    <xf numFmtId="167" fontId="4" fillId="4" borderId="7" xfId="0" applyNumberFormat="1" applyFont="1" applyFill="1" applyBorder="1" applyAlignment="1">
      <alignment horizontal="center"/>
    </xf>
    <xf numFmtId="167" fontId="4" fillId="4" borderId="9" xfId="0" applyNumberFormat="1" applyFont="1" applyFill="1" applyBorder="1" applyAlignment="1">
      <alignment horizontal="center"/>
    </xf>
    <xf numFmtId="167" fontId="4" fillId="4" borderId="2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3" fontId="2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8" fontId="0" fillId="0" borderId="2" xfId="0" applyNumberFormat="1" applyBorder="1"/>
    <xf numFmtId="168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1" xfId="0" applyFont="1" applyFill="1" applyBorder="1"/>
    <xf numFmtId="3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4" fillId="4" borderId="0" xfId="0" applyFont="1" applyFill="1" applyBorder="1"/>
    <xf numFmtId="0" fontId="4" fillId="4" borderId="8" xfId="0" applyFont="1" applyFill="1" applyBorder="1"/>
    <xf numFmtId="0" fontId="4" fillId="0" borderId="13" xfId="0" applyFont="1" applyBorder="1"/>
    <xf numFmtId="0" fontId="0" fillId="0" borderId="15" xfId="0" applyBorder="1"/>
    <xf numFmtId="0" fontId="0" fillId="0" borderId="14" xfId="0" applyBorder="1"/>
    <xf numFmtId="0" fontId="4" fillId="0" borderId="11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166" fontId="0" fillId="0" borderId="11" xfId="0" applyNumberFormat="1" applyBorder="1"/>
    <xf numFmtId="166" fontId="0" fillId="0" borderId="3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2" fillId="3" borderId="1" xfId="0" applyFont="1" applyFill="1" applyBorder="1"/>
    <xf numFmtId="0" fontId="0" fillId="4" borderId="0" xfId="0" applyFill="1" applyAlignment="1"/>
    <xf numFmtId="0" fontId="2" fillId="2" borderId="1" xfId="0" applyFont="1" applyFill="1" applyBorder="1" applyAlignment="1"/>
    <xf numFmtId="3" fontId="0" fillId="4" borderId="0" xfId="0" applyNumberFormat="1" applyFill="1"/>
    <xf numFmtId="0" fontId="2" fillId="4" borderId="0" xfId="0" applyFont="1" applyFill="1"/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4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9" fontId="0" fillId="0" borderId="0" xfId="2" applyNumberFormat="1" applyFont="1"/>
    <xf numFmtId="0" fontId="2" fillId="4" borderId="0" xfId="0" applyFont="1" applyFill="1" applyBorder="1"/>
    <xf numFmtId="9" fontId="0" fillId="0" borderId="0" xfId="0" applyNumberFormat="1"/>
    <xf numFmtId="10" fontId="0" fillId="0" borderId="0" xfId="1" applyNumberFormat="1" applyFont="1"/>
    <xf numFmtId="0" fontId="2" fillId="2" borderId="29" xfId="0" applyFont="1" applyFill="1" applyBorder="1" applyAlignment="1">
      <alignment horizontal="center"/>
    </xf>
    <xf numFmtId="0" fontId="0" fillId="4" borderId="19" xfId="0" applyFill="1" applyBorder="1"/>
    <xf numFmtId="3" fontId="0" fillId="0" borderId="19" xfId="0" applyNumberFormat="1" applyBorder="1"/>
    <xf numFmtId="0" fontId="0" fillId="0" borderId="19" xfId="0" applyBorder="1"/>
    <xf numFmtId="0" fontId="4" fillId="7" borderId="19" xfId="0" applyFont="1" applyFill="1" applyBorder="1"/>
    <xf numFmtId="3" fontId="0" fillId="7" borderId="19" xfId="0" applyNumberFormat="1" applyFill="1" applyBorder="1"/>
    <xf numFmtId="0" fontId="0" fillId="7" borderId="19" xfId="0" applyFill="1" applyBorder="1"/>
    <xf numFmtId="9" fontId="0" fillId="7" borderId="0" xfId="0" applyNumberFormat="1" applyFill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11" fillId="8" borderId="31" xfId="0" applyFont="1" applyFill="1" applyBorder="1" applyAlignment="1">
      <alignment vertical="center"/>
    </xf>
    <xf numFmtId="0" fontId="11" fillId="8" borderId="31" xfId="0" applyFont="1" applyFill="1" applyBorder="1" applyAlignment="1">
      <alignment horizontal="center" vertical="center"/>
    </xf>
    <xf numFmtId="0" fontId="12" fillId="0" borderId="30" xfId="0" applyFont="1" applyBorder="1" applyAlignment="1">
      <alignment vertical="center" wrapText="1"/>
    </xf>
    <xf numFmtId="170" fontId="12" fillId="0" borderId="32" xfId="0" applyNumberFormat="1" applyFont="1" applyBorder="1" applyAlignment="1">
      <alignment vertical="center"/>
    </xf>
    <xf numFmtId="0" fontId="12" fillId="9" borderId="30" xfId="0" applyFont="1" applyFill="1" applyBorder="1" applyAlignment="1">
      <alignment vertical="center" wrapText="1"/>
    </xf>
    <xf numFmtId="170" fontId="12" fillId="9" borderId="32" xfId="0" applyNumberFormat="1" applyFont="1" applyFill="1" applyBorder="1" applyAlignment="1">
      <alignment vertical="center"/>
    </xf>
    <xf numFmtId="0" fontId="12" fillId="10" borderId="30" xfId="0" applyFont="1" applyFill="1" applyBorder="1" applyAlignment="1">
      <alignment vertical="center" wrapText="1"/>
    </xf>
    <xf numFmtId="170" fontId="12" fillId="10" borderId="30" xfId="0" applyNumberFormat="1" applyFont="1" applyFill="1" applyBorder="1" applyAlignment="1">
      <alignment vertical="center" wrapText="1"/>
    </xf>
    <xf numFmtId="170" fontId="12" fillId="10" borderId="32" xfId="0" applyNumberFormat="1" applyFont="1" applyFill="1" applyBorder="1" applyAlignment="1">
      <alignment vertical="center"/>
    </xf>
    <xf numFmtId="170" fontId="12" fillId="9" borderId="34" xfId="0" applyNumberFormat="1" applyFont="1" applyFill="1" applyBorder="1" applyAlignment="1">
      <alignment vertical="center"/>
    </xf>
    <xf numFmtId="9" fontId="12" fillId="9" borderId="34" xfId="1" applyFont="1" applyFill="1" applyBorder="1" applyAlignment="1">
      <alignment vertical="center"/>
    </xf>
    <xf numFmtId="0" fontId="0" fillId="11" borderId="0" xfId="0" applyFont="1" applyFill="1"/>
    <xf numFmtId="0" fontId="10" fillId="11" borderId="35" xfId="0" applyFont="1" applyFill="1" applyBorder="1" applyAlignment="1">
      <alignment vertical="center" wrapText="1"/>
    </xf>
    <xf numFmtId="0" fontId="3" fillId="11" borderId="0" xfId="0" applyFont="1" applyFill="1"/>
    <xf numFmtId="170" fontId="12" fillId="0" borderId="34" xfId="0" applyNumberFormat="1" applyFont="1" applyBorder="1" applyAlignment="1">
      <alignment vertical="center" wrapText="1"/>
    </xf>
    <xf numFmtId="170" fontId="12" fillId="0" borderId="36" xfId="0" applyNumberFormat="1" applyFont="1" applyBorder="1" applyAlignment="1">
      <alignment vertical="center" wrapText="1"/>
    </xf>
    <xf numFmtId="170" fontId="12" fillId="9" borderId="36" xfId="0" applyNumberFormat="1" applyFont="1" applyFill="1" applyBorder="1" applyAlignment="1">
      <alignment vertical="center" wrapText="1"/>
    </xf>
    <xf numFmtId="170" fontId="12" fillId="0" borderId="34" xfId="0" applyNumberFormat="1" applyFont="1" applyBorder="1" applyAlignment="1">
      <alignment vertical="center"/>
    </xf>
    <xf numFmtId="170" fontId="12" fillId="0" borderId="36" xfId="0" applyNumberFormat="1" applyFont="1" applyBorder="1" applyAlignment="1">
      <alignment vertical="center"/>
    </xf>
    <xf numFmtId="0" fontId="0" fillId="4" borderId="0" xfId="0" applyFont="1" applyFill="1"/>
    <xf numFmtId="3" fontId="0" fillId="4" borderId="0" xfId="0" applyNumberFormat="1" applyFont="1" applyFill="1"/>
    <xf numFmtId="10" fontId="0" fillId="4" borderId="0" xfId="0" applyNumberFormat="1" applyFont="1" applyFill="1"/>
    <xf numFmtId="9" fontId="0" fillId="4" borderId="0" xfId="0" applyNumberFormat="1" applyFont="1" applyFill="1"/>
    <xf numFmtId="0" fontId="11" fillId="8" borderId="33" xfId="0" applyFont="1" applyFill="1" applyBorder="1" applyAlignment="1">
      <alignment horizontal="right" vertical="center"/>
    </xf>
    <xf numFmtId="0" fontId="11" fillId="8" borderId="31" xfId="0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3" fontId="2" fillId="4" borderId="11" xfId="0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3" fontId="0" fillId="4" borderId="26" xfId="0" applyNumberFormat="1" applyFill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0" fillId="4" borderId="28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13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righ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</cellXfs>
  <cellStyles count="35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Moneda" xfId="2" builtinId="4"/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abSelected="1" zoomScale="110" zoomScaleNormal="110" zoomScalePageLayoutView="110" workbookViewId="0">
      <selection activeCell="B22" sqref="B22:D24"/>
    </sheetView>
  </sheetViews>
  <sheetFormatPr baseColWidth="10" defaultColWidth="11.5" defaultRowHeight="12" x14ac:dyDescent="0"/>
  <cols>
    <col min="1" max="1" width="6.33203125" customWidth="1"/>
    <col min="2" max="2" width="4.6640625" customWidth="1"/>
    <col min="3" max="3" width="20.5" bestFit="1" customWidth="1"/>
    <col min="4" max="10" width="12.1640625" customWidth="1"/>
  </cols>
  <sheetData>
    <row r="1" spans="2:10" ht="17">
      <c r="B1" s="159" t="s">
        <v>134</v>
      </c>
      <c r="C1" s="159"/>
      <c r="D1" s="159"/>
      <c r="E1" s="159"/>
      <c r="F1" s="159"/>
      <c r="G1" s="159"/>
      <c r="H1" s="159"/>
      <c r="I1" s="159"/>
      <c r="J1" s="159"/>
    </row>
    <row r="4" spans="2:10" ht="14" thickBot="1">
      <c r="B4" s="145"/>
      <c r="C4" s="146" t="s">
        <v>45</v>
      </c>
      <c r="D4" s="147"/>
      <c r="E4" s="145"/>
      <c r="F4" s="145"/>
      <c r="G4" s="145"/>
      <c r="H4" s="145"/>
      <c r="I4" s="145"/>
      <c r="J4" s="145"/>
    </row>
    <row r="5" spans="2:10" ht="16" thickBot="1">
      <c r="B5" s="134" t="s">
        <v>110</v>
      </c>
      <c r="C5" s="134" t="s">
        <v>46</v>
      </c>
      <c r="D5" s="135">
        <v>0</v>
      </c>
      <c r="E5" s="135">
        <v>1</v>
      </c>
      <c r="F5" s="135">
        <v>2</v>
      </c>
      <c r="G5" s="135">
        <v>3</v>
      </c>
      <c r="H5" s="135">
        <v>4</v>
      </c>
      <c r="I5" s="135">
        <v>5</v>
      </c>
      <c r="J5" s="135">
        <v>6</v>
      </c>
    </row>
    <row r="6" spans="2:10" ht="13" thickBot="1">
      <c r="B6" s="136" t="s">
        <v>47</v>
      </c>
      <c r="C6" s="136" t="s">
        <v>48</v>
      </c>
      <c r="D6" s="148"/>
      <c r="E6" s="137">
        <f>INGRESOS!D18</f>
        <v>109500000</v>
      </c>
      <c r="F6" s="137">
        <f>INGRESOS!F18</f>
        <v>135999999.99999997</v>
      </c>
      <c r="G6" s="137">
        <f>INGRESOS!H18</f>
        <v>153591999.99999997</v>
      </c>
      <c r="H6" s="137">
        <f>INGRESOS!J18</f>
        <v>173567527.27272725</v>
      </c>
      <c r="I6" s="137">
        <f>INGRESOS!L18</f>
        <v>196260904.29752061</v>
      </c>
      <c r="J6" s="137">
        <f>INGRESOS!N18</f>
        <v>222054492.23365882</v>
      </c>
    </row>
    <row r="7" spans="2:10" ht="13" thickBot="1">
      <c r="B7" s="136" t="s">
        <v>47</v>
      </c>
      <c r="C7" s="136" t="s">
        <v>111</v>
      </c>
      <c r="D7" s="149"/>
      <c r="E7" s="137">
        <v>5000000</v>
      </c>
      <c r="F7" s="137">
        <f>E7*1.3</f>
        <v>6500000</v>
      </c>
      <c r="G7" s="137">
        <f>F7*1.3</f>
        <v>8450000</v>
      </c>
      <c r="H7" s="137">
        <f>G7*1.3</f>
        <v>10985000</v>
      </c>
      <c r="I7" s="137">
        <f>H7*1.3</f>
        <v>14280500</v>
      </c>
      <c r="J7" s="137">
        <f>I7*1.3</f>
        <v>18564650</v>
      </c>
    </row>
    <row r="8" spans="2:10" ht="13" thickBot="1">
      <c r="B8" s="136" t="s">
        <v>49</v>
      </c>
      <c r="C8" s="136" t="s">
        <v>108</v>
      </c>
      <c r="D8" s="149"/>
      <c r="E8" s="137">
        <f>-'CREACIÓN CURSOS'!D14</f>
        <v>-4400000</v>
      </c>
      <c r="F8" s="137">
        <f>-'CREACIÓN CURSOS'!E14</f>
        <v>-4400000</v>
      </c>
      <c r="G8" s="137">
        <f>-'CREACIÓN CURSOS'!F14</f>
        <v>-4400000</v>
      </c>
      <c r="H8" s="137">
        <f>-'CREACIÓN CURSOS'!G14</f>
        <v>-4400000</v>
      </c>
      <c r="I8" s="137">
        <f>-'CREACIÓN CURSOS'!H14</f>
        <v>-4400000</v>
      </c>
      <c r="J8" s="137">
        <f>-'CREACIÓN CURSOS'!I14</f>
        <v>-4400000</v>
      </c>
    </row>
    <row r="9" spans="2:10" ht="13" thickBot="1">
      <c r="B9" s="136" t="s">
        <v>49</v>
      </c>
      <c r="C9" s="136" t="s">
        <v>50</v>
      </c>
      <c r="D9" s="149"/>
      <c r="E9" s="137">
        <f>-INGRESOS!D18*('ESTRUCTURA DE COSTOS'!$D$18+'ESTRUCTURA DE COSTOS'!$D$19)</f>
        <v>-8212500.0000000009</v>
      </c>
      <c r="F9" s="137">
        <f>-INGRESOS!F18*('ESTRUCTURA DE COSTOS'!$D$18+'ESTRUCTURA DE COSTOS'!$D$19)</f>
        <v>-10200000</v>
      </c>
      <c r="G9" s="137">
        <f>-INGRESOS!H18*('ESTRUCTURA DE COSTOS'!$D$18+'ESTRUCTURA DE COSTOS'!$D$19)</f>
        <v>-11519400</v>
      </c>
      <c r="H9" s="137">
        <f>-INGRESOS!J18*('ESTRUCTURA DE COSTOS'!$D$18+'ESTRUCTURA DE COSTOS'!$D$19)</f>
        <v>-13017564.545454545</v>
      </c>
      <c r="I9" s="137">
        <f>-INGRESOS!L18*('ESTRUCTURA DE COSTOS'!$D$18+'ESTRUCTURA DE COSTOS'!$D$19)</f>
        <v>-14719567.822314048</v>
      </c>
      <c r="J9" s="137">
        <f>-INGRESOS!N18*('ESTRUCTURA DE COSTOS'!$D$18+'ESTRUCTURA DE COSTOS'!$D$19)</f>
        <v>-16654086.917524414</v>
      </c>
    </row>
    <row r="10" spans="2:10" ht="13" thickBot="1">
      <c r="B10" s="136" t="s">
        <v>49</v>
      </c>
      <c r="C10" s="136" t="s">
        <v>51</v>
      </c>
      <c r="D10" s="149"/>
      <c r="E10" s="137">
        <f>-'ESTRUCTURA DE COSTOS'!H8</f>
        <v>-113378600</v>
      </c>
      <c r="F10" s="137">
        <f>-'ESTRUCTURA DE COSTOS'!I8</f>
        <v>-123847530.00000001</v>
      </c>
      <c r="G10" s="137">
        <f>-'ESTRUCTURA DE COSTOS'!J8</f>
        <v>-135319906.50000003</v>
      </c>
      <c r="H10" s="137">
        <f>-'ESTRUCTURA DE COSTOS'!K8</f>
        <v>-147893901.82500005</v>
      </c>
      <c r="I10" s="137">
        <f>-'ESTRUCTURA DE COSTOS'!L8</f>
        <v>-161677396.91625005</v>
      </c>
      <c r="J10" s="137">
        <f>-'ESTRUCTURA DE COSTOS'!M8</f>
        <v>-176788946.76206258</v>
      </c>
    </row>
    <row r="11" spans="2:10" ht="13" thickBot="1">
      <c r="B11" s="136" t="s">
        <v>49</v>
      </c>
      <c r="C11" s="136" t="s">
        <v>52</v>
      </c>
      <c r="D11" s="149"/>
      <c r="E11" s="137">
        <f>-DEPRECIACION!$G$9</f>
        <v>-526666.66666666663</v>
      </c>
      <c r="F11" s="137">
        <f>-DEPRECIACION!$G$9</f>
        <v>-526666.66666666663</v>
      </c>
      <c r="G11" s="137">
        <f>-DEPRECIACION!$G$9</f>
        <v>-526666.66666666663</v>
      </c>
      <c r="H11" s="137">
        <f>-DEPRECIACION!$G$9</f>
        <v>-526666.66666666663</v>
      </c>
      <c r="I11" s="137">
        <f>-DEPRECIACION!$G$9</f>
        <v>-526666.66666666663</v>
      </c>
      <c r="J11" s="137">
        <f>-DEPRECIACION!$G$9</f>
        <v>-526666.66666666663</v>
      </c>
    </row>
    <row r="12" spans="2:10" ht="13" thickBot="1">
      <c r="B12" s="138" t="s">
        <v>53</v>
      </c>
      <c r="C12" s="138" t="s">
        <v>54</v>
      </c>
      <c r="D12" s="150"/>
      <c r="E12" s="139">
        <f t="shared" ref="E12:J12" si="0">SUM(E6:E11)</f>
        <v>-12017766.666666666</v>
      </c>
      <c r="F12" s="139">
        <f t="shared" si="0"/>
        <v>3525803.3333332888</v>
      </c>
      <c r="G12" s="139">
        <f t="shared" si="0"/>
        <v>10276026.833333274</v>
      </c>
      <c r="H12" s="139">
        <f t="shared" si="0"/>
        <v>18714394.235606004</v>
      </c>
      <c r="I12" s="139">
        <f t="shared" si="0"/>
        <v>29217772.892289836</v>
      </c>
      <c r="J12" s="139">
        <f t="shared" si="0"/>
        <v>42249441.88740515</v>
      </c>
    </row>
    <row r="13" spans="2:10" ht="13" thickBot="1">
      <c r="B13" s="136" t="s">
        <v>49</v>
      </c>
      <c r="C13" s="136" t="s">
        <v>55</v>
      </c>
      <c r="D13" s="149"/>
      <c r="E13" s="137">
        <f>'G. FINANCIERO'!$E$5</f>
        <v>-2839324.8655647454</v>
      </c>
      <c r="F13" s="137">
        <f>'G. FINANCIERO'!$E$5</f>
        <v>-2839324.8655647454</v>
      </c>
      <c r="G13" s="137">
        <f>'G. FINANCIERO'!$E$5</f>
        <v>-2839324.8655647454</v>
      </c>
      <c r="H13" s="137">
        <f>'G. FINANCIERO'!$E$5</f>
        <v>-2839324.8655647454</v>
      </c>
      <c r="I13" s="137">
        <f>'G. FINANCIERO'!$E$5</f>
        <v>-2839324.8655647454</v>
      </c>
      <c r="J13" s="137">
        <f>'G. FINANCIERO'!$E$5</f>
        <v>-2839324.8655647454</v>
      </c>
    </row>
    <row r="14" spans="2:10" ht="13" thickBot="1">
      <c r="B14" s="138" t="s">
        <v>53</v>
      </c>
      <c r="C14" s="138" t="s">
        <v>56</v>
      </c>
      <c r="D14" s="150"/>
      <c r="E14" s="139">
        <f t="shared" ref="E14:J14" si="1">SUM(E12:E13)</f>
        <v>-14857091.532231411</v>
      </c>
      <c r="F14" s="139">
        <f t="shared" si="1"/>
        <v>686478.4677685434</v>
      </c>
      <c r="G14" s="139">
        <f t="shared" si="1"/>
        <v>7436701.9677685294</v>
      </c>
      <c r="H14" s="139">
        <f t="shared" si="1"/>
        <v>15875069.370041259</v>
      </c>
      <c r="I14" s="139">
        <f t="shared" si="1"/>
        <v>26378448.026725091</v>
      </c>
      <c r="J14" s="139">
        <f t="shared" si="1"/>
        <v>39410117.021840401</v>
      </c>
    </row>
    <row r="15" spans="2:10" ht="13" thickBot="1">
      <c r="B15" s="136" t="s">
        <v>49</v>
      </c>
      <c r="C15" s="136" t="s">
        <v>57</v>
      </c>
      <c r="D15" s="149"/>
      <c r="E15" s="137">
        <f t="shared" ref="E15:J15" si="2">+IF(E14&gt;0,-(E14*0.17),0)</f>
        <v>0</v>
      </c>
      <c r="F15" s="137">
        <f t="shared" si="2"/>
        <v>-116701.33952065239</v>
      </c>
      <c r="G15" s="137">
        <f t="shared" si="2"/>
        <v>-1264239.3345206501</v>
      </c>
      <c r="H15" s="137">
        <f t="shared" si="2"/>
        <v>-2698761.792907014</v>
      </c>
      <c r="I15" s="137">
        <f t="shared" si="2"/>
        <v>-4484336.1645432655</v>
      </c>
      <c r="J15" s="137">
        <f t="shared" si="2"/>
        <v>-6699719.8937128689</v>
      </c>
    </row>
    <row r="16" spans="2:10" ht="13" thickBot="1">
      <c r="B16" s="136" t="s">
        <v>47</v>
      </c>
      <c r="C16" s="136" t="s">
        <v>52</v>
      </c>
      <c r="D16" s="149"/>
      <c r="E16" s="137">
        <f t="shared" ref="E16:J16" si="3">-(E11)</f>
        <v>526666.66666666663</v>
      </c>
      <c r="F16" s="137">
        <f t="shared" si="3"/>
        <v>526666.66666666663</v>
      </c>
      <c r="G16" s="137">
        <f t="shared" si="3"/>
        <v>526666.66666666663</v>
      </c>
      <c r="H16" s="137">
        <f t="shared" si="3"/>
        <v>526666.66666666663</v>
      </c>
      <c r="I16" s="137">
        <f t="shared" si="3"/>
        <v>526666.66666666663</v>
      </c>
      <c r="J16" s="137">
        <f t="shared" si="3"/>
        <v>526666.66666666663</v>
      </c>
    </row>
    <row r="17" spans="2:10" ht="13" thickBot="1">
      <c r="B17" s="136" t="s">
        <v>49</v>
      </c>
      <c r="C17" s="136" t="s">
        <v>58</v>
      </c>
      <c r="D17" s="149"/>
      <c r="E17" s="137">
        <f>-'G. FINANCIERO'!$C$7</f>
        <v>-2061000</v>
      </c>
      <c r="F17" s="137">
        <f>-'G. FINANCIERO'!$C$7</f>
        <v>-2061000</v>
      </c>
      <c r="G17" s="137">
        <f>-'G. FINANCIERO'!$C$7</f>
        <v>-2061000</v>
      </c>
      <c r="H17" s="137">
        <f>-'G. FINANCIERO'!$C$7</f>
        <v>-2061000</v>
      </c>
      <c r="I17" s="137">
        <f>-'G. FINANCIERO'!$C$7</f>
        <v>-2061000</v>
      </c>
      <c r="J17" s="137">
        <f>-'G. FINANCIERO'!$C$7</f>
        <v>-2061000</v>
      </c>
    </row>
    <row r="18" spans="2:10" ht="13" thickBot="1">
      <c r="B18" s="136" t="s">
        <v>49</v>
      </c>
      <c r="C18" s="136" t="s">
        <v>59</v>
      </c>
      <c r="D18" s="151">
        <f>-INVERSION!D20</f>
        <v>-20610000</v>
      </c>
      <c r="E18" s="137"/>
      <c r="F18" s="137"/>
      <c r="G18" s="137"/>
      <c r="H18" s="137"/>
      <c r="I18" s="137"/>
      <c r="J18" s="137"/>
    </row>
    <row r="19" spans="2:10" ht="13" thickBot="1">
      <c r="B19" s="136"/>
      <c r="C19" s="136" t="s">
        <v>81</v>
      </c>
      <c r="D19" s="152">
        <f>'G. FINANCIERO'!C5</f>
        <v>12366000</v>
      </c>
      <c r="E19" s="137"/>
      <c r="F19" s="137"/>
      <c r="G19" s="137"/>
      <c r="H19" s="137"/>
      <c r="I19" s="137"/>
      <c r="J19" s="137"/>
    </row>
    <row r="20" spans="2:10" ht="13" thickBot="1">
      <c r="B20" s="140" t="s">
        <v>53</v>
      </c>
      <c r="C20" s="140" t="s">
        <v>60</v>
      </c>
      <c r="D20" s="141">
        <f>SUM(D18:D19)</f>
        <v>-8244000</v>
      </c>
      <c r="E20" s="142">
        <f t="shared" ref="E20:J20" si="4">SUM(E14:E19)</f>
        <v>-16391424.865564745</v>
      </c>
      <c r="F20" s="142">
        <f t="shared" si="4"/>
        <v>-964556.2050854424</v>
      </c>
      <c r="G20" s="142">
        <f t="shared" si="4"/>
        <v>4638129.2999145463</v>
      </c>
      <c r="H20" s="142">
        <f t="shared" si="4"/>
        <v>11641974.24380091</v>
      </c>
      <c r="I20" s="142">
        <f t="shared" si="4"/>
        <v>20359778.528848495</v>
      </c>
      <c r="J20" s="142">
        <f t="shared" si="4"/>
        <v>31176063.794794198</v>
      </c>
    </row>
    <row r="21" spans="2:10" ht="13" thickBot="1">
      <c r="B21" s="153"/>
      <c r="C21" s="153"/>
      <c r="D21" s="154"/>
      <c r="E21" s="154"/>
      <c r="F21" s="154"/>
      <c r="G21" s="154"/>
      <c r="H21" s="154"/>
      <c r="I21" s="154"/>
      <c r="J21" s="154"/>
    </row>
    <row r="22" spans="2:10" ht="16" thickBot="1">
      <c r="B22" s="157" t="s">
        <v>36</v>
      </c>
      <c r="C22" s="158"/>
      <c r="D22" s="143">
        <f>NPV(D24,E20:J20)+D20</f>
        <v>10079906.799768489</v>
      </c>
      <c r="E22" s="154"/>
      <c r="F22" s="155"/>
      <c r="G22" s="154"/>
      <c r="H22" s="154"/>
      <c r="I22" s="154"/>
      <c r="J22" s="154"/>
    </row>
    <row r="23" spans="2:10" ht="16" thickBot="1">
      <c r="B23" s="157" t="s">
        <v>35</v>
      </c>
      <c r="C23" s="158"/>
      <c r="D23" s="144">
        <f>IRR(D20:J20)</f>
        <v>0.25017156683584729</v>
      </c>
      <c r="E23" s="153"/>
      <c r="F23" s="156"/>
      <c r="G23" s="153"/>
      <c r="H23" s="153"/>
      <c r="I23" s="153"/>
      <c r="J23" s="153"/>
    </row>
    <row r="24" spans="2:10" ht="16" thickBot="1">
      <c r="B24" s="157" t="s">
        <v>82</v>
      </c>
      <c r="C24" s="157"/>
      <c r="D24" s="144">
        <v>0.15</v>
      </c>
      <c r="E24" s="153"/>
      <c r="F24" s="153"/>
      <c r="G24" s="153"/>
      <c r="H24" s="153"/>
      <c r="I24" s="153"/>
      <c r="J24" s="153"/>
    </row>
    <row r="27" spans="2:10">
      <c r="C27" s="121"/>
      <c r="D27" s="122"/>
      <c r="I27" t="s">
        <v>85</v>
      </c>
    </row>
    <row r="31" spans="2:10">
      <c r="D31" s="123"/>
    </row>
    <row r="33" spans="3:10">
      <c r="C33" t="s">
        <v>8</v>
      </c>
      <c r="E33" s="2">
        <f>'ESTRUCTURA DE COSTOS'!H6</f>
        <v>96000000</v>
      </c>
      <c r="F33">
        <f>E33*1.1</f>
        <v>105600000.00000001</v>
      </c>
      <c r="G33">
        <f t="shared" ref="G33:J33" si="5">F33*1.1</f>
        <v>116160000.00000003</v>
      </c>
      <c r="H33">
        <f t="shared" si="5"/>
        <v>127776000.00000004</v>
      </c>
      <c r="I33">
        <f t="shared" si="5"/>
        <v>140553600.00000006</v>
      </c>
      <c r="J33">
        <f t="shared" si="5"/>
        <v>154608960.00000009</v>
      </c>
    </row>
    <row r="34" spans="3:10">
      <c r="C34" t="s">
        <v>130</v>
      </c>
      <c r="E34" s="2">
        <f>'ESTRUCTURA DE COSTOS'!H7</f>
        <v>17378600</v>
      </c>
      <c r="F34">
        <f>E34*1.05</f>
        <v>18247530</v>
      </c>
      <c r="G34">
        <f t="shared" ref="G34:J34" si="6">F34*1.05</f>
        <v>19159906.5</v>
      </c>
      <c r="H34">
        <f t="shared" si="6"/>
        <v>20117901.824999999</v>
      </c>
      <c r="I34">
        <f t="shared" si="6"/>
        <v>21123796.916250002</v>
      </c>
      <c r="J34">
        <f t="shared" si="6"/>
        <v>22179986.762062501</v>
      </c>
    </row>
    <row r="35" spans="3:10">
      <c r="C35" t="s">
        <v>131</v>
      </c>
      <c r="E35">
        <f>SUM(E33:E34)</f>
        <v>113378600</v>
      </c>
      <c r="F35">
        <f t="shared" ref="F35:J35" si="7">SUM(F33:F34)</f>
        <v>123847530.00000001</v>
      </c>
      <c r="G35">
        <f t="shared" si="7"/>
        <v>135319906.50000003</v>
      </c>
      <c r="H35">
        <f t="shared" si="7"/>
        <v>147893901.82500005</v>
      </c>
      <c r="I35">
        <f t="shared" si="7"/>
        <v>161677396.91625005</v>
      </c>
      <c r="J35">
        <f t="shared" si="7"/>
        <v>176788946.76206258</v>
      </c>
    </row>
    <row r="37" spans="3:10">
      <c r="E37" s="2">
        <f>E10+E35</f>
        <v>0</v>
      </c>
      <c r="F37" s="2">
        <f t="shared" ref="F37:J37" si="8">F10+F35</f>
        <v>0</v>
      </c>
      <c r="G37" s="2">
        <f t="shared" si="8"/>
        <v>0</v>
      </c>
      <c r="H37" s="2">
        <f t="shared" si="8"/>
        <v>0</v>
      </c>
      <c r="I37" s="2">
        <f t="shared" si="8"/>
        <v>0</v>
      </c>
      <c r="J37" s="2">
        <f t="shared" si="8"/>
        <v>0</v>
      </c>
    </row>
    <row r="38" spans="3:10">
      <c r="C38" s="2">
        <f>F33-E33</f>
        <v>9600000.0000000149</v>
      </c>
    </row>
    <row r="39" spans="3:10">
      <c r="C39">
        <f>C38/12</f>
        <v>800000.00000000128</v>
      </c>
    </row>
  </sheetData>
  <mergeCells count="4">
    <mergeCell ref="B22:C22"/>
    <mergeCell ref="B23:C23"/>
    <mergeCell ref="B24:C24"/>
    <mergeCell ref="B1:J1"/>
  </mergeCells>
  <phoneticPr fontId="1" type="noConversion"/>
  <pageMargins left="0.75" right="0.75" top="1" bottom="1" header="0" footer="0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2" x14ac:dyDescent="0"/>
  <sheetData>
    <row r="3" spans="2:2">
      <c r="B3" t="s">
        <v>125</v>
      </c>
    </row>
    <row r="4" spans="2:2">
      <c r="B4" t="s">
        <v>126</v>
      </c>
    </row>
    <row r="5" spans="2:2">
      <c r="B5" t="s">
        <v>127</v>
      </c>
    </row>
    <row r="6" spans="2:2">
      <c r="B6" t="s">
        <v>128</v>
      </c>
    </row>
    <row r="7" spans="2:2">
      <c r="B7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zoomScale="110" zoomScaleNormal="110" zoomScalePageLayoutView="110" workbookViewId="0">
      <selection activeCell="F30" sqref="F30"/>
    </sheetView>
  </sheetViews>
  <sheetFormatPr baseColWidth="10" defaultColWidth="11.5" defaultRowHeight="12" x14ac:dyDescent="0"/>
  <cols>
    <col min="2" max="2" width="11" bestFit="1" customWidth="1"/>
    <col min="3" max="3" width="19.5" bestFit="1" customWidth="1"/>
  </cols>
  <sheetData>
    <row r="3" spans="2:4" ht="13" thickBot="1"/>
    <row r="4" spans="2:4" ht="13" thickBot="1">
      <c r="B4" s="164" t="s">
        <v>0</v>
      </c>
      <c r="C4" s="165"/>
      <c r="D4" s="8" t="s">
        <v>29</v>
      </c>
    </row>
    <row r="5" spans="2:4" ht="13" thickBot="1">
      <c r="B5" s="162" t="s">
        <v>2</v>
      </c>
      <c r="C5" s="163"/>
      <c r="D5" s="44"/>
    </row>
    <row r="6" spans="2:4">
      <c r="B6" s="39"/>
      <c r="C6" s="40" t="s">
        <v>11</v>
      </c>
      <c r="D6" s="14"/>
    </row>
    <row r="7" spans="2:4" ht="13" thickBot="1">
      <c r="B7" s="39"/>
      <c r="C7" s="40" t="s">
        <v>12</v>
      </c>
      <c r="D7" s="18"/>
    </row>
    <row r="8" spans="2:4" ht="13" thickBot="1">
      <c r="B8" s="162" t="s">
        <v>5</v>
      </c>
      <c r="C8" s="166"/>
      <c r="D8" s="45">
        <v>5000000</v>
      </c>
    </row>
    <row r="9" spans="2:4" ht="13" thickBot="1">
      <c r="B9" s="162" t="s">
        <v>6</v>
      </c>
      <c r="C9" s="163"/>
      <c r="D9" s="45">
        <v>2500000</v>
      </c>
    </row>
    <row r="10" spans="2:4" ht="13" thickBot="1">
      <c r="B10" s="162" t="s">
        <v>7</v>
      </c>
      <c r="C10" s="163"/>
      <c r="D10" s="44"/>
    </row>
    <row r="11" spans="2:4">
      <c r="B11" s="41">
        <v>7</v>
      </c>
      <c r="C11" s="40" t="s">
        <v>33</v>
      </c>
      <c r="D11" s="14">
        <f>400000*B11</f>
        <v>2800000</v>
      </c>
    </row>
    <row r="12" spans="2:4">
      <c r="B12" s="41">
        <v>1</v>
      </c>
      <c r="C12" s="40" t="s">
        <v>34</v>
      </c>
      <c r="D12" s="14">
        <v>300000</v>
      </c>
    </row>
    <row r="13" spans="2:4" ht="13" thickBot="1">
      <c r="B13" s="42">
        <v>1</v>
      </c>
      <c r="C13" s="13" t="s">
        <v>38</v>
      </c>
      <c r="D13" s="18">
        <v>60000</v>
      </c>
    </row>
    <row r="14" spans="2:4" ht="13" thickBot="1">
      <c r="B14" s="162" t="s">
        <v>1</v>
      </c>
      <c r="C14" s="163"/>
      <c r="D14" s="44"/>
    </row>
    <row r="15" spans="2:4">
      <c r="B15" s="42"/>
      <c r="C15" s="13" t="s">
        <v>10</v>
      </c>
      <c r="D15" s="14">
        <v>300000</v>
      </c>
    </row>
    <row r="16" spans="2:4">
      <c r="B16" s="42"/>
      <c r="C16" s="94" t="s">
        <v>106</v>
      </c>
      <c r="D16" s="14">
        <f>'CREACIÓN CURSOS'!C14</f>
        <v>4400000</v>
      </c>
    </row>
    <row r="17" spans="2:4">
      <c r="B17" s="42"/>
      <c r="C17" s="13" t="s">
        <v>84</v>
      </c>
      <c r="D17" s="14">
        <v>50000</v>
      </c>
    </row>
    <row r="18" spans="2:4">
      <c r="B18" s="42"/>
      <c r="C18" s="13" t="s">
        <v>83</v>
      </c>
      <c r="D18" s="14">
        <v>200000</v>
      </c>
    </row>
    <row r="19" spans="2:4" ht="13" thickBot="1">
      <c r="B19" s="43"/>
      <c r="C19" s="95" t="s">
        <v>107</v>
      </c>
      <c r="D19" s="18">
        <v>5000000</v>
      </c>
    </row>
    <row r="20" spans="2:4" ht="13" thickBot="1">
      <c r="B20" s="160" t="s">
        <v>37</v>
      </c>
      <c r="C20" s="161"/>
      <c r="D20" s="46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zoomScale="110" zoomScaleNormal="110" zoomScalePageLayoutView="110" workbookViewId="0">
      <selection activeCell="R17" sqref="R17"/>
    </sheetView>
  </sheetViews>
  <sheetFormatPr baseColWidth="10" defaultColWidth="11.5" defaultRowHeight="12" x14ac:dyDescent="0"/>
  <cols>
    <col min="1" max="1" width="2.6640625" customWidth="1"/>
    <col min="2" max="2" width="3.1640625" customWidth="1"/>
    <col min="3" max="3" width="16.1640625" bestFit="1" customWidth="1"/>
    <col min="4" max="4" width="4.1640625" customWidth="1"/>
    <col min="5" max="5" width="7.5" bestFit="1" customWidth="1"/>
    <col min="6" max="6" width="5.5" bestFit="1" customWidth="1"/>
    <col min="7" max="7" width="7.5" bestFit="1" customWidth="1"/>
    <col min="8" max="8" width="3.83203125" customWidth="1"/>
    <col min="9" max="9" width="7.5" bestFit="1" customWidth="1"/>
    <col min="10" max="10" width="4" bestFit="1" customWidth="1"/>
    <col min="11" max="11" width="7.5" bestFit="1" customWidth="1"/>
    <col min="12" max="12" width="5.5" bestFit="1" customWidth="1"/>
    <col min="13" max="13" width="7.5" bestFit="1" customWidth="1"/>
    <col min="14" max="14" width="5.5" bestFit="1" customWidth="1"/>
    <col min="15" max="15" width="7.5" bestFit="1" customWidth="1"/>
  </cols>
  <sheetData>
    <row r="2" spans="2:16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2:16" ht="13" thickBot="1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2:16" ht="13" thickBot="1">
      <c r="B4" s="87"/>
      <c r="C4" s="87"/>
      <c r="D4" s="179" t="s">
        <v>93</v>
      </c>
      <c r="E4" s="181"/>
      <c r="F4" s="179" t="s">
        <v>96</v>
      </c>
      <c r="G4" s="180"/>
      <c r="H4" s="181" t="s">
        <v>97</v>
      </c>
      <c r="I4" s="181"/>
      <c r="J4" s="179" t="s">
        <v>98</v>
      </c>
      <c r="K4" s="180"/>
      <c r="L4" s="181" t="s">
        <v>99</v>
      </c>
      <c r="M4" s="181"/>
      <c r="N4" s="179" t="s">
        <v>100</v>
      </c>
      <c r="O4" s="180"/>
      <c r="P4" s="87"/>
    </row>
    <row r="5" spans="2:16" ht="13" thickBot="1">
      <c r="B5" s="87"/>
      <c r="C5" s="87"/>
      <c r="D5" s="88" t="s">
        <v>91</v>
      </c>
      <c r="E5" s="89" t="s">
        <v>92</v>
      </c>
      <c r="F5" s="88" t="s">
        <v>91</v>
      </c>
      <c r="G5" s="90" t="s">
        <v>92</v>
      </c>
      <c r="H5" s="89" t="s">
        <v>91</v>
      </c>
      <c r="I5" s="89" t="s">
        <v>92</v>
      </c>
      <c r="J5" s="88" t="s">
        <v>91</v>
      </c>
      <c r="K5" s="90" t="s">
        <v>92</v>
      </c>
      <c r="L5" s="89" t="s">
        <v>91</v>
      </c>
      <c r="M5" s="89" t="s">
        <v>92</v>
      </c>
      <c r="N5" s="88" t="s">
        <v>91</v>
      </c>
      <c r="O5" s="90" t="s">
        <v>92</v>
      </c>
      <c r="P5" s="87"/>
    </row>
    <row r="6" spans="2:16" ht="13" thickBot="1">
      <c r="B6" s="87"/>
      <c r="C6" s="183" t="s">
        <v>89</v>
      </c>
      <c r="D6" s="115">
        <f>12*1*20</f>
        <v>240</v>
      </c>
      <c r="E6" s="92">
        <v>180000</v>
      </c>
      <c r="F6" s="92">
        <f>20*1.1*12</f>
        <v>264</v>
      </c>
      <c r="G6" s="92">
        <v>180000</v>
      </c>
      <c r="H6" s="92">
        <f>F6*(1+$C$29)</f>
        <v>288</v>
      </c>
      <c r="I6" s="92">
        <v>180000</v>
      </c>
      <c r="J6" s="92">
        <f>H6*(1+$C$29)</f>
        <v>314.18181818181813</v>
      </c>
      <c r="K6" s="92">
        <v>180000</v>
      </c>
      <c r="L6" s="92">
        <f>J6*(1+$C$29)</f>
        <v>342.7438016528925</v>
      </c>
      <c r="M6" s="92">
        <v>180000</v>
      </c>
      <c r="N6" s="92">
        <f>L6*(1+$C$29)</f>
        <v>373.90232907588268</v>
      </c>
      <c r="O6" s="92">
        <v>180000</v>
      </c>
      <c r="P6" s="87"/>
    </row>
    <row r="7" spans="2:16" ht="13" thickBot="1">
      <c r="B7" s="87"/>
      <c r="C7" s="184"/>
      <c r="D7" s="173">
        <f>D6*E6</f>
        <v>43200000</v>
      </c>
      <c r="E7" s="178"/>
      <c r="F7" s="173">
        <f>F6*G6</f>
        <v>47520000</v>
      </c>
      <c r="G7" s="174"/>
      <c r="H7" s="178">
        <f>H6*I6</f>
        <v>51840000</v>
      </c>
      <c r="I7" s="178"/>
      <c r="J7" s="173">
        <f>J6*K6</f>
        <v>56552727.272727266</v>
      </c>
      <c r="K7" s="174"/>
      <c r="L7" s="178">
        <f>L6*M6</f>
        <v>61693884.297520652</v>
      </c>
      <c r="M7" s="178"/>
      <c r="N7" s="173">
        <f>N6*O6</f>
        <v>67302419.23365888</v>
      </c>
      <c r="O7" s="174"/>
      <c r="P7" s="87"/>
    </row>
    <row r="8" spans="2:16" ht="13" thickBot="1">
      <c r="B8" s="87"/>
      <c r="C8" s="183" t="s">
        <v>114</v>
      </c>
      <c r="D8" s="92">
        <f>D10*0.9</f>
        <v>90</v>
      </c>
      <c r="E8" s="92">
        <v>70000</v>
      </c>
      <c r="F8" s="92">
        <f>(F10-D10)*0.9+0.2*D10</f>
        <v>33.499999999999986</v>
      </c>
      <c r="G8" s="92">
        <v>70000</v>
      </c>
      <c r="H8" s="92">
        <f>(H10-F10)*0.9+0.2*F10</f>
        <v>38.524999999999991</v>
      </c>
      <c r="I8" s="92">
        <v>70000</v>
      </c>
      <c r="J8" s="92">
        <f>(J10-H10)*0.9+0.2*H10</f>
        <v>44.30374999999998</v>
      </c>
      <c r="K8" s="92">
        <v>70000</v>
      </c>
      <c r="L8" s="92">
        <f>(L10-J10)*0.9+0.2*J10</f>
        <v>50.949312499999976</v>
      </c>
      <c r="M8" s="92">
        <v>70000</v>
      </c>
      <c r="N8" s="92">
        <f>(N10-L10)*0.9+0.2*L10</f>
        <v>58.591709374999965</v>
      </c>
      <c r="O8" s="92">
        <v>70000</v>
      </c>
      <c r="P8" s="87"/>
    </row>
    <row r="9" spans="2:16" ht="13" thickBot="1">
      <c r="B9" s="87"/>
      <c r="C9" s="185"/>
      <c r="D9" s="176">
        <f>D8*E8</f>
        <v>6300000</v>
      </c>
      <c r="E9" s="175"/>
      <c r="F9" s="176">
        <f>F8*G8</f>
        <v>2344999.9999999991</v>
      </c>
      <c r="G9" s="177"/>
      <c r="H9" s="175">
        <f>H8*I8</f>
        <v>2696749.9999999995</v>
      </c>
      <c r="I9" s="175"/>
      <c r="J9" s="176">
        <f>J8*K8</f>
        <v>3101262.4999999986</v>
      </c>
      <c r="K9" s="177"/>
      <c r="L9" s="175">
        <f>L8*M8</f>
        <v>3566451.8749999981</v>
      </c>
      <c r="M9" s="175"/>
      <c r="N9" s="176">
        <f>N8*O8</f>
        <v>4101419.6562499977</v>
      </c>
      <c r="O9" s="177"/>
      <c r="P9" s="87"/>
    </row>
    <row r="10" spans="2:16" ht="13" thickBot="1">
      <c r="B10" s="87"/>
      <c r="C10" s="184" t="s">
        <v>90</v>
      </c>
      <c r="D10" s="92">
        <v>100</v>
      </c>
      <c r="E10" s="92">
        <f>$C$23*12</f>
        <v>600000</v>
      </c>
      <c r="F10" s="92">
        <f>D10*(1+$C$26)</f>
        <v>114.99999999999999</v>
      </c>
      <c r="G10" s="92">
        <f>$C$23*12</f>
        <v>600000</v>
      </c>
      <c r="H10" s="92">
        <f>F10*(1+$C$26)</f>
        <v>132.24999999999997</v>
      </c>
      <c r="I10" s="92">
        <f>$C$23*12</f>
        <v>600000</v>
      </c>
      <c r="J10" s="92">
        <f>H10*(1+$C$26)</f>
        <v>152.08749999999995</v>
      </c>
      <c r="K10" s="92">
        <f>$C$23*12</f>
        <v>600000</v>
      </c>
      <c r="L10" s="92">
        <f>J10*(1+$C$26)</f>
        <v>174.90062499999993</v>
      </c>
      <c r="M10" s="92">
        <f>$C$23*12</f>
        <v>600000</v>
      </c>
      <c r="N10" s="92">
        <f>L10*(1+$C$26)</f>
        <v>201.13571874999991</v>
      </c>
      <c r="O10" s="92">
        <f>$C$23*12</f>
        <v>600000</v>
      </c>
      <c r="P10" s="87"/>
    </row>
    <row r="11" spans="2:16" ht="13" thickBot="1">
      <c r="B11" s="87"/>
      <c r="C11" s="184"/>
      <c r="D11" s="173">
        <f>D10*E10</f>
        <v>60000000</v>
      </c>
      <c r="E11" s="178"/>
      <c r="F11" s="173">
        <f>F10*G10</f>
        <v>68999999.999999985</v>
      </c>
      <c r="G11" s="174"/>
      <c r="H11" s="178">
        <f>H10*I10</f>
        <v>79349999.999999985</v>
      </c>
      <c r="I11" s="178"/>
      <c r="J11" s="173">
        <f>J10*K10</f>
        <v>91252499.99999997</v>
      </c>
      <c r="K11" s="174"/>
      <c r="L11" s="178">
        <f>L10*M10</f>
        <v>104940374.99999996</v>
      </c>
      <c r="M11" s="178"/>
      <c r="N11" s="173">
        <f>N10*O10</f>
        <v>120681431.24999994</v>
      </c>
      <c r="O11" s="174"/>
      <c r="P11" s="87"/>
    </row>
    <row r="12" spans="2:16" ht="13" thickBot="1">
      <c r="B12" s="87"/>
      <c r="C12" s="183" t="s">
        <v>122</v>
      </c>
      <c r="D12" s="92"/>
      <c r="E12" s="92"/>
      <c r="F12" s="92">
        <f>0.7*F10</f>
        <v>80.499999999999986</v>
      </c>
      <c r="G12" s="92">
        <f>10000*12</f>
        <v>120000</v>
      </c>
      <c r="H12" s="92">
        <f>0.7*H10</f>
        <v>92.574999999999974</v>
      </c>
      <c r="I12" s="92">
        <f>10000*12</f>
        <v>120000</v>
      </c>
      <c r="J12" s="92">
        <f>0.7*J10</f>
        <v>106.46124999999996</v>
      </c>
      <c r="K12" s="92">
        <f>10000*12</f>
        <v>120000</v>
      </c>
      <c r="L12" s="92">
        <f>0.7*L10</f>
        <v>122.43043749999994</v>
      </c>
      <c r="M12" s="92">
        <f>10000*12</f>
        <v>120000</v>
      </c>
      <c r="N12" s="92">
        <f>0.7*N10</f>
        <v>140.79500312499994</v>
      </c>
      <c r="O12" s="92">
        <f>10000*12</f>
        <v>120000</v>
      </c>
      <c r="P12" s="87"/>
    </row>
    <row r="13" spans="2:16" ht="13" thickBot="1">
      <c r="B13" s="87"/>
      <c r="C13" s="185"/>
      <c r="D13" s="176">
        <f>D12*E12</f>
        <v>0</v>
      </c>
      <c r="E13" s="175"/>
      <c r="F13" s="176">
        <f>F12*G12</f>
        <v>9659999.9999999981</v>
      </c>
      <c r="G13" s="177"/>
      <c r="H13" s="175">
        <f>H12*I12</f>
        <v>11108999.999999996</v>
      </c>
      <c r="I13" s="175"/>
      <c r="J13" s="176">
        <f>J12*K12</f>
        <v>12775349.999999996</v>
      </c>
      <c r="K13" s="177"/>
      <c r="L13" s="175">
        <f>L12*M12</f>
        <v>14691652.499999993</v>
      </c>
      <c r="M13" s="175"/>
      <c r="N13" s="176">
        <f>N12*O12</f>
        <v>16895400.374999993</v>
      </c>
      <c r="O13" s="177"/>
      <c r="P13" s="87"/>
    </row>
    <row r="14" spans="2:16" ht="13" thickBot="1">
      <c r="B14" s="87"/>
      <c r="C14" s="184" t="s">
        <v>94</v>
      </c>
      <c r="D14" s="92"/>
      <c r="E14" s="92"/>
      <c r="F14" s="92">
        <f>0.3*F10</f>
        <v>34.499999999999993</v>
      </c>
      <c r="G14" s="92">
        <v>50000</v>
      </c>
      <c r="H14" s="92">
        <f>0.3*H10</f>
        <v>39.67499999999999</v>
      </c>
      <c r="I14" s="92">
        <v>50000</v>
      </c>
      <c r="J14" s="92">
        <f>0.3*J10</f>
        <v>45.626249999999985</v>
      </c>
      <c r="K14" s="92">
        <v>50000</v>
      </c>
      <c r="L14" s="92">
        <f>0.3*L10</f>
        <v>52.47018749999998</v>
      </c>
      <c r="M14" s="92">
        <v>50000</v>
      </c>
      <c r="N14" s="92">
        <f>0.3*N10</f>
        <v>60.340715624999973</v>
      </c>
      <c r="O14" s="92">
        <v>50000</v>
      </c>
      <c r="P14" s="87"/>
    </row>
    <row r="15" spans="2:16" ht="13" thickBot="1">
      <c r="B15" s="87"/>
      <c r="C15" s="184"/>
      <c r="D15" s="173">
        <f>D14*E14</f>
        <v>0</v>
      </c>
      <c r="E15" s="178"/>
      <c r="F15" s="173">
        <f>F14*G14</f>
        <v>1724999.9999999995</v>
      </c>
      <c r="G15" s="174"/>
      <c r="H15" s="178">
        <f>H14*I14</f>
        <v>1983749.9999999995</v>
      </c>
      <c r="I15" s="178"/>
      <c r="J15" s="173">
        <f>J14*K14</f>
        <v>2281312.4999999991</v>
      </c>
      <c r="K15" s="174"/>
      <c r="L15" s="178">
        <f>L14*M14</f>
        <v>2623509.3749999991</v>
      </c>
      <c r="M15" s="178"/>
      <c r="N15" s="173">
        <f>N14*O14</f>
        <v>3017035.7812499986</v>
      </c>
      <c r="O15" s="174"/>
      <c r="P15" s="87"/>
    </row>
    <row r="16" spans="2:16" ht="13" thickBot="1">
      <c r="B16" s="87"/>
      <c r="C16" s="183" t="s">
        <v>95</v>
      </c>
      <c r="D16" s="92"/>
      <c r="E16" s="92"/>
      <c r="F16" s="92">
        <f>0.5*F10</f>
        <v>57.499999999999993</v>
      </c>
      <c r="G16" s="92">
        <v>100000</v>
      </c>
      <c r="H16" s="92">
        <f>0.5*H10</f>
        <v>66.124999999999986</v>
      </c>
      <c r="I16" s="92">
        <v>100000</v>
      </c>
      <c r="J16" s="92">
        <f>0.5*J10</f>
        <v>76.043749999999974</v>
      </c>
      <c r="K16" s="92">
        <v>100000</v>
      </c>
      <c r="L16" s="92">
        <f>0.5*L10</f>
        <v>87.450312499999967</v>
      </c>
      <c r="M16" s="92">
        <v>100000</v>
      </c>
      <c r="N16" s="92">
        <f>0.5*N10</f>
        <v>100.56785937499995</v>
      </c>
      <c r="O16" s="92">
        <v>100000</v>
      </c>
      <c r="P16" s="87"/>
    </row>
    <row r="17" spans="2:16" ht="13" thickBot="1">
      <c r="B17" s="87"/>
      <c r="C17" s="185"/>
      <c r="D17" s="169">
        <f>D16*E16</f>
        <v>0</v>
      </c>
      <c r="E17" s="172"/>
      <c r="F17" s="169">
        <f>F16*G16</f>
        <v>5749999.9999999991</v>
      </c>
      <c r="G17" s="170"/>
      <c r="H17" s="172">
        <f>H16*I16</f>
        <v>6612499.9999999981</v>
      </c>
      <c r="I17" s="172"/>
      <c r="J17" s="169">
        <f>J16*K16</f>
        <v>7604374.9999999972</v>
      </c>
      <c r="K17" s="170"/>
      <c r="L17" s="172">
        <f>L16*M16</f>
        <v>8745031.2499999963</v>
      </c>
      <c r="M17" s="172"/>
      <c r="N17" s="169">
        <f>N16*O16</f>
        <v>10056785.937499996</v>
      </c>
      <c r="O17" s="170"/>
      <c r="P17" s="87"/>
    </row>
    <row r="18" spans="2:16" ht="13" thickBot="1">
      <c r="B18" s="87"/>
      <c r="C18" s="91" t="s">
        <v>101</v>
      </c>
      <c r="D18" s="167">
        <f>D7+D9+D11+D13+D15+D17</f>
        <v>109500000</v>
      </c>
      <c r="E18" s="171"/>
      <c r="F18" s="167">
        <f>F7+F9+F11+F13+F15+F17</f>
        <v>135999999.99999997</v>
      </c>
      <c r="G18" s="168"/>
      <c r="H18" s="171">
        <f>H7+H9+H11+H13+H15+H17</f>
        <v>153591999.99999997</v>
      </c>
      <c r="I18" s="171"/>
      <c r="J18" s="167">
        <f>J7+J9+J11+J13+J15+J17</f>
        <v>173567527.27272725</v>
      </c>
      <c r="K18" s="168"/>
      <c r="L18" s="171">
        <f>L7+L9+L11+L13+L15+L17</f>
        <v>196260904.29752061</v>
      </c>
      <c r="M18" s="171"/>
      <c r="N18" s="167">
        <f>N7+N9+N11+N13+N15+N17</f>
        <v>222054492.23365882</v>
      </c>
      <c r="O18" s="168"/>
      <c r="P18" s="87"/>
    </row>
    <row r="19" spans="2:16"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</row>
    <row r="20" spans="2:16"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</row>
    <row r="21" spans="2:16">
      <c r="C21" s="182" t="s">
        <v>109</v>
      </c>
    </row>
    <row r="22" spans="2:16">
      <c r="C22" s="182"/>
    </row>
    <row r="23" spans="2:16">
      <c r="C23" s="116">
        <v>50000</v>
      </c>
    </row>
    <row r="25" spans="2:16" ht="24">
      <c r="C25" s="112" t="s">
        <v>113</v>
      </c>
    </row>
    <row r="26" spans="2:16">
      <c r="C26" s="113">
        <v>0.15</v>
      </c>
    </row>
    <row r="28" spans="2:16" ht="24">
      <c r="C28" s="114" t="s">
        <v>115</v>
      </c>
    </row>
    <row r="29" spans="2:16">
      <c r="C29" s="119">
        <f>(F6-D6)/F6</f>
        <v>9.0909090909090912E-2</v>
      </c>
    </row>
    <row r="30" spans="2:16">
      <c r="C30" s="118"/>
    </row>
  </sheetData>
  <mergeCells count="55"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15:O15"/>
    <mergeCell ref="H13:I13"/>
    <mergeCell ref="J13:K13"/>
    <mergeCell ref="F13:G13"/>
    <mergeCell ref="N13:O13"/>
    <mergeCell ref="L15:M15"/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</mergeCells>
  <phoneticPr fontId="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M23"/>
  <sheetViews>
    <sheetView workbookViewId="0">
      <selection activeCell="J27" sqref="J27"/>
    </sheetView>
  </sheetViews>
  <sheetFormatPr baseColWidth="10" defaultColWidth="11.5" defaultRowHeight="12" x14ac:dyDescent="0"/>
  <cols>
    <col min="1" max="1" width="5" customWidth="1"/>
    <col min="2" max="2" width="20" bestFit="1" customWidth="1"/>
    <col min="3" max="3" width="14.1640625" customWidth="1"/>
    <col min="4" max="4" width="17.33203125" bestFit="1" customWidth="1"/>
    <col min="7" max="7" width="18" bestFit="1" customWidth="1"/>
    <col min="8" max="8" width="12.5" customWidth="1"/>
  </cols>
  <sheetData>
    <row r="1" spans="1:13">
      <c r="A1" s="87"/>
      <c r="B1" s="87"/>
      <c r="C1" s="87"/>
      <c r="D1" s="87"/>
      <c r="E1" s="87"/>
      <c r="G1" s="87"/>
    </row>
    <row r="2" spans="1:13" ht="13" thickBot="1">
      <c r="A2" s="87"/>
      <c r="B2" s="87"/>
      <c r="C2" s="87"/>
      <c r="D2" s="87"/>
      <c r="E2" s="87"/>
      <c r="G2" s="87"/>
    </row>
    <row r="3" spans="1:13" ht="13" thickBot="1">
      <c r="A3" s="87"/>
      <c r="B3" s="109" t="s">
        <v>42</v>
      </c>
      <c r="C3" s="108"/>
      <c r="D3" s="20" t="s">
        <v>39</v>
      </c>
      <c r="E3" s="8" t="s">
        <v>40</v>
      </c>
      <c r="G3" s="111"/>
    </row>
    <row r="4" spans="1:13">
      <c r="A4" s="87"/>
      <c r="B4" s="189" t="s">
        <v>86</v>
      </c>
      <c r="C4" s="190"/>
      <c r="D4" s="6">
        <v>600000</v>
      </c>
      <c r="E4" s="4">
        <f>D4*12</f>
        <v>7200000</v>
      </c>
      <c r="G4" s="87"/>
    </row>
    <row r="5" spans="1:13">
      <c r="A5" s="87"/>
      <c r="B5" s="187" t="s">
        <v>118</v>
      </c>
      <c r="C5" s="188"/>
      <c r="D5" s="4">
        <f>IF('HW y SW'!C5=0,100000,0)</f>
        <v>0</v>
      </c>
      <c r="E5" s="4">
        <f>'HW y SW'!G4</f>
        <v>500000</v>
      </c>
      <c r="G5" s="87"/>
      <c r="H5" s="124">
        <v>1</v>
      </c>
      <c r="I5" s="124">
        <v>2</v>
      </c>
      <c r="J5" s="124">
        <v>3</v>
      </c>
      <c r="K5" s="124">
        <v>4</v>
      </c>
      <c r="L5" s="124">
        <v>5</v>
      </c>
      <c r="M5" s="124">
        <v>6</v>
      </c>
    </row>
    <row r="6" spans="1:13">
      <c r="A6" s="87"/>
      <c r="B6" s="187" t="s">
        <v>8</v>
      </c>
      <c r="C6" s="188"/>
      <c r="D6" s="4">
        <f>PERSONAL!E12</f>
        <v>8000000</v>
      </c>
      <c r="E6" s="4">
        <f t="shared" ref="E6:E11" si="0">D6*12</f>
        <v>96000000</v>
      </c>
      <c r="G6" s="125" t="s">
        <v>8</v>
      </c>
      <c r="H6" s="126">
        <f>E6</f>
        <v>96000000</v>
      </c>
      <c r="I6" s="127">
        <f>H6*(1+$I$10)</f>
        <v>105600000.00000001</v>
      </c>
      <c r="J6" s="127">
        <f t="shared" ref="J6:M6" si="1">I6*(1+$I$10)</f>
        <v>116160000.00000003</v>
      </c>
      <c r="K6" s="127">
        <f t="shared" si="1"/>
        <v>127776000.00000004</v>
      </c>
      <c r="L6" s="127">
        <f t="shared" si="1"/>
        <v>140553600.00000006</v>
      </c>
      <c r="M6" s="127">
        <f t="shared" si="1"/>
        <v>154608960.00000009</v>
      </c>
    </row>
    <row r="7" spans="1:13">
      <c r="A7" s="87"/>
      <c r="B7" s="187" t="s">
        <v>25</v>
      </c>
      <c r="C7" s="188"/>
      <c r="D7" s="4">
        <v>100000</v>
      </c>
      <c r="E7" s="4">
        <f t="shared" si="0"/>
        <v>1200000</v>
      </c>
      <c r="G7" s="125" t="s">
        <v>130</v>
      </c>
      <c r="H7" s="126">
        <f>SUM(E4:E13)-H6</f>
        <v>17378600</v>
      </c>
      <c r="I7" s="127">
        <f>H7*(1+$I$11)</f>
        <v>18247530</v>
      </c>
      <c r="J7" s="127">
        <f t="shared" ref="J7:M7" si="2">I7*(1+$I$11)</f>
        <v>19159906.5</v>
      </c>
      <c r="K7" s="127">
        <f t="shared" si="2"/>
        <v>20117901.824999999</v>
      </c>
      <c r="L7" s="127">
        <f t="shared" si="2"/>
        <v>21123796.916250002</v>
      </c>
      <c r="M7" s="127">
        <f t="shared" si="2"/>
        <v>22179986.762062501</v>
      </c>
    </row>
    <row r="8" spans="1:13">
      <c r="A8" s="87"/>
      <c r="B8" s="187" t="s">
        <v>16</v>
      </c>
      <c r="C8" s="188"/>
      <c r="D8" s="4"/>
      <c r="E8" s="4">
        <v>13000</v>
      </c>
      <c r="G8" s="128" t="s">
        <v>51</v>
      </c>
      <c r="H8" s="129">
        <f>H6+H7</f>
        <v>113378600</v>
      </c>
      <c r="I8" s="130">
        <f t="shared" ref="I8:M8" si="3">SUM(I6:I7)</f>
        <v>123847530.00000001</v>
      </c>
      <c r="J8" s="130">
        <f t="shared" si="3"/>
        <v>135319906.50000003</v>
      </c>
      <c r="K8" s="130">
        <f t="shared" si="3"/>
        <v>147893901.82500005</v>
      </c>
      <c r="L8" s="130">
        <f t="shared" si="3"/>
        <v>161677396.91625005</v>
      </c>
      <c r="M8" s="130">
        <f t="shared" si="3"/>
        <v>176788946.76206258</v>
      </c>
    </row>
    <row r="9" spans="1:13">
      <c r="A9" s="87"/>
      <c r="B9" s="187" t="s">
        <v>9</v>
      </c>
      <c r="C9" s="188"/>
      <c r="D9" s="4">
        <v>50000</v>
      </c>
      <c r="E9" s="4">
        <f t="shared" si="0"/>
        <v>600000</v>
      </c>
      <c r="G9" s="87"/>
    </row>
    <row r="10" spans="1:13">
      <c r="A10" s="87"/>
      <c r="B10" s="187" t="s">
        <v>26</v>
      </c>
      <c r="C10" s="188"/>
      <c r="D10" s="4">
        <v>45000</v>
      </c>
      <c r="E10" s="4">
        <f t="shared" si="0"/>
        <v>540000</v>
      </c>
      <c r="G10" s="186" t="s">
        <v>132</v>
      </c>
      <c r="H10" s="186"/>
      <c r="I10" s="131">
        <v>0.1</v>
      </c>
    </row>
    <row r="11" spans="1:13">
      <c r="A11" s="87"/>
      <c r="B11" s="187" t="s">
        <v>27</v>
      </c>
      <c r="C11" s="188"/>
      <c r="D11" s="4">
        <v>45000</v>
      </c>
      <c r="E11" s="4">
        <f t="shared" si="0"/>
        <v>540000</v>
      </c>
      <c r="G11" s="186" t="s">
        <v>133</v>
      </c>
      <c r="H11" s="186"/>
      <c r="I11" s="131">
        <v>0.05</v>
      </c>
    </row>
    <row r="12" spans="1:13">
      <c r="A12" s="87"/>
      <c r="B12" s="187" t="s">
        <v>28</v>
      </c>
      <c r="C12" s="188"/>
      <c r="D12" s="4">
        <f>'CREACIÓN CURSOS'!C9</f>
        <v>1100000</v>
      </c>
      <c r="E12" s="4">
        <f>'CREACIÓN CURSOS'!C14</f>
        <v>4400000</v>
      </c>
      <c r="G12" s="87"/>
    </row>
    <row r="13" spans="1:13" ht="13" thickBot="1">
      <c r="A13" s="87"/>
      <c r="B13" s="191" t="s">
        <v>120</v>
      </c>
      <c r="C13" s="193"/>
      <c r="D13" s="5">
        <f>SUM(D4:D12)*0.02</f>
        <v>198800</v>
      </c>
      <c r="E13" s="5">
        <f>D13*12</f>
        <v>2385600</v>
      </c>
      <c r="G13" s="87"/>
    </row>
    <row r="14" spans="1:13" ht="13" thickBot="1">
      <c r="A14" s="87"/>
      <c r="B14" s="87"/>
      <c r="C14" s="160" t="s">
        <v>44</v>
      </c>
      <c r="D14" s="194"/>
      <c r="E14" s="11">
        <f>SUM(E4:E13)</f>
        <v>113378600</v>
      </c>
      <c r="G14" s="87"/>
    </row>
    <row r="15" spans="1:13">
      <c r="A15" s="87"/>
      <c r="B15" s="87"/>
      <c r="C15" s="87"/>
      <c r="D15" s="110"/>
      <c r="E15" s="110"/>
      <c r="G15" s="87"/>
    </row>
    <row r="16" spans="1:13" ht="13" thickBot="1">
      <c r="A16" s="87"/>
      <c r="B16" s="87"/>
      <c r="C16" s="87"/>
      <c r="D16" s="110"/>
      <c r="E16" s="110"/>
      <c r="G16" s="87"/>
    </row>
    <row r="17" spans="1:7" ht="13" thickBot="1">
      <c r="A17" s="87"/>
      <c r="B17" s="195" t="s">
        <v>41</v>
      </c>
      <c r="C17" s="196"/>
      <c r="D17" s="29" t="s">
        <v>61</v>
      </c>
      <c r="E17" s="87"/>
      <c r="G17" s="87"/>
    </row>
    <row r="18" spans="1:7">
      <c r="A18" s="87"/>
      <c r="B18" s="24" t="s">
        <v>30</v>
      </c>
      <c r="C18" s="25"/>
      <c r="D18" s="85">
        <v>7.0000000000000007E-2</v>
      </c>
      <c r="E18" s="87"/>
      <c r="G18" s="87"/>
    </row>
    <row r="19" spans="1:7" ht="13" thickBot="1">
      <c r="A19" s="87"/>
      <c r="B19" s="191" t="s">
        <v>43</v>
      </c>
      <c r="C19" s="192"/>
      <c r="D19" s="86">
        <v>5.0000000000000001E-3</v>
      </c>
      <c r="E19" s="87"/>
      <c r="G19" s="87"/>
    </row>
    <row r="20" spans="1:7" ht="13" thickBot="1">
      <c r="A20" s="87"/>
      <c r="B20" s="87"/>
      <c r="C20" s="87"/>
      <c r="D20" s="107" t="s">
        <v>62</v>
      </c>
      <c r="E20" s="87"/>
      <c r="G20" s="87"/>
    </row>
    <row r="21" spans="1:7">
      <c r="A21" s="87"/>
      <c r="B21" s="87"/>
      <c r="C21" s="87"/>
      <c r="D21" s="87"/>
      <c r="E21" s="87"/>
      <c r="G21" s="87"/>
    </row>
    <row r="23" spans="1:7">
      <c r="D23">
        <f>E14*D19</f>
        <v>566893</v>
      </c>
    </row>
  </sheetData>
  <mergeCells count="15">
    <mergeCell ref="B19:C19"/>
    <mergeCell ref="B13:C13"/>
    <mergeCell ref="C14:D14"/>
    <mergeCell ref="B11:C11"/>
    <mergeCell ref="B12:C12"/>
    <mergeCell ref="B17:C17"/>
    <mergeCell ref="G10:H10"/>
    <mergeCell ref="G11:H11"/>
    <mergeCell ref="B9:C9"/>
    <mergeCell ref="B10:C10"/>
    <mergeCell ref="B4:C4"/>
    <mergeCell ref="B5:C5"/>
    <mergeCell ref="B6:C6"/>
    <mergeCell ref="B7:C7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10" zoomScaleNormal="110" zoomScalePageLayoutView="110" workbookViewId="0">
      <selection activeCell="J14" sqref="J14"/>
    </sheetView>
  </sheetViews>
  <sheetFormatPr baseColWidth="10" defaultColWidth="11.5" defaultRowHeight="12" x14ac:dyDescent="0"/>
  <cols>
    <col min="5" max="5" width="17.1640625" bestFit="1" customWidth="1"/>
    <col min="6" max="6" width="21.33203125" bestFit="1" customWidth="1"/>
    <col min="7" max="7" width="14.5" bestFit="1" customWidth="1"/>
  </cols>
  <sheetData>
    <row r="6" spans="2:7" ht="13" thickBot="1"/>
    <row r="7" spans="2:7" ht="13" thickBot="1">
      <c r="B7" s="47"/>
      <c r="C7" s="74" t="s">
        <v>29</v>
      </c>
      <c r="D7" s="28" t="s">
        <v>63</v>
      </c>
      <c r="E7" s="74" t="s">
        <v>64</v>
      </c>
      <c r="F7" s="23" t="s">
        <v>65</v>
      </c>
      <c r="G7" s="74" t="s">
        <v>67</v>
      </c>
    </row>
    <row r="8" spans="2:7" ht="13" thickBot="1">
      <c r="B8" s="133" t="s">
        <v>66</v>
      </c>
      <c r="C8" s="48">
        <f>SUM(INVERSION!D11:D13)</f>
        <v>3160000</v>
      </c>
      <c r="D8" s="49">
        <v>6</v>
      </c>
      <c r="E8" s="48">
        <v>0</v>
      </c>
      <c r="F8" s="50"/>
      <c r="G8" s="5">
        <f>(C8-E8)/D8</f>
        <v>526666.66666666663</v>
      </c>
    </row>
    <row r="9" spans="2:7" ht="13" thickBot="1">
      <c r="F9" s="75" t="s">
        <v>20</v>
      </c>
      <c r="G9" s="46">
        <f>SUM(G8:G8)</f>
        <v>526666.66666666663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zoomScale="110" zoomScaleNormal="110" zoomScalePageLayoutView="110" workbookViewId="0">
      <selection activeCell="I15" sqref="I15"/>
    </sheetView>
  </sheetViews>
  <sheetFormatPr baseColWidth="10" defaultColWidth="11.5" defaultRowHeight="12" x14ac:dyDescent="0"/>
  <cols>
    <col min="2" max="2" width="22.5" bestFit="1" customWidth="1"/>
    <col min="3" max="3" width="12.1640625" bestFit="1" customWidth="1"/>
    <col min="4" max="4" width="13" bestFit="1" customWidth="1"/>
    <col min="5" max="5" width="15.5" bestFit="1" customWidth="1"/>
    <col min="6" max="6" width="10.83203125" bestFit="1" customWidth="1"/>
  </cols>
  <sheetData>
    <row r="4" spans="2:6">
      <c r="B4" s="1" t="s">
        <v>77</v>
      </c>
      <c r="C4" s="63">
        <v>0.6</v>
      </c>
    </row>
    <row r="5" spans="2:6">
      <c r="B5" s="56" t="s">
        <v>76</v>
      </c>
      <c r="C5" s="59">
        <f>INVERSION!D20*'G. FINANCIERO'!C4</f>
        <v>12366000</v>
      </c>
      <c r="D5" s="51"/>
      <c r="E5" s="117">
        <f>PMT(C6,B17,C5)</f>
        <v>-2839324.8655647454</v>
      </c>
      <c r="F5" s="117"/>
    </row>
    <row r="6" spans="2:6">
      <c r="B6" s="62" t="s">
        <v>78</v>
      </c>
      <c r="C6" s="64">
        <v>0.1</v>
      </c>
      <c r="D6" s="51"/>
      <c r="E6" s="51"/>
      <c r="F6" s="51"/>
    </row>
    <row r="7" spans="2:6">
      <c r="B7" s="62" t="s">
        <v>79</v>
      </c>
      <c r="C7" s="65">
        <f>C5/B17</f>
        <v>2061000</v>
      </c>
      <c r="E7" s="51"/>
      <c r="F7" s="51"/>
    </row>
    <row r="8" spans="2:6">
      <c r="B8" s="51"/>
      <c r="C8" s="51"/>
      <c r="D8" s="57"/>
      <c r="E8" s="51"/>
      <c r="F8" s="51"/>
    </row>
    <row r="9" spans="2:6">
      <c r="B9" s="51"/>
      <c r="C9" s="51"/>
      <c r="D9" s="57"/>
      <c r="E9" s="51"/>
      <c r="F9" s="51"/>
    </row>
    <row r="10" spans="2:6" ht="17.25" customHeight="1" thickBot="1">
      <c r="B10" s="58" t="s">
        <v>68</v>
      </c>
      <c r="C10" s="58" t="s">
        <v>69</v>
      </c>
      <c r="D10" s="58" t="s">
        <v>70</v>
      </c>
      <c r="E10" s="58" t="s">
        <v>80</v>
      </c>
      <c r="F10" s="58" t="s">
        <v>71</v>
      </c>
    </row>
    <row r="11" spans="2:6" ht="13" thickBot="1">
      <c r="B11" s="76" t="s">
        <v>72</v>
      </c>
      <c r="C11" s="77" t="s">
        <v>73</v>
      </c>
      <c r="D11" s="78" t="s">
        <v>58</v>
      </c>
      <c r="E11" s="79" t="s">
        <v>74</v>
      </c>
      <c r="F11" s="80" t="s">
        <v>75</v>
      </c>
    </row>
    <row r="12" spans="2:6">
      <c r="B12" s="60">
        <v>1</v>
      </c>
      <c r="C12" s="61">
        <f>C5</f>
        <v>12366000</v>
      </c>
      <c r="D12" s="66">
        <f t="shared" ref="D12:D17" si="0">$C$7</f>
        <v>2061000</v>
      </c>
      <c r="E12" s="72">
        <f t="shared" ref="E12:E17" si="1">+$C$6*C12</f>
        <v>1236600</v>
      </c>
      <c r="F12" s="69">
        <f t="shared" ref="F12:F17" si="2">+(D12+E12)</f>
        <v>3297600</v>
      </c>
    </row>
    <row r="13" spans="2:6">
      <c r="B13" s="53">
        <v>2</v>
      </c>
      <c r="C13" s="52">
        <f>+(C12-D12)</f>
        <v>10305000</v>
      </c>
      <c r="D13" s="67">
        <f>$C$7</f>
        <v>2061000</v>
      </c>
      <c r="E13" s="72">
        <f t="shared" si="1"/>
        <v>1030500</v>
      </c>
      <c r="F13" s="70">
        <f t="shared" si="2"/>
        <v>3091500</v>
      </c>
    </row>
    <row r="14" spans="2:6">
      <c r="B14" s="53">
        <v>3</v>
      </c>
      <c r="C14" s="52">
        <f>+(C13-D13)</f>
        <v>8244000</v>
      </c>
      <c r="D14" s="67">
        <f t="shared" si="0"/>
        <v>2061000</v>
      </c>
      <c r="E14" s="72">
        <f t="shared" si="1"/>
        <v>824400</v>
      </c>
      <c r="F14" s="70">
        <f t="shared" si="2"/>
        <v>2885400</v>
      </c>
    </row>
    <row r="15" spans="2:6">
      <c r="B15" s="53">
        <v>4</v>
      </c>
      <c r="C15" s="52">
        <f>+(C14-D14)</f>
        <v>6183000</v>
      </c>
      <c r="D15" s="67">
        <f t="shared" si="0"/>
        <v>2061000</v>
      </c>
      <c r="E15" s="72">
        <f t="shared" si="1"/>
        <v>618300</v>
      </c>
      <c r="F15" s="70">
        <f t="shared" si="2"/>
        <v>2679300</v>
      </c>
    </row>
    <row r="16" spans="2:6">
      <c r="B16" s="53">
        <v>5</v>
      </c>
      <c r="C16" s="52">
        <f>+(C15-D15)</f>
        <v>4122000</v>
      </c>
      <c r="D16" s="67">
        <f t="shared" si="0"/>
        <v>2061000</v>
      </c>
      <c r="E16" s="72">
        <f t="shared" si="1"/>
        <v>412200</v>
      </c>
      <c r="F16" s="70">
        <f t="shared" si="2"/>
        <v>2473200</v>
      </c>
    </row>
    <row r="17" spans="2:6" ht="13" thickBot="1">
      <c r="B17" s="54">
        <v>6</v>
      </c>
      <c r="C17" s="55">
        <f>+(C16-D16)</f>
        <v>2061000</v>
      </c>
      <c r="D17" s="68">
        <f t="shared" si="0"/>
        <v>2061000</v>
      </c>
      <c r="E17" s="73">
        <f t="shared" si="1"/>
        <v>206100</v>
      </c>
      <c r="F17" s="71">
        <f t="shared" si="2"/>
        <v>2267100</v>
      </c>
    </row>
    <row r="18" spans="2:6">
      <c r="C18" s="52"/>
    </row>
    <row r="19" spans="2:6">
      <c r="C19" s="132"/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10" zoomScaleNormal="110" zoomScalePageLayoutView="110" workbookViewId="0">
      <selection activeCell="H14" sqref="H14"/>
    </sheetView>
  </sheetViews>
  <sheetFormatPr baseColWidth="10" defaultColWidth="11.5" defaultRowHeight="12" x14ac:dyDescent="0"/>
  <cols>
    <col min="2" max="2" width="14.5" bestFit="1" customWidth="1"/>
    <col min="4" max="4" width="3" customWidth="1"/>
    <col min="5" max="5" width="13" bestFit="1" customWidth="1"/>
    <col min="6" max="6" width="12.5" bestFit="1" customWidth="1"/>
    <col min="7" max="7" width="13.83203125" bestFit="1" customWidth="1"/>
  </cols>
  <sheetData>
    <row r="3" spans="2:7" ht="13" thickBot="1">
      <c r="G3" t="s">
        <v>117</v>
      </c>
    </row>
    <row r="4" spans="2:7" ht="13" thickBot="1">
      <c r="B4" s="22" t="s">
        <v>3</v>
      </c>
      <c r="F4" t="s">
        <v>116</v>
      </c>
      <c r="G4" s="120">
        <v>500000</v>
      </c>
    </row>
    <row r="5" spans="2:7" ht="13" thickBot="1">
      <c r="B5" s="38" t="s">
        <v>13</v>
      </c>
      <c r="C5" s="3">
        <v>4000000</v>
      </c>
    </row>
    <row r="6" spans="2:7" ht="13" thickBot="1">
      <c r="B6" s="36" t="s">
        <v>20</v>
      </c>
      <c r="C6" s="37">
        <f>SUM(C5)</f>
        <v>4000000</v>
      </c>
    </row>
    <row r="7" spans="2:7">
      <c r="C7" s="2"/>
    </row>
    <row r="8" spans="2:7">
      <c r="C8" s="2"/>
    </row>
    <row r="9" spans="2:7">
      <c r="C9" s="2"/>
    </row>
    <row r="10" spans="2:7">
      <c r="C10" s="2"/>
    </row>
    <row r="11" spans="2:7" ht="13" thickBot="1">
      <c r="C11" s="2"/>
    </row>
    <row r="12" spans="2:7" ht="13" thickBot="1">
      <c r="B12" s="8" t="s">
        <v>4</v>
      </c>
      <c r="C12" s="2"/>
    </row>
    <row r="13" spans="2:7">
      <c r="B13" s="30" t="s">
        <v>14</v>
      </c>
      <c r="C13" s="31">
        <v>500000</v>
      </c>
    </row>
    <row r="14" spans="2:7">
      <c r="B14" s="32" t="s">
        <v>15</v>
      </c>
      <c r="C14" s="33">
        <v>500000</v>
      </c>
    </row>
    <row r="15" spans="2:7" ht="13" thickBot="1">
      <c r="B15" s="32" t="s">
        <v>102</v>
      </c>
      <c r="C15" s="33">
        <v>500000</v>
      </c>
    </row>
    <row r="16" spans="2:7" ht="13" thickBot="1">
      <c r="B16" s="34" t="s">
        <v>20</v>
      </c>
      <c r="C16" s="35">
        <f>SUM(C13:C15)</f>
        <v>1500000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J12"/>
  <sheetViews>
    <sheetView zoomScale="110" zoomScaleNormal="110" zoomScalePageLayoutView="110" workbookViewId="0">
      <selection activeCell="J25" sqref="J25"/>
    </sheetView>
  </sheetViews>
  <sheetFormatPr baseColWidth="10" defaultColWidth="11.5" defaultRowHeight="12" x14ac:dyDescent="0"/>
  <cols>
    <col min="3" max="3" width="22.5" bestFit="1" customWidth="1"/>
    <col min="4" max="4" width="9.33203125" bestFit="1" customWidth="1"/>
  </cols>
  <sheetData>
    <row r="1" spans="2:10" ht="13" thickBot="1">
      <c r="F1">
        <v>2</v>
      </c>
      <c r="G1">
        <v>3</v>
      </c>
      <c r="H1">
        <v>4</v>
      </c>
      <c r="I1">
        <v>5</v>
      </c>
      <c r="J1">
        <v>6</v>
      </c>
    </row>
    <row r="2" spans="2:10" ht="13" thickBot="1">
      <c r="D2" s="195" t="s">
        <v>39</v>
      </c>
      <c r="E2" s="197"/>
    </row>
    <row r="3" spans="2:10" ht="13" thickBot="1">
      <c r="B3" s="8" t="s">
        <v>18</v>
      </c>
      <c r="C3" s="10" t="s">
        <v>17</v>
      </c>
      <c r="D3" s="8" t="s">
        <v>19</v>
      </c>
      <c r="E3" s="9" t="s">
        <v>20</v>
      </c>
    </row>
    <row r="4" spans="2:10">
      <c r="B4" s="82">
        <v>1</v>
      </c>
      <c r="C4" s="83" t="s">
        <v>21</v>
      </c>
      <c r="D4" s="44">
        <v>1500000</v>
      </c>
      <c r="E4" s="84">
        <f t="shared" ref="E4:E11" si="0">B4*D4</f>
        <v>1500000</v>
      </c>
    </row>
    <row r="5" spans="2:10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10">
      <c r="B6" s="12">
        <v>2</v>
      </c>
      <c r="C6" s="13" t="s">
        <v>119</v>
      </c>
      <c r="D6" s="14">
        <v>600000</v>
      </c>
      <c r="E6" s="15">
        <f t="shared" si="0"/>
        <v>1200000</v>
      </c>
    </row>
    <row r="7" spans="2:10">
      <c r="B7" s="12">
        <v>3</v>
      </c>
      <c r="C7" s="13" t="s">
        <v>121</v>
      </c>
      <c r="D7" s="14">
        <v>500000</v>
      </c>
      <c r="E7" s="15">
        <f t="shared" si="0"/>
        <v>1500000</v>
      </c>
    </row>
    <row r="8" spans="2:10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10">
      <c r="B9" s="12">
        <v>1</v>
      </c>
      <c r="C9" s="13" t="s">
        <v>87</v>
      </c>
      <c r="D9" s="14">
        <v>850000</v>
      </c>
      <c r="E9" s="15">
        <f t="shared" si="0"/>
        <v>850000</v>
      </c>
    </row>
    <row r="10" spans="2:10">
      <c r="B10" s="12">
        <v>1</v>
      </c>
      <c r="C10" s="13" t="s">
        <v>88</v>
      </c>
      <c r="D10" s="14">
        <v>850000</v>
      </c>
      <c r="E10" s="15">
        <f t="shared" si="0"/>
        <v>850000</v>
      </c>
    </row>
    <row r="11" spans="2:10" ht="13" thickBot="1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10" ht="13" thickBot="1">
      <c r="E12" s="81">
        <f>SUM(E4:E11)</f>
        <v>8000000</v>
      </c>
      <c r="F12">
        <f>E12*1.1</f>
        <v>8800000</v>
      </c>
      <c r="G12">
        <f t="shared" ref="G12:J12" si="1">F12*1.1</f>
        <v>9680000</v>
      </c>
      <c r="H12">
        <f t="shared" si="1"/>
        <v>10648000</v>
      </c>
      <c r="I12">
        <f t="shared" si="1"/>
        <v>11712800.000000002</v>
      </c>
      <c r="J12">
        <f t="shared" si="1"/>
        <v>12884080.000000004</v>
      </c>
    </row>
  </sheetData>
  <mergeCells count="1">
    <mergeCell ref="D2:E2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B3:I14"/>
  <sheetViews>
    <sheetView zoomScale="110" zoomScaleNormal="110" zoomScalePageLayoutView="110" workbookViewId="0">
      <selection activeCell="F21" sqref="F21:F22"/>
    </sheetView>
  </sheetViews>
  <sheetFormatPr baseColWidth="10" defaultColWidth="11.5" defaultRowHeight="12" x14ac:dyDescent="0"/>
  <cols>
    <col min="2" max="2" width="20.33203125" customWidth="1"/>
    <col min="3" max="9" width="13.5" bestFit="1" customWidth="1"/>
  </cols>
  <sheetData>
    <row r="3" spans="2:9" ht="13" thickBot="1"/>
    <row r="4" spans="2:9" ht="13" thickBot="1">
      <c r="B4" s="198" t="s">
        <v>112</v>
      </c>
      <c r="C4" s="194"/>
    </row>
    <row r="5" spans="2:9" ht="13" thickBot="1">
      <c r="B5" s="26" t="s">
        <v>32</v>
      </c>
      <c r="C5" s="8" t="s">
        <v>29</v>
      </c>
    </row>
    <row r="6" spans="2:9">
      <c r="B6" s="21" t="s">
        <v>31</v>
      </c>
      <c r="C6" s="4">
        <v>500000</v>
      </c>
    </row>
    <row r="7" spans="2:9">
      <c r="B7" s="7" t="s">
        <v>123</v>
      </c>
      <c r="C7" s="4">
        <v>100000</v>
      </c>
      <c r="D7" t="s">
        <v>124</v>
      </c>
    </row>
    <row r="8" spans="2:9" ht="13" thickBot="1">
      <c r="B8" s="93" t="s">
        <v>103</v>
      </c>
      <c r="C8" s="5">
        <v>500000</v>
      </c>
    </row>
    <row r="9" spans="2:9" ht="13" thickBot="1">
      <c r="B9" s="27" t="s">
        <v>20</v>
      </c>
      <c r="C9" s="35">
        <f>SUM(C6:C8)</f>
        <v>1100000</v>
      </c>
    </row>
    <row r="11" spans="2:9" ht="13" thickBot="1"/>
    <row r="12" spans="2:9" ht="13" thickBot="1">
      <c r="C12" s="96" t="s">
        <v>104</v>
      </c>
      <c r="D12" s="102" t="s">
        <v>93</v>
      </c>
      <c r="E12" s="100" t="s">
        <v>96</v>
      </c>
      <c r="F12" s="102" t="s">
        <v>97</v>
      </c>
      <c r="G12" s="100" t="s">
        <v>98</v>
      </c>
      <c r="H12" s="102" t="s">
        <v>99</v>
      </c>
      <c r="I12" s="101" t="s">
        <v>100</v>
      </c>
    </row>
    <row r="13" spans="2:9">
      <c r="B13" s="96" t="s">
        <v>105</v>
      </c>
      <c r="C13" s="30">
        <v>4</v>
      </c>
      <c r="D13" s="21">
        <v>4</v>
      </c>
      <c r="E13" s="97">
        <v>4</v>
      </c>
      <c r="F13" s="21">
        <v>4</v>
      </c>
      <c r="G13" s="97">
        <v>4</v>
      </c>
      <c r="H13" s="21">
        <v>4</v>
      </c>
      <c r="I13" s="98">
        <v>4</v>
      </c>
    </row>
    <row r="14" spans="2:9" ht="13" thickBot="1">
      <c r="B14" s="99" t="s">
        <v>19</v>
      </c>
      <c r="C14" s="103">
        <f>$C$9*C13</f>
        <v>4400000</v>
      </c>
      <c r="D14" s="104">
        <f t="shared" ref="D14:I14" si="0">$C$9*D13</f>
        <v>4400000</v>
      </c>
      <c r="E14" s="105">
        <f t="shared" si="0"/>
        <v>4400000</v>
      </c>
      <c r="F14" s="104">
        <f t="shared" si="0"/>
        <v>4400000</v>
      </c>
      <c r="G14" s="105">
        <f t="shared" si="0"/>
        <v>4400000</v>
      </c>
      <c r="H14" s="104">
        <f t="shared" si="0"/>
        <v>4400000</v>
      </c>
      <c r="I14" s="106">
        <f t="shared" si="0"/>
        <v>4400000</v>
      </c>
    </row>
  </sheetData>
  <mergeCells count="1">
    <mergeCell ref="B4:C4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CAJA PESIMISTA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Miguel Ángel Navarrete</cp:lastModifiedBy>
  <dcterms:created xsi:type="dcterms:W3CDTF">2010-12-06T13:51:38Z</dcterms:created>
  <dcterms:modified xsi:type="dcterms:W3CDTF">2012-05-15T03:47:04Z</dcterms:modified>
</cp:coreProperties>
</file>