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560" yWindow="560" windowWidth="25040" windowHeight="13700" tabRatio="884"/>
  </bookViews>
  <sheets>
    <sheet name="FLUJO CAJA PRINCIPAL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8" l="1"/>
  <c r="E4" i="4"/>
  <c r="E5" i="4"/>
  <c r="E6" i="4"/>
  <c r="E7" i="4"/>
  <c r="E8" i="4"/>
  <c r="E9" i="4"/>
  <c r="E10" i="4"/>
  <c r="E11" i="4"/>
  <c r="E12" i="4"/>
  <c r="D6" i="1"/>
  <c r="E6" i="1"/>
  <c r="H6" i="1"/>
  <c r="I6" i="1"/>
  <c r="E4" i="1"/>
  <c r="E5" i="1"/>
  <c r="E7" i="1"/>
  <c r="E9" i="1"/>
  <c r="E10" i="1"/>
  <c r="E11" i="1"/>
  <c r="D9" i="5"/>
  <c r="D14" i="5"/>
  <c r="E12" i="1"/>
  <c r="D5" i="1"/>
  <c r="D12" i="1"/>
  <c r="D13" i="1"/>
  <c r="E13" i="1"/>
  <c r="H7" i="1"/>
  <c r="I7" i="1"/>
  <c r="I8" i="1"/>
  <c r="F10" i="8"/>
  <c r="J6" i="1"/>
  <c r="J7" i="1"/>
  <c r="J8" i="1"/>
  <c r="G10" i="8"/>
  <c r="K6" i="1"/>
  <c r="K7" i="1"/>
  <c r="K8" i="1"/>
  <c r="H10" i="8"/>
  <c r="L6" i="1"/>
  <c r="L7" i="1"/>
  <c r="L8" i="1"/>
  <c r="I10" i="8"/>
  <c r="M6" i="1"/>
  <c r="M7" i="1"/>
  <c r="M8" i="1"/>
  <c r="J10" i="8"/>
  <c r="H8" i="1"/>
  <c r="E10" i="8"/>
  <c r="F12" i="4"/>
  <c r="G12" i="4"/>
  <c r="H12" i="4"/>
  <c r="I12" i="4"/>
  <c r="J12" i="4"/>
  <c r="E33" i="8"/>
  <c r="F33" i="8"/>
  <c r="G33" i="8"/>
  <c r="H33" i="8"/>
  <c r="I33" i="8"/>
  <c r="J33" i="8"/>
  <c r="C38" i="8"/>
  <c r="C39" i="8"/>
  <c r="E34" i="8"/>
  <c r="F34" i="8"/>
  <c r="F35" i="8"/>
  <c r="E14" i="1"/>
  <c r="F37" i="8"/>
  <c r="G34" i="8"/>
  <c r="G35" i="8"/>
  <c r="G37" i="8"/>
  <c r="H34" i="8"/>
  <c r="H35" i="8"/>
  <c r="H37" i="8"/>
  <c r="I34" i="8"/>
  <c r="I35" i="8"/>
  <c r="I37" i="8"/>
  <c r="J34" i="8"/>
  <c r="J35" i="8"/>
  <c r="J37" i="8"/>
  <c r="E35" i="8"/>
  <c r="E37" i="8"/>
  <c r="F6" i="6"/>
  <c r="F7" i="6"/>
  <c r="F10" i="6"/>
  <c r="F8" i="6"/>
  <c r="F9" i="6"/>
  <c r="G10" i="6"/>
  <c r="F11" i="6"/>
  <c r="F12" i="6"/>
  <c r="G12" i="6"/>
  <c r="F13" i="6"/>
  <c r="F14" i="6"/>
  <c r="F15" i="6"/>
  <c r="F16" i="6"/>
  <c r="F17" i="6"/>
  <c r="F18" i="6"/>
  <c r="F6" i="8"/>
  <c r="F7" i="8"/>
  <c r="F14" i="5"/>
  <c r="F8" i="8"/>
  <c r="F9" i="8"/>
  <c r="D11" i="2"/>
  <c r="C8" i="9"/>
  <c r="G8" i="9"/>
  <c r="G9" i="9"/>
  <c r="F11" i="8"/>
  <c r="F12" i="8"/>
  <c r="D16" i="2"/>
  <c r="D20" i="2"/>
  <c r="C5" i="10"/>
  <c r="E5" i="10"/>
  <c r="F13" i="8"/>
  <c r="F14" i="8"/>
  <c r="F15" i="8"/>
  <c r="F16" i="8"/>
  <c r="C7" i="10"/>
  <c r="F17" i="8"/>
  <c r="F20" i="8"/>
  <c r="D6" i="6"/>
  <c r="C29" i="6"/>
  <c r="H6" i="6"/>
  <c r="H7" i="6"/>
  <c r="H10" i="6"/>
  <c r="H8" i="6"/>
  <c r="H9" i="6"/>
  <c r="I10" i="6"/>
  <c r="H11" i="6"/>
  <c r="H12" i="6"/>
  <c r="I12" i="6"/>
  <c r="H13" i="6"/>
  <c r="H14" i="6"/>
  <c r="H15" i="6"/>
  <c r="H16" i="6"/>
  <c r="H17" i="6"/>
  <c r="H18" i="6"/>
  <c r="G6" i="8"/>
  <c r="G7" i="8"/>
  <c r="G14" i="5"/>
  <c r="G8" i="8"/>
  <c r="G9" i="8"/>
  <c r="G11" i="8"/>
  <c r="G12" i="8"/>
  <c r="G13" i="8"/>
  <c r="G14" i="8"/>
  <c r="G15" i="8"/>
  <c r="G16" i="8"/>
  <c r="G17" i="8"/>
  <c r="G20" i="8"/>
  <c r="J6" i="6"/>
  <c r="J7" i="6"/>
  <c r="J10" i="6"/>
  <c r="J8" i="6"/>
  <c r="J9" i="6"/>
  <c r="K10" i="6"/>
  <c r="J11" i="6"/>
  <c r="J12" i="6"/>
  <c r="K12" i="6"/>
  <c r="J13" i="6"/>
  <c r="J14" i="6"/>
  <c r="J15" i="6"/>
  <c r="J16" i="6"/>
  <c r="J17" i="6"/>
  <c r="J18" i="6"/>
  <c r="H6" i="8"/>
  <c r="H7" i="8"/>
  <c r="H14" i="5"/>
  <c r="H8" i="8"/>
  <c r="H9" i="8"/>
  <c r="H11" i="8"/>
  <c r="H12" i="8"/>
  <c r="H13" i="8"/>
  <c r="H14" i="8"/>
  <c r="H15" i="8"/>
  <c r="H16" i="8"/>
  <c r="H17" i="8"/>
  <c r="H20" i="8"/>
  <c r="L6" i="6"/>
  <c r="L7" i="6"/>
  <c r="L10" i="6"/>
  <c r="L8" i="6"/>
  <c r="L9" i="6"/>
  <c r="M10" i="6"/>
  <c r="L11" i="6"/>
  <c r="L12" i="6"/>
  <c r="M12" i="6"/>
  <c r="L13" i="6"/>
  <c r="L14" i="6"/>
  <c r="L15" i="6"/>
  <c r="L16" i="6"/>
  <c r="L17" i="6"/>
  <c r="L18" i="6"/>
  <c r="I6" i="8"/>
  <c r="I7" i="8"/>
  <c r="I14" i="5"/>
  <c r="I8" i="8"/>
  <c r="I9" i="8"/>
  <c r="I11" i="8"/>
  <c r="I12" i="8"/>
  <c r="I13" i="8"/>
  <c r="I14" i="8"/>
  <c r="I15" i="8"/>
  <c r="I16" i="8"/>
  <c r="I17" i="8"/>
  <c r="I20" i="8"/>
  <c r="N6" i="6"/>
  <c r="N7" i="6"/>
  <c r="N10" i="6"/>
  <c r="N8" i="6"/>
  <c r="N9" i="6"/>
  <c r="O10" i="6"/>
  <c r="N11" i="6"/>
  <c r="N12" i="6"/>
  <c r="O12" i="6"/>
  <c r="N13" i="6"/>
  <c r="N14" i="6"/>
  <c r="N15" i="6"/>
  <c r="N16" i="6"/>
  <c r="N17" i="6"/>
  <c r="N18" i="6"/>
  <c r="J6" i="8"/>
  <c r="J7" i="8"/>
  <c r="J14" i="5"/>
  <c r="J8" i="8"/>
  <c r="J9" i="8"/>
  <c r="J11" i="8"/>
  <c r="J12" i="8"/>
  <c r="J13" i="8"/>
  <c r="J14" i="8"/>
  <c r="J15" i="8"/>
  <c r="J16" i="8"/>
  <c r="J17" i="8"/>
  <c r="J20" i="8"/>
  <c r="D7" i="6"/>
  <c r="D8" i="6"/>
  <c r="D9" i="6"/>
  <c r="E10" i="6"/>
  <c r="D11" i="6"/>
  <c r="D13" i="6"/>
  <c r="D15" i="6"/>
  <c r="D17" i="6"/>
  <c r="D18" i="6"/>
  <c r="E6" i="8"/>
  <c r="E14" i="5"/>
  <c r="E8" i="8"/>
  <c r="E9" i="8"/>
  <c r="E11" i="8"/>
  <c r="E12" i="8"/>
  <c r="E13" i="8"/>
  <c r="E14" i="8"/>
  <c r="E15" i="8"/>
  <c r="E16" i="8"/>
  <c r="E17" i="8"/>
  <c r="E20" i="8"/>
  <c r="D18" i="8"/>
  <c r="C16" i="3"/>
  <c r="C6" i="3"/>
  <c r="D13" i="10"/>
  <c r="C12" i="10"/>
  <c r="D19" i="8"/>
  <c r="D20" i="8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<sst xmlns="http://schemas.openxmlformats.org/spreadsheetml/2006/main" count="175" uniqueCount="134">
  <si>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</si>
  <si>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</si>
  <si>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</si>
  <si>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</si>
  <si>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</si>
  <si>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</si>
  <si>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</si>
  <si>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</si>
  <si>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</si>
  <si>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</si>
  <si>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</si>
  <si>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</si>
  <si>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</si>
  <si>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</si>
  <si>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</si>
  <si>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</si>
  <si>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</si>
  <si>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</si>
  <si>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</si>
  <si>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</si>
  <si>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</si>
  <si>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</si>
  <si>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</si>
  <si>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</si>
  <si>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</si>
  <si>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</si>
  <si>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</si>
  <si>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</si>
  <si>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</si>
  <si>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</si>
  <si>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</si>
  <si>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</si>
  <si>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</si>
  <si>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</si>
  <si>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</si>
  <si>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</si>
  <si>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</si>
  <si>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</si>
  <si>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</si>
  <si>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</si>
  <si>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</si>
  <si>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</si>
  <si>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</si>
  <si>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</si>
  <si>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</si>
  <si>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</si>
  <si>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</si>
  <si>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</si>
  <si>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</si>
  <si>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</si>
  <si>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</si>
  <si>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</si>
  <si>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</si>
  <si>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</si>
  <si>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</si>
  <si>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</si>
  <si>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</si>
  <si>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</si>
  <si>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</si>
  <si>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</si>
  <si>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</si>
  <si>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</si>
  <si>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</si>
  <si>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</si>
  <si>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</si>
  <si>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</si>
  <si>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</si>
  <si>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</si>
  <si>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</si>
  <si>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</si>
  <si>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</si>
  <si>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</si>
  <si>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</si>
  <si>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</si>
  <si>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</si>
  <si>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</si>
  <si>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</si>
  <si>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</si>
  <si>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</si>
  <si>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</si>
  <si>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</si>
  <si>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</si>
  <si>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</si>
  <si>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</si>
  <si>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</si>
  <si>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</si>
  <si>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</si>
  <si>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</si>
  <si>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</si>
  <si>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</si>
  <si>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</si>
  <si>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</si>
  <si>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</si>
  <si>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</si>
  <si>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</si>
  <si>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</si>
  <si>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</si>
  <si>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</si>
  <si>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</si>
  <si>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</si>
  <si>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</si>
  <si>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</si>
  <si>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</si>
  <si>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</si>
  <si>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</si>
  <si>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</si>
  <si>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</si>
  <si>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</si>
  <si>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</si>
  <si>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</si>
  <si>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</si>
  <si>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</si>
  <si>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</si>
  <si>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</si>
  <si>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</si>
  <si>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</si>
  <si>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</si>
  <si>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</si>
  <si>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</si>
  <si>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</si>
  <si>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</si>
  <si>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</si>
  <si>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</si>
  <si>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</si>
  <si>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</si>
  <si>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</si>
  <si>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</si>
  <si>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</si>
  <si>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</si>
  <si>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</si>
  <si>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</si>
  <si>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GASTOS ADM Y FIN</t>
  </si>
  <si>
    <t>Tasa Crecimiento PERSONAL</t>
  </si>
  <si>
    <t>Tasa Crecimiento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</si>
</sst>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9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23" xfId="0" applyFont="1" applyFill="1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24" xfId="0" applyFont="1" applyFill="1" applyBorder="1"/>
    <xf numFmtId="0" fontId="2" fillId="4" borderId="19" xfId="0" applyFont="1" applyFill="1" applyBorder="1" applyAlignment="1">
      <alignment horizontal="center"/>
    </xf>
    <xf numFmtId="0" fontId="4" fillId="4" borderId="19" xfId="0" applyFont="1" applyFill="1" applyBorder="1"/>
    <xf numFmtId="0" fontId="4" fillId="4" borderId="23" xfId="0" applyFont="1" applyFill="1" applyBorder="1"/>
    <xf numFmtId="0" fontId="3" fillId="0" borderId="0" xfId="0" applyFont="1" applyFill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2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4" fillId="4" borderId="2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5" borderId="19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3" fontId="4" fillId="4" borderId="23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166" fontId="2" fillId="3" borderId="24" xfId="0" applyNumberFormat="1" applyFont="1" applyFill="1" applyBorder="1"/>
    <xf numFmtId="0" fontId="4" fillId="4" borderId="28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9" fontId="2" fillId="3" borderId="1" xfId="0" applyNumberFormat="1" applyFont="1" applyFill="1" applyBorder="1"/>
    <xf numFmtId="0" fontId="4" fillId="4" borderId="0" xfId="0" applyFont="1" applyFill="1"/>
    <xf numFmtId="3" fontId="4" fillId="4" borderId="0" xfId="0" applyNumberFormat="1" applyFont="1" applyFill="1"/>
    <xf numFmtId="0" fontId="2" fillId="4" borderId="29" xfId="0" applyFont="1" applyFill="1" applyBorder="1"/>
    <xf numFmtId="10" fontId="4" fillId="4" borderId="0" xfId="0" applyNumberFormat="1" applyFont="1" applyFill="1"/>
    <xf numFmtId="0" fontId="2" fillId="4" borderId="30" xfId="0" applyFont="1" applyFill="1" applyBorder="1"/>
    <xf numFmtId="9" fontId="4" fillId="4" borderId="0" xfId="0" applyNumberFormat="1" applyFont="1" applyFill="1"/>
    <xf numFmtId="0" fontId="2" fillId="4" borderId="5" xfId="0" applyFont="1" applyFill="1" applyBorder="1"/>
    <xf numFmtId="166" fontId="5" fillId="7" borderId="31" xfId="0" applyNumberFormat="1" applyFont="1" applyFill="1" applyBorder="1"/>
    <xf numFmtId="10" fontId="5" fillId="7" borderId="32" xfId="0" applyNumberFormat="1" applyFont="1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0" fontId="2" fillId="4" borderId="0" xfId="0" applyFont="1" applyFill="1" applyBorder="1"/>
    <xf numFmtId="9" fontId="0" fillId="0" borderId="0" xfId="0" applyNumberFormat="1"/>
    <xf numFmtId="10" fontId="0" fillId="0" borderId="0" xfId="1" applyNumberFormat="1" applyFont="1"/>
    <xf numFmtId="3" fontId="4" fillId="4" borderId="36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8" borderId="19" xfId="0" applyFont="1" applyFill="1" applyBorder="1"/>
    <xf numFmtId="3" fontId="0" fillId="8" borderId="19" xfId="0" applyNumberFormat="1" applyFill="1" applyBorder="1"/>
    <xf numFmtId="0" fontId="0" fillId="8" borderId="19" xfId="0" applyFill="1" applyBorder="1"/>
    <xf numFmtId="9" fontId="0" fillId="8" borderId="0" xfId="0" applyNumberFormat="1" applyFill="1"/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34" xfId="0" applyNumberForma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0" fillId="4" borderId="35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righ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2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Moneda" xfId="2" builtinId="4"/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9"/>
  <sheetViews>
    <sheetView tabSelected="1" zoomScale="125" zoomScaleNormal="125" zoomScalePageLayoutView="125" workbookViewId="0">
      <selection activeCell="F25" sqref="F25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20.5" bestFit="1" customWidth="1"/>
    <col min="4" max="4" width="16.6640625" customWidth="1"/>
    <col min="5" max="6" width="12.33203125" bestFit="1" customWidth="1"/>
    <col min="7" max="8" width="12.6640625" bestFit="1" customWidth="1"/>
    <col min="9" max="9" width="13" bestFit="1" customWidth="1"/>
    <col min="10" max="10" width="13.33203125" bestFit="1" customWidth="1"/>
  </cols>
  <sheetData>
    <row r="4" spans="2:10">
      <c r="B4" s="52"/>
      <c r="C4" s="84" t="s">
        <v>45</v>
      </c>
      <c r="D4" s="84"/>
      <c r="E4" s="52"/>
      <c r="F4" s="52"/>
      <c r="G4" s="52"/>
      <c r="H4" s="52"/>
      <c r="I4" s="52"/>
      <c r="J4" s="52"/>
    </row>
    <row r="5" spans="2:10" ht="13" thickBot="1">
      <c r="B5" s="77" t="s">
        <v>110</v>
      </c>
      <c r="C5" s="85" t="s">
        <v>46</v>
      </c>
      <c r="D5" s="86">
        <v>0</v>
      </c>
      <c r="E5" s="86">
        <v>1</v>
      </c>
      <c r="F5" s="86">
        <v>2</v>
      </c>
      <c r="G5" s="86">
        <v>3</v>
      </c>
      <c r="H5" s="86">
        <v>4</v>
      </c>
      <c r="I5" s="86">
        <v>5</v>
      </c>
      <c r="J5" s="86">
        <v>6</v>
      </c>
    </row>
    <row r="6" spans="2:10" ht="13" thickTop="1">
      <c r="B6" s="79" t="s">
        <v>47</v>
      </c>
      <c r="C6" s="80" t="s">
        <v>48</v>
      </c>
      <c r="D6" s="106"/>
      <c r="E6" s="106">
        <f>INGRESOS!D18</f>
        <v>109500000</v>
      </c>
      <c r="F6" s="106">
        <f>INGRESOS!F18</f>
        <v>156820000</v>
      </c>
      <c r="G6" s="106">
        <f>INGRESOS!H18</f>
        <v>199978000</v>
      </c>
      <c r="H6" s="106">
        <f>INGRESOS!J18</f>
        <v>255186169.23076925</v>
      </c>
      <c r="I6" s="106">
        <f>INGRESOS!L18</f>
        <v>325852505.20710063</v>
      </c>
      <c r="J6" s="106">
        <f>INGRESOS!N18</f>
        <v>416359623.17796993</v>
      </c>
    </row>
    <row r="7" spans="2:10">
      <c r="B7" s="79" t="s">
        <v>47</v>
      </c>
      <c r="C7" s="80" t="s">
        <v>111</v>
      </c>
      <c r="D7" s="106"/>
      <c r="E7" s="106">
        <v>5000000</v>
      </c>
      <c r="F7" s="106">
        <f>E7*1.3</f>
        <v>6500000</v>
      </c>
      <c r="G7" s="106">
        <f>F7*1.3</f>
        <v>8450000</v>
      </c>
      <c r="H7" s="106">
        <f>G7*1.3</f>
        <v>10985000</v>
      </c>
      <c r="I7" s="106">
        <f>H7*1.3</f>
        <v>14280500</v>
      </c>
      <c r="J7" s="106">
        <f>I7*1.3</f>
        <v>18564650</v>
      </c>
    </row>
    <row r="8" spans="2:10">
      <c r="B8" s="81" t="s">
        <v>49</v>
      </c>
      <c r="C8" s="82" t="s">
        <v>108</v>
      </c>
      <c r="D8" s="107"/>
      <c r="E8" s="107">
        <f>-'CREACIÓN CURSOS'!E14</f>
        <v>-4400000</v>
      </c>
      <c r="F8" s="107">
        <f>-'CREACIÓN CURSOS'!F14</f>
        <v>-4400000</v>
      </c>
      <c r="G8" s="107">
        <f>-'CREACIÓN CURSOS'!G14</f>
        <v>-4400000</v>
      </c>
      <c r="H8" s="107">
        <f>-'CREACIÓN CURSOS'!H14</f>
        <v>-4400000</v>
      </c>
      <c r="I8" s="107">
        <f>-'CREACIÓN CURSOS'!I14</f>
        <v>-4400000</v>
      </c>
      <c r="J8" s="107">
        <f>-'CREACIÓN CURSOS'!J14</f>
        <v>-4400000</v>
      </c>
    </row>
    <row r="9" spans="2:10">
      <c r="B9" s="81" t="s">
        <v>49</v>
      </c>
      <c r="C9" s="82" t="s">
        <v>50</v>
      </c>
      <c r="D9" s="107"/>
      <c r="E9" s="107">
        <f>-INGRESOS!D18*('ESTRUCTURA DE COSTOS'!$D$18+'ESTRUCTURA DE COSTOS'!$D$19)</f>
        <v>-8212500.0000000009</v>
      </c>
      <c r="F9" s="107">
        <f>-INGRESOS!F18*('ESTRUCTURA DE COSTOS'!$D$18+'ESTRUCTURA DE COSTOS'!$D$19)</f>
        <v>-11761500.000000002</v>
      </c>
      <c r="G9" s="107">
        <f>-INGRESOS!H18*('ESTRUCTURA DE COSTOS'!$D$18+'ESTRUCTURA DE COSTOS'!$D$19)</f>
        <v>-14998350.000000002</v>
      </c>
      <c r="H9" s="107">
        <f>-INGRESOS!J18*('ESTRUCTURA DE COSTOS'!$D$18+'ESTRUCTURA DE COSTOS'!$D$19)</f>
        <v>-19138962.692307696</v>
      </c>
      <c r="I9" s="107">
        <f>-INGRESOS!L18*('ESTRUCTURA DE COSTOS'!$D$18+'ESTRUCTURA DE COSTOS'!$D$19)</f>
        <v>-24438937.890532549</v>
      </c>
      <c r="J9" s="107">
        <f>-INGRESOS!N18*('ESTRUCTURA DE COSTOS'!$D$18+'ESTRUCTURA DE COSTOS'!$D$19)</f>
        <v>-31226971.73834775</v>
      </c>
    </row>
    <row r="10" spans="2:10">
      <c r="B10" s="81" t="s">
        <v>49</v>
      </c>
      <c r="C10" s="82" t="s">
        <v>51</v>
      </c>
      <c r="D10" s="107"/>
      <c r="E10" s="107">
        <f>-'ESTRUCTURA DE COSTOS'!H8</f>
        <v>-113378600</v>
      </c>
      <c r="F10" s="107">
        <f>-'ESTRUCTURA DE COSTOS'!I8</f>
        <v>-123847530.00000001</v>
      </c>
      <c r="G10" s="107">
        <f>-'ESTRUCTURA DE COSTOS'!J8</f>
        <v>-135319906.50000003</v>
      </c>
      <c r="H10" s="107">
        <f>-'ESTRUCTURA DE COSTOS'!K8</f>
        <v>-147893901.82500005</v>
      </c>
      <c r="I10" s="107">
        <f>-'ESTRUCTURA DE COSTOS'!L8</f>
        <v>-161677396.91625005</v>
      </c>
      <c r="J10" s="107">
        <f>-'ESTRUCTURA DE COSTOS'!M8</f>
        <v>-176788946.76206258</v>
      </c>
    </row>
    <row r="11" spans="2:10">
      <c r="B11" s="81" t="s">
        <v>49</v>
      </c>
      <c r="C11" s="82" t="s">
        <v>52</v>
      </c>
      <c r="D11" s="107"/>
      <c r="E11" s="107">
        <f>-DEPRECIACION!$G$9</f>
        <v>-526666.66666666663</v>
      </c>
      <c r="F11" s="107">
        <f>-DEPRECIACION!$G$9</f>
        <v>-526666.66666666663</v>
      </c>
      <c r="G11" s="107">
        <f>-DEPRECIACION!$G$9</f>
        <v>-526666.66666666663</v>
      </c>
      <c r="H11" s="107">
        <f>-DEPRECIACION!$G$9</f>
        <v>-526666.66666666663</v>
      </c>
      <c r="I11" s="107">
        <f>-DEPRECIACION!$G$9</f>
        <v>-526666.66666666663</v>
      </c>
      <c r="J11" s="107">
        <f>-DEPRECIACION!$G$9</f>
        <v>-526666.66666666663</v>
      </c>
    </row>
    <row r="12" spans="2:10">
      <c r="B12" s="88" t="s">
        <v>53</v>
      </c>
      <c r="C12" s="89" t="s">
        <v>54</v>
      </c>
      <c r="D12" s="108"/>
      <c r="E12" s="109">
        <f t="shared" ref="E12:J12" si="0">SUM(E6:E11)</f>
        <v>-12017766.666666666</v>
      </c>
      <c r="F12" s="109">
        <f t="shared" si="0"/>
        <v>22784303.333333317</v>
      </c>
      <c r="G12" s="109">
        <f t="shared" si="0"/>
        <v>53183076.833333306</v>
      </c>
      <c r="H12" s="109">
        <f t="shared" si="0"/>
        <v>94211638.046794847</v>
      </c>
      <c r="I12" s="109">
        <f t="shared" si="0"/>
        <v>149090003.73365137</v>
      </c>
      <c r="J12" s="109">
        <f t="shared" si="0"/>
        <v>221981688.01089293</v>
      </c>
    </row>
    <row r="13" spans="2:10">
      <c r="B13" s="81" t="s">
        <v>49</v>
      </c>
      <c r="C13" s="82" t="s">
        <v>55</v>
      </c>
      <c r="D13" s="107"/>
      <c r="E13" s="107">
        <f>'G. FINANCIERO'!$E$5</f>
        <v>-2839324.8655647454</v>
      </c>
      <c r="F13" s="107">
        <f>'G. FINANCIERO'!$E$5</f>
        <v>-2839324.8655647454</v>
      </c>
      <c r="G13" s="107">
        <f>'G. FINANCIERO'!$E$5</f>
        <v>-2839324.8655647454</v>
      </c>
      <c r="H13" s="107">
        <f>'G. FINANCIERO'!$E$5</f>
        <v>-2839324.8655647454</v>
      </c>
      <c r="I13" s="107">
        <f>'G. FINANCIERO'!$E$5</f>
        <v>-2839324.8655647454</v>
      </c>
      <c r="J13" s="107">
        <f>'G. FINANCIERO'!$E$5</f>
        <v>-2839324.8655647454</v>
      </c>
    </row>
    <row r="14" spans="2:10">
      <c r="B14" s="88" t="s">
        <v>53</v>
      </c>
      <c r="C14" s="89" t="s">
        <v>56</v>
      </c>
      <c r="D14" s="108"/>
      <c r="E14" s="109">
        <f t="shared" ref="E14:J14" si="1">SUM(E12:E13)</f>
        <v>-14857091.532231411</v>
      </c>
      <c r="F14" s="109">
        <f t="shared" si="1"/>
        <v>19944978.467768572</v>
      </c>
      <c r="G14" s="109">
        <f t="shared" si="1"/>
        <v>50343751.967768557</v>
      </c>
      <c r="H14" s="109">
        <f t="shared" si="1"/>
        <v>91372313.181230098</v>
      </c>
      <c r="I14" s="109">
        <f t="shared" si="1"/>
        <v>146250678.86808664</v>
      </c>
      <c r="J14" s="109">
        <f t="shared" si="1"/>
        <v>219142363.14532819</v>
      </c>
    </row>
    <row r="15" spans="2:10">
      <c r="B15" s="81" t="s">
        <v>49</v>
      </c>
      <c r="C15" s="82" t="s">
        <v>57</v>
      </c>
      <c r="D15" s="107"/>
      <c r="E15" s="107">
        <f t="shared" ref="E15:J15" si="2">+IF(E14&gt;0,-(E14*0.17),0)</f>
        <v>0</v>
      </c>
      <c r="F15" s="107">
        <f t="shared" si="2"/>
        <v>-3390646.3395206574</v>
      </c>
      <c r="G15" s="107">
        <f t="shared" si="2"/>
        <v>-8558437.8345206548</v>
      </c>
      <c r="H15" s="107">
        <f t="shared" si="2"/>
        <v>-15533293.240809118</v>
      </c>
      <c r="I15" s="107">
        <f t="shared" si="2"/>
        <v>-24862615.407574728</v>
      </c>
      <c r="J15" s="107">
        <f t="shared" si="2"/>
        <v>-37254201.734705798</v>
      </c>
    </row>
    <row r="16" spans="2:10">
      <c r="B16" s="81" t="s">
        <v>47</v>
      </c>
      <c r="C16" s="82" t="s">
        <v>52</v>
      </c>
      <c r="D16" s="107"/>
      <c r="E16" s="107">
        <f t="shared" ref="E16:J16" si="3">-(E11)</f>
        <v>526666.66666666663</v>
      </c>
      <c r="F16" s="107">
        <f t="shared" si="3"/>
        <v>526666.66666666663</v>
      </c>
      <c r="G16" s="107">
        <f t="shared" si="3"/>
        <v>526666.66666666663</v>
      </c>
      <c r="H16" s="107">
        <f t="shared" si="3"/>
        <v>526666.66666666663</v>
      </c>
      <c r="I16" s="107">
        <f t="shared" si="3"/>
        <v>526666.66666666663</v>
      </c>
      <c r="J16" s="107">
        <f t="shared" si="3"/>
        <v>526666.66666666663</v>
      </c>
    </row>
    <row r="17" spans="2:10">
      <c r="B17" s="81" t="s">
        <v>49</v>
      </c>
      <c r="C17" s="82" t="s">
        <v>58</v>
      </c>
      <c r="D17" s="107"/>
      <c r="E17" s="107">
        <f>-'G. FINANCIERO'!$C$7</f>
        <v>-2061000</v>
      </c>
      <c r="F17" s="107">
        <f>-'G. FINANCIERO'!$C$7</f>
        <v>-2061000</v>
      </c>
      <c r="G17" s="107">
        <f>-'G. FINANCIERO'!$C$7</f>
        <v>-2061000</v>
      </c>
      <c r="H17" s="107">
        <f>-'G. FINANCIERO'!$C$7</f>
        <v>-2061000</v>
      </c>
      <c r="I17" s="107">
        <f>-'G. FINANCIERO'!$C$7</f>
        <v>-2061000</v>
      </c>
      <c r="J17" s="107">
        <f>-'G. FINANCIERO'!$C$7</f>
        <v>-2061000</v>
      </c>
    </row>
    <row r="18" spans="2:10">
      <c r="B18" s="81" t="s">
        <v>49</v>
      </c>
      <c r="C18" s="82" t="s">
        <v>59</v>
      </c>
      <c r="D18" s="107">
        <f>-INVERSION!D20</f>
        <v>-20610000</v>
      </c>
      <c r="E18" s="107"/>
      <c r="F18" s="107"/>
      <c r="G18" s="107"/>
      <c r="H18" s="107"/>
      <c r="I18" s="107"/>
      <c r="J18" s="107"/>
    </row>
    <row r="19" spans="2:10" ht="13" thickBot="1">
      <c r="B19" s="78"/>
      <c r="C19" s="83" t="s">
        <v>81</v>
      </c>
      <c r="D19" s="157">
        <f>'G. FINANCIERO'!C5</f>
        <v>12366000</v>
      </c>
      <c r="E19" s="110"/>
      <c r="F19" s="110"/>
      <c r="G19" s="110"/>
      <c r="H19" s="110"/>
      <c r="I19" s="110"/>
      <c r="J19" s="110"/>
    </row>
    <row r="20" spans="2:10" ht="13" thickTop="1">
      <c r="B20" s="79" t="s">
        <v>53</v>
      </c>
      <c r="C20" s="87" t="s">
        <v>60</v>
      </c>
      <c r="D20" s="131">
        <f>SUM(D18:D19)</f>
        <v>-8244000</v>
      </c>
      <c r="E20" s="131">
        <f t="shared" ref="E20:J20" si="4">SUM(E14:E19)</f>
        <v>-16391424.865564745</v>
      </c>
      <c r="F20" s="131">
        <f t="shared" si="4"/>
        <v>15019998.794914581</v>
      </c>
      <c r="G20" s="131">
        <f t="shared" si="4"/>
        <v>40250980.799914569</v>
      </c>
      <c r="H20" s="131">
        <f t="shared" si="4"/>
        <v>74304686.607087657</v>
      </c>
      <c r="I20" s="131">
        <f t="shared" si="4"/>
        <v>119853730.12717858</v>
      </c>
      <c r="J20" s="131">
        <f t="shared" si="4"/>
        <v>180353828.07728904</v>
      </c>
    </row>
    <row r="21" spans="2:10" ht="13" thickBot="1">
      <c r="B21" s="136"/>
      <c r="C21" s="136"/>
      <c r="D21" s="137"/>
      <c r="E21" s="137"/>
      <c r="F21" s="137"/>
      <c r="G21" s="137"/>
      <c r="H21" s="137"/>
      <c r="I21" s="137"/>
      <c r="J21" s="137"/>
    </row>
    <row r="22" spans="2:10">
      <c r="B22" s="132"/>
      <c r="C22" s="138" t="s">
        <v>36</v>
      </c>
      <c r="D22" s="143">
        <f>NPV(D24,E20:J20)+D20</f>
        <v>195369906.18668318</v>
      </c>
      <c r="E22" s="137"/>
      <c r="F22" s="139"/>
      <c r="G22" s="137"/>
      <c r="H22" s="137"/>
      <c r="I22" s="137"/>
      <c r="J22" s="137"/>
    </row>
    <row r="23" spans="2:10" ht="13" thickBot="1">
      <c r="B23" s="133"/>
      <c r="C23" s="140" t="s">
        <v>35</v>
      </c>
      <c r="D23" s="144">
        <f>IRR(D20:J20)</f>
        <v>1.1222172349230157</v>
      </c>
      <c r="E23" s="136"/>
      <c r="F23" s="141"/>
      <c r="G23" s="136"/>
      <c r="H23" s="136"/>
      <c r="I23" s="136"/>
      <c r="J23" s="136"/>
    </row>
    <row r="24" spans="2:10" ht="13" thickBot="1">
      <c r="B24" s="134"/>
      <c r="C24" s="142" t="s">
        <v>82</v>
      </c>
      <c r="D24" s="135">
        <v>0.15</v>
      </c>
      <c r="E24" s="136"/>
      <c r="F24" s="136"/>
      <c r="G24" s="136"/>
      <c r="H24" s="136"/>
      <c r="I24" s="136"/>
      <c r="J24" s="136"/>
    </row>
    <row r="27" spans="2:10">
      <c r="C27" s="154"/>
      <c r="D27" s="155"/>
      <c r="I27" t="s">
        <v>85</v>
      </c>
    </row>
    <row r="31" spans="2:10">
      <c r="D31" s="156"/>
    </row>
    <row r="33" spans="3:10">
      <c r="C33" t="s">
        <v>8</v>
      </c>
      <c r="E33" s="2">
        <f>'ESTRUCTURA DE COSTOS'!H6</f>
        <v>96000000</v>
      </c>
      <c r="F33">
        <f>E33*1.1</f>
        <v>105600000.00000001</v>
      </c>
      <c r="G33">
        <f t="shared" ref="G33:J33" si="5">F33*1.1</f>
        <v>116160000.00000003</v>
      </c>
      <c r="H33">
        <f t="shared" si="5"/>
        <v>127776000.00000004</v>
      </c>
      <c r="I33">
        <f t="shared" si="5"/>
        <v>140553600.00000006</v>
      </c>
      <c r="J33">
        <f t="shared" si="5"/>
        <v>154608960.00000009</v>
      </c>
    </row>
    <row r="34" spans="3:10">
      <c r="C34" t="s">
        <v>130</v>
      </c>
      <c r="E34" s="2">
        <f>'ESTRUCTURA DE COSTOS'!H7</f>
        <v>17378600</v>
      </c>
      <c r="F34">
        <f>E34*1.05</f>
        <v>18247530</v>
      </c>
      <c r="G34">
        <f t="shared" ref="G34:J34" si="6">F34*1.05</f>
        <v>19159906.5</v>
      </c>
      <c r="H34">
        <f t="shared" si="6"/>
        <v>20117901.824999999</v>
      </c>
      <c r="I34">
        <f t="shared" si="6"/>
        <v>21123796.916250002</v>
      </c>
      <c r="J34">
        <f t="shared" si="6"/>
        <v>22179986.762062501</v>
      </c>
    </row>
    <row r="35" spans="3:10">
      <c r="C35" t="s">
        <v>131</v>
      </c>
      <c r="E35">
        <f>SUM(E33:E34)</f>
        <v>113378600</v>
      </c>
      <c r="F35">
        <f t="shared" ref="F35:J35" si="7">SUM(F33:F34)</f>
        <v>123847530.00000001</v>
      </c>
      <c r="G35">
        <f t="shared" si="7"/>
        <v>135319906.50000003</v>
      </c>
      <c r="H35">
        <f t="shared" si="7"/>
        <v>147893901.82500005</v>
      </c>
      <c r="I35">
        <f t="shared" si="7"/>
        <v>161677396.91625005</v>
      </c>
      <c r="J35">
        <f t="shared" si="7"/>
        <v>176788946.76206258</v>
      </c>
    </row>
    <row r="37" spans="3:10">
      <c r="E37" s="2">
        <f>E10+E35</f>
        <v>0</v>
      </c>
      <c r="F37" s="2">
        <f t="shared" ref="F37:J37" si="8">F10+F35</f>
        <v>0</v>
      </c>
      <c r="G37" s="2">
        <f t="shared" si="8"/>
        <v>0</v>
      </c>
      <c r="H37" s="2">
        <f t="shared" si="8"/>
        <v>0</v>
      </c>
      <c r="I37" s="2">
        <f t="shared" si="8"/>
        <v>0</v>
      </c>
      <c r="J37" s="2">
        <f t="shared" si="8"/>
        <v>0</v>
      </c>
    </row>
    <row r="38" spans="3:10">
      <c r="C38" s="2">
        <f>F33-E33</f>
        <v>9600000.0000000149</v>
      </c>
    </row>
    <row r="39" spans="3:10">
      <c r="C39">
        <f>C38/12</f>
        <v>800000.00000000128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125</v>
      </c>
    </row>
    <row r="4" spans="2:2">
      <c r="B4" t="s">
        <v>126</v>
      </c>
    </row>
    <row r="5" spans="2:2">
      <c r="B5" t="s">
        <v>127</v>
      </c>
    </row>
    <row r="6" spans="2:2">
      <c r="B6" t="s">
        <v>128</v>
      </c>
    </row>
    <row r="7" spans="2: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25" zoomScaleNormal="125" zoomScalePageLayoutView="125" workbookViewId="0">
      <selection activeCell="F30" sqref="F30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70" t="s">
        <v>0</v>
      </c>
      <c r="C4" s="171"/>
      <c r="D4" s="8" t="s">
        <v>29</v>
      </c>
    </row>
    <row r="5" spans="2:4" ht="13" thickBot="1">
      <c r="B5" s="168" t="s">
        <v>2</v>
      </c>
      <c r="C5" s="169"/>
      <c r="D5" s="45"/>
    </row>
    <row r="6" spans="2:4">
      <c r="B6" s="40"/>
      <c r="C6" s="41" t="s">
        <v>11</v>
      </c>
      <c r="D6" s="14"/>
    </row>
    <row r="7" spans="2:4" ht="13" thickBot="1">
      <c r="B7" s="40"/>
      <c r="C7" s="41" t="s">
        <v>12</v>
      </c>
      <c r="D7" s="18"/>
    </row>
    <row r="8" spans="2:4" ht="13" thickBot="1">
      <c r="B8" s="168" t="s">
        <v>5</v>
      </c>
      <c r="C8" s="172"/>
      <c r="D8" s="46">
        <v>5000000</v>
      </c>
    </row>
    <row r="9" spans="2:4" ht="13" thickBot="1">
      <c r="B9" s="168" t="s">
        <v>6</v>
      </c>
      <c r="C9" s="169"/>
      <c r="D9" s="46">
        <v>2500000</v>
      </c>
    </row>
    <row r="10" spans="2:4" ht="13" thickBot="1">
      <c r="B10" s="168" t="s">
        <v>7</v>
      </c>
      <c r="C10" s="169"/>
      <c r="D10" s="45"/>
    </row>
    <row r="11" spans="2:4">
      <c r="B11" s="42">
        <v>7</v>
      </c>
      <c r="C11" s="41" t="s">
        <v>33</v>
      </c>
      <c r="D11" s="14">
        <f>400000*B11</f>
        <v>2800000</v>
      </c>
    </row>
    <row r="12" spans="2:4">
      <c r="B12" s="42">
        <v>1</v>
      </c>
      <c r="C12" s="41" t="s">
        <v>34</v>
      </c>
      <c r="D12" s="14">
        <v>300000</v>
      </c>
    </row>
    <row r="13" spans="2:4" ht="13" thickBot="1">
      <c r="B13" s="43">
        <v>1</v>
      </c>
      <c r="C13" s="13" t="s">
        <v>38</v>
      </c>
      <c r="D13" s="18">
        <v>60000</v>
      </c>
    </row>
    <row r="14" spans="2:4" ht="13" thickBot="1">
      <c r="B14" s="168" t="s">
        <v>1</v>
      </c>
      <c r="C14" s="169"/>
      <c r="D14" s="45"/>
    </row>
    <row r="15" spans="2:4">
      <c r="B15" s="43"/>
      <c r="C15" s="13" t="s">
        <v>10</v>
      </c>
      <c r="D15" s="14">
        <v>300000</v>
      </c>
    </row>
    <row r="16" spans="2:4">
      <c r="B16" s="43"/>
      <c r="C16" s="113" t="s">
        <v>106</v>
      </c>
      <c r="D16" s="14">
        <f>'CREACIÓN CURSOS'!D14</f>
        <v>4400000</v>
      </c>
    </row>
    <row r="17" spans="2:4">
      <c r="B17" s="43"/>
      <c r="C17" s="13" t="s">
        <v>84</v>
      </c>
      <c r="D17" s="14">
        <v>50000</v>
      </c>
    </row>
    <row r="18" spans="2:4">
      <c r="B18" s="43"/>
      <c r="C18" s="13" t="s">
        <v>83</v>
      </c>
      <c r="D18" s="14">
        <v>200000</v>
      </c>
    </row>
    <row r="19" spans="2:4" ht="13" thickBot="1">
      <c r="B19" s="44"/>
      <c r="C19" s="114" t="s">
        <v>107</v>
      </c>
      <c r="D19" s="18">
        <v>5000000</v>
      </c>
    </row>
    <row r="20" spans="2:4" ht="13" thickBot="1">
      <c r="B20" s="166" t="s">
        <v>37</v>
      </c>
      <c r="C20" s="167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25" zoomScaleNormal="125" zoomScalePageLayoutView="125" workbookViewId="0">
      <selection activeCell="F7" sqref="F7:G7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2:16" ht="13" thickBot="1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2:16" ht="13" thickBot="1">
      <c r="B4" s="101"/>
      <c r="C4" s="101"/>
      <c r="D4" s="185" t="s">
        <v>93</v>
      </c>
      <c r="E4" s="187"/>
      <c r="F4" s="185" t="s">
        <v>96</v>
      </c>
      <c r="G4" s="186"/>
      <c r="H4" s="187" t="s">
        <v>97</v>
      </c>
      <c r="I4" s="187"/>
      <c r="J4" s="185" t="s">
        <v>98</v>
      </c>
      <c r="K4" s="186"/>
      <c r="L4" s="187" t="s">
        <v>99</v>
      </c>
      <c r="M4" s="187"/>
      <c r="N4" s="185" t="s">
        <v>100</v>
      </c>
      <c r="O4" s="186"/>
      <c r="P4" s="101"/>
    </row>
    <row r="5" spans="2:16" ht="13" thickBot="1">
      <c r="B5" s="101"/>
      <c r="C5" s="101"/>
      <c r="D5" s="102" t="s">
        <v>91</v>
      </c>
      <c r="E5" s="103" t="s">
        <v>92</v>
      </c>
      <c r="F5" s="102" t="s">
        <v>91</v>
      </c>
      <c r="G5" s="104" t="s">
        <v>92</v>
      </c>
      <c r="H5" s="103" t="s">
        <v>91</v>
      </c>
      <c r="I5" s="103" t="s">
        <v>92</v>
      </c>
      <c r="J5" s="102" t="s">
        <v>91</v>
      </c>
      <c r="K5" s="104" t="s">
        <v>92</v>
      </c>
      <c r="L5" s="103" t="s">
        <v>91</v>
      </c>
      <c r="M5" s="103" t="s">
        <v>92</v>
      </c>
      <c r="N5" s="102" t="s">
        <v>91</v>
      </c>
      <c r="O5" s="104" t="s">
        <v>92</v>
      </c>
      <c r="P5" s="101"/>
    </row>
    <row r="6" spans="2:16" ht="13" thickBot="1">
      <c r="B6" s="101"/>
      <c r="C6" s="189" t="s">
        <v>89</v>
      </c>
      <c r="D6" s="148">
        <f>12*1*20</f>
        <v>240</v>
      </c>
      <c r="E6" s="111">
        <v>180000</v>
      </c>
      <c r="F6" s="111">
        <f>20*1.3*12</f>
        <v>312</v>
      </c>
      <c r="G6" s="111">
        <v>180000</v>
      </c>
      <c r="H6" s="111">
        <f>F6*(1+$C$29)</f>
        <v>384</v>
      </c>
      <c r="I6" s="111">
        <v>180000</v>
      </c>
      <c r="J6" s="111">
        <f>H6*(1+$C$29)</f>
        <v>472.61538461538464</v>
      </c>
      <c r="K6" s="111">
        <v>180000</v>
      </c>
      <c r="L6" s="111">
        <f>J6*(1+$C$29)</f>
        <v>581.68047337278108</v>
      </c>
      <c r="M6" s="111">
        <v>180000</v>
      </c>
      <c r="N6" s="111">
        <f>L6*(1+$C$29)</f>
        <v>715.91442876649978</v>
      </c>
      <c r="O6" s="111">
        <v>180000</v>
      </c>
      <c r="P6" s="101"/>
    </row>
    <row r="7" spans="2:16" ht="13" thickBot="1">
      <c r="B7" s="101"/>
      <c r="C7" s="190"/>
      <c r="D7" s="179">
        <f>D6*E6</f>
        <v>43200000</v>
      </c>
      <c r="E7" s="184"/>
      <c r="F7" s="179">
        <f>F6*G6</f>
        <v>56160000</v>
      </c>
      <c r="G7" s="180"/>
      <c r="H7" s="184">
        <f>H6*I6</f>
        <v>69120000</v>
      </c>
      <c r="I7" s="184"/>
      <c r="J7" s="179">
        <f>J6*K6</f>
        <v>85070769.230769232</v>
      </c>
      <c r="K7" s="180"/>
      <c r="L7" s="184">
        <f>L6*M6</f>
        <v>104702485.2071006</v>
      </c>
      <c r="M7" s="184"/>
      <c r="N7" s="179">
        <f>N6*O6</f>
        <v>128864597.17796996</v>
      </c>
      <c r="O7" s="180"/>
      <c r="P7" s="101"/>
    </row>
    <row r="8" spans="2:16" ht="13" thickBot="1">
      <c r="B8" s="101"/>
      <c r="C8" s="189" t="s">
        <v>114</v>
      </c>
      <c r="D8" s="111">
        <f>D10*0.9</f>
        <v>90</v>
      </c>
      <c r="E8" s="111">
        <v>70000</v>
      </c>
      <c r="F8" s="111">
        <f>(F10-D10)*0.9+0.2*D10</f>
        <v>47</v>
      </c>
      <c r="G8" s="111">
        <v>70000</v>
      </c>
      <c r="H8" s="111">
        <f>(H10-F10)*0.9+0.2*F10</f>
        <v>61.1</v>
      </c>
      <c r="I8" s="111">
        <v>70000</v>
      </c>
      <c r="J8" s="111">
        <f>(J10-H10)*0.9+0.2*H10</f>
        <v>79.430000000000021</v>
      </c>
      <c r="K8" s="111">
        <v>70000</v>
      </c>
      <c r="L8" s="111">
        <f>(L10-J10)*0.9+0.2*J10</f>
        <v>103.259</v>
      </c>
      <c r="M8" s="111">
        <v>70000</v>
      </c>
      <c r="N8" s="111">
        <f>(N10-L10)*0.9+0.2*L10</f>
        <v>134.23670000000001</v>
      </c>
      <c r="O8" s="111">
        <v>70000</v>
      </c>
      <c r="P8" s="101"/>
    </row>
    <row r="9" spans="2:16" ht="13" thickBot="1">
      <c r="B9" s="101"/>
      <c r="C9" s="191"/>
      <c r="D9" s="182">
        <f>D8*E8</f>
        <v>6300000</v>
      </c>
      <c r="E9" s="181"/>
      <c r="F9" s="182">
        <f>F8*G8</f>
        <v>3290000</v>
      </c>
      <c r="G9" s="183"/>
      <c r="H9" s="181">
        <f>H8*I8</f>
        <v>4277000</v>
      </c>
      <c r="I9" s="181"/>
      <c r="J9" s="182">
        <f>J8*K8</f>
        <v>5560100.0000000019</v>
      </c>
      <c r="K9" s="183"/>
      <c r="L9" s="181">
        <f>L8*M8</f>
        <v>7228130</v>
      </c>
      <c r="M9" s="181"/>
      <c r="N9" s="182">
        <f>N8*O8</f>
        <v>9396569</v>
      </c>
      <c r="O9" s="183"/>
      <c r="P9" s="101"/>
    </row>
    <row r="10" spans="2:16" ht="13" thickBot="1">
      <c r="B10" s="101"/>
      <c r="C10" s="190" t="s">
        <v>90</v>
      </c>
      <c r="D10" s="111">
        <v>100</v>
      </c>
      <c r="E10" s="111">
        <f>$C$23*12</f>
        <v>600000</v>
      </c>
      <c r="F10" s="111">
        <f>D10*(1+$C$26)</f>
        <v>130</v>
      </c>
      <c r="G10" s="111">
        <f>$C$23*12</f>
        <v>600000</v>
      </c>
      <c r="H10" s="111">
        <f>F10*(1+$C$26)</f>
        <v>169</v>
      </c>
      <c r="I10" s="111">
        <f>$C$23*12</f>
        <v>600000</v>
      </c>
      <c r="J10" s="111">
        <f>H10*(1+$C$26)</f>
        <v>219.70000000000002</v>
      </c>
      <c r="K10" s="111">
        <f>$C$23*12</f>
        <v>600000</v>
      </c>
      <c r="L10" s="111">
        <f>J10*(1+$C$26)</f>
        <v>285.61</v>
      </c>
      <c r="M10" s="111">
        <f>$C$23*12</f>
        <v>600000</v>
      </c>
      <c r="N10" s="111">
        <f>L10*(1+$C$26)</f>
        <v>371.29300000000001</v>
      </c>
      <c r="O10" s="111">
        <f>$C$23*12</f>
        <v>600000</v>
      </c>
      <c r="P10" s="101"/>
    </row>
    <row r="11" spans="2:16" ht="13" thickBot="1">
      <c r="B11" s="101"/>
      <c r="C11" s="190"/>
      <c r="D11" s="179">
        <f>D10*E10</f>
        <v>60000000</v>
      </c>
      <c r="E11" s="184"/>
      <c r="F11" s="179">
        <f>F10*G10</f>
        <v>78000000</v>
      </c>
      <c r="G11" s="180"/>
      <c r="H11" s="184">
        <f>H10*I10</f>
        <v>101400000</v>
      </c>
      <c r="I11" s="184"/>
      <c r="J11" s="179">
        <f>J10*K10</f>
        <v>131820000.00000001</v>
      </c>
      <c r="K11" s="180"/>
      <c r="L11" s="184">
        <f>L10*M10</f>
        <v>171366000</v>
      </c>
      <c r="M11" s="184"/>
      <c r="N11" s="179">
        <f>N10*O10</f>
        <v>222775800</v>
      </c>
      <c r="O11" s="180"/>
      <c r="P11" s="101"/>
    </row>
    <row r="12" spans="2:16" ht="13" thickBot="1">
      <c r="B12" s="101"/>
      <c r="C12" s="189" t="s">
        <v>122</v>
      </c>
      <c r="D12" s="111"/>
      <c r="E12" s="111"/>
      <c r="F12" s="111">
        <f>0.7*F10</f>
        <v>91</v>
      </c>
      <c r="G12" s="111">
        <f>10000*12</f>
        <v>120000</v>
      </c>
      <c r="H12" s="111">
        <f>0.7*H10</f>
        <v>118.3</v>
      </c>
      <c r="I12" s="111">
        <f>10000*12</f>
        <v>120000</v>
      </c>
      <c r="J12" s="111">
        <f>0.7*J10</f>
        <v>153.79</v>
      </c>
      <c r="K12" s="111">
        <f>10000*12</f>
        <v>120000</v>
      </c>
      <c r="L12" s="111">
        <f>0.7*L10</f>
        <v>199.92699999999999</v>
      </c>
      <c r="M12" s="111">
        <f>10000*12</f>
        <v>120000</v>
      </c>
      <c r="N12" s="111">
        <f>0.7*N10</f>
        <v>259.9051</v>
      </c>
      <c r="O12" s="111">
        <f>10000*12</f>
        <v>120000</v>
      </c>
      <c r="P12" s="101"/>
    </row>
    <row r="13" spans="2:16" ht="13" thickBot="1">
      <c r="B13" s="101"/>
      <c r="C13" s="191"/>
      <c r="D13" s="182">
        <f>D12*E12</f>
        <v>0</v>
      </c>
      <c r="E13" s="181"/>
      <c r="F13" s="182">
        <f>F12*G12</f>
        <v>10920000</v>
      </c>
      <c r="G13" s="183"/>
      <c r="H13" s="181">
        <f>H12*I12</f>
        <v>14196000</v>
      </c>
      <c r="I13" s="181"/>
      <c r="J13" s="182">
        <f>J12*K12</f>
        <v>18454800</v>
      </c>
      <c r="K13" s="183"/>
      <c r="L13" s="181">
        <f>L12*M12</f>
        <v>23991240</v>
      </c>
      <c r="M13" s="181"/>
      <c r="N13" s="182">
        <f>N12*O12</f>
        <v>31188612</v>
      </c>
      <c r="O13" s="183"/>
      <c r="P13" s="101"/>
    </row>
    <row r="14" spans="2:16" ht="13" thickBot="1">
      <c r="B14" s="101"/>
      <c r="C14" s="190" t="s">
        <v>94</v>
      </c>
      <c r="D14" s="111"/>
      <c r="E14" s="111"/>
      <c r="F14" s="111">
        <f>0.3*F10</f>
        <v>39</v>
      </c>
      <c r="G14" s="111">
        <v>50000</v>
      </c>
      <c r="H14" s="111">
        <f>0.3*H10</f>
        <v>50.699999999999996</v>
      </c>
      <c r="I14" s="111">
        <v>50000</v>
      </c>
      <c r="J14" s="111">
        <f>0.3*J10</f>
        <v>65.91</v>
      </c>
      <c r="K14" s="111">
        <v>50000</v>
      </c>
      <c r="L14" s="111">
        <f>0.3*L10</f>
        <v>85.683000000000007</v>
      </c>
      <c r="M14" s="111">
        <v>50000</v>
      </c>
      <c r="N14" s="111">
        <f>0.3*N10</f>
        <v>111.3879</v>
      </c>
      <c r="O14" s="111">
        <v>50000</v>
      </c>
      <c r="P14" s="101"/>
    </row>
    <row r="15" spans="2:16" ht="13" thickBot="1">
      <c r="B15" s="101"/>
      <c r="C15" s="190"/>
      <c r="D15" s="179">
        <f>D14*E14</f>
        <v>0</v>
      </c>
      <c r="E15" s="184"/>
      <c r="F15" s="179">
        <f>F14*G14</f>
        <v>1950000</v>
      </c>
      <c r="G15" s="180"/>
      <c r="H15" s="184">
        <f>H14*I14</f>
        <v>2535000</v>
      </c>
      <c r="I15" s="184"/>
      <c r="J15" s="179">
        <f>J14*K14</f>
        <v>3295500</v>
      </c>
      <c r="K15" s="180"/>
      <c r="L15" s="184">
        <f>L14*M14</f>
        <v>4284150</v>
      </c>
      <c r="M15" s="184"/>
      <c r="N15" s="179">
        <f>N14*O14</f>
        <v>5569395</v>
      </c>
      <c r="O15" s="180"/>
      <c r="P15" s="101"/>
    </row>
    <row r="16" spans="2:16" ht="13" thickBot="1">
      <c r="B16" s="101"/>
      <c r="C16" s="189" t="s">
        <v>95</v>
      </c>
      <c r="D16" s="111"/>
      <c r="E16" s="111"/>
      <c r="F16" s="111">
        <f>0.5*F10</f>
        <v>65</v>
      </c>
      <c r="G16" s="111">
        <v>100000</v>
      </c>
      <c r="H16" s="111">
        <f>0.5*H10</f>
        <v>84.5</v>
      </c>
      <c r="I16" s="111">
        <v>100000</v>
      </c>
      <c r="J16" s="111">
        <f>0.5*J10</f>
        <v>109.85000000000001</v>
      </c>
      <c r="K16" s="111">
        <v>100000</v>
      </c>
      <c r="L16" s="111">
        <f>0.5*L10</f>
        <v>142.80500000000001</v>
      </c>
      <c r="M16" s="111">
        <v>100000</v>
      </c>
      <c r="N16" s="111">
        <f>0.5*N10</f>
        <v>185.6465</v>
      </c>
      <c r="O16" s="111">
        <v>100000</v>
      </c>
      <c r="P16" s="101"/>
    </row>
    <row r="17" spans="2:16" ht="13" thickBot="1">
      <c r="B17" s="101"/>
      <c r="C17" s="191"/>
      <c r="D17" s="175">
        <f>D16*E16</f>
        <v>0</v>
      </c>
      <c r="E17" s="178"/>
      <c r="F17" s="175">
        <f>F16*G16</f>
        <v>6500000</v>
      </c>
      <c r="G17" s="176"/>
      <c r="H17" s="178">
        <f>H16*I16</f>
        <v>8450000</v>
      </c>
      <c r="I17" s="178"/>
      <c r="J17" s="175">
        <f>J16*K16</f>
        <v>10985000</v>
      </c>
      <c r="K17" s="176"/>
      <c r="L17" s="178">
        <f>L16*M16</f>
        <v>14280500</v>
      </c>
      <c r="M17" s="178"/>
      <c r="N17" s="175">
        <f>N16*O16</f>
        <v>18564650</v>
      </c>
      <c r="O17" s="176"/>
      <c r="P17" s="101"/>
    </row>
    <row r="18" spans="2:16" ht="13" thickBot="1">
      <c r="B18" s="101"/>
      <c r="C18" s="105" t="s">
        <v>101</v>
      </c>
      <c r="D18" s="173">
        <f>D7+D9+D11+D13+D15+D17</f>
        <v>109500000</v>
      </c>
      <c r="E18" s="177"/>
      <c r="F18" s="173">
        <f>F7+F9+F11+F13+F15+F17</f>
        <v>156820000</v>
      </c>
      <c r="G18" s="174"/>
      <c r="H18" s="177">
        <f>H7+H9+H11+H13+H15+H17</f>
        <v>199978000</v>
      </c>
      <c r="I18" s="177"/>
      <c r="J18" s="173">
        <f>J7+J9+J11+J13+J15+J17</f>
        <v>255186169.23076925</v>
      </c>
      <c r="K18" s="174"/>
      <c r="L18" s="177">
        <f>L7+L9+L11+L13+L15+L17</f>
        <v>325852505.20710063</v>
      </c>
      <c r="M18" s="177"/>
      <c r="N18" s="173">
        <f>N7+N9+N11+N13+N15+N17</f>
        <v>416359623.17796993</v>
      </c>
      <c r="O18" s="174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C21" s="188" t="s">
        <v>109</v>
      </c>
    </row>
    <row r="22" spans="2:16">
      <c r="C22" s="188"/>
    </row>
    <row r="23" spans="2:16">
      <c r="C23" s="149">
        <v>50000</v>
      </c>
    </row>
    <row r="25" spans="2:16" ht="24">
      <c r="C25" s="145" t="s">
        <v>113</v>
      </c>
    </row>
    <row r="26" spans="2:16">
      <c r="C26" s="146">
        <v>0.3</v>
      </c>
    </row>
    <row r="28" spans="2:16" ht="24">
      <c r="C28" s="147" t="s">
        <v>115</v>
      </c>
    </row>
    <row r="29" spans="2:16">
      <c r="C29" s="152">
        <f>(F6-D6)/F6</f>
        <v>0.23076923076923078</v>
      </c>
    </row>
    <row r="30" spans="2:16">
      <c r="C30" s="151"/>
    </row>
  </sheetData>
  <mergeCells count="55"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15:O15"/>
    <mergeCell ref="H13:I13"/>
    <mergeCell ref="J13:K13"/>
    <mergeCell ref="F13:G13"/>
    <mergeCell ref="N13:O13"/>
    <mergeCell ref="L15:M15"/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zoomScale="125" zoomScaleNormal="125" zoomScalePageLayoutView="125" workbookViewId="0">
      <selection activeCell="I20" sqref="I20"/>
    </sheetView>
  </sheetViews>
  <sheetFormatPr baseColWidth="10" defaultColWidth="11.5" defaultRowHeight="12" x14ac:dyDescent="0"/>
  <cols>
    <col min="2" max="2" width="20" bestFit="1" customWidth="1"/>
    <col min="3" max="3" width="14.1640625" customWidth="1"/>
    <col min="4" max="4" width="17.33203125" bestFit="1" customWidth="1"/>
    <col min="7" max="7" width="18" bestFit="1" customWidth="1"/>
    <col min="8" max="8" width="12.5" customWidth="1"/>
  </cols>
  <sheetData>
    <row r="1" spans="1:13">
      <c r="A1" s="101"/>
      <c r="B1" s="101"/>
      <c r="C1" s="101"/>
      <c r="D1" s="101"/>
      <c r="E1" s="101"/>
      <c r="G1" s="101"/>
    </row>
    <row r="2" spans="1:13" ht="13" thickBot="1">
      <c r="A2" s="101"/>
      <c r="B2" s="101"/>
      <c r="C2" s="101"/>
      <c r="D2" s="101"/>
      <c r="E2" s="101"/>
      <c r="G2" s="101"/>
    </row>
    <row r="3" spans="1:13" ht="13" thickBot="1">
      <c r="A3" s="101"/>
      <c r="B3" s="128" t="s">
        <v>42</v>
      </c>
      <c r="C3" s="127"/>
      <c r="D3" s="20" t="s">
        <v>39</v>
      </c>
      <c r="E3" s="8" t="s">
        <v>40</v>
      </c>
      <c r="G3" s="130"/>
    </row>
    <row r="4" spans="1:13">
      <c r="A4" s="101"/>
      <c r="B4" s="195" t="s">
        <v>86</v>
      </c>
      <c r="C4" s="196"/>
      <c r="D4" s="6">
        <v>600000</v>
      </c>
      <c r="E4" s="4">
        <f>D4*12</f>
        <v>7200000</v>
      </c>
      <c r="G4" s="101"/>
    </row>
    <row r="5" spans="1:13">
      <c r="A5" s="101"/>
      <c r="B5" s="193" t="s">
        <v>118</v>
      </c>
      <c r="C5" s="194"/>
      <c r="D5" s="4">
        <f>IF('HW y SW'!C5=0,100000,0)</f>
        <v>0</v>
      </c>
      <c r="E5" s="4">
        <f>'HW y SW'!G4</f>
        <v>500000</v>
      </c>
      <c r="G5" s="101"/>
      <c r="H5" s="158">
        <v>1</v>
      </c>
      <c r="I5" s="158">
        <v>2</v>
      </c>
      <c r="J5" s="158">
        <v>3</v>
      </c>
      <c r="K5" s="158">
        <v>4</v>
      </c>
      <c r="L5" s="158">
        <v>5</v>
      </c>
      <c r="M5" s="158">
        <v>6</v>
      </c>
    </row>
    <row r="6" spans="1:13">
      <c r="A6" s="101"/>
      <c r="B6" s="193" t="s">
        <v>8</v>
      </c>
      <c r="C6" s="194"/>
      <c r="D6" s="4">
        <f>PERSONAL!E12</f>
        <v>8000000</v>
      </c>
      <c r="E6" s="4">
        <f t="shared" ref="E6:E11" si="0">D6*12</f>
        <v>96000000</v>
      </c>
      <c r="G6" s="159" t="s">
        <v>8</v>
      </c>
      <c r="H6" s="160">
        <f>E6</f>
        <v>96000000</v>
      </c>
      <c r="I6" s="161">
        <f>H6*(1+$I$10)</f>
        <v>105600000.00000001</v>
      </c>
      <c r="J6" s="161">
        <f t="shared" ref="J6:M6" si="1">I6*(1+$I$10)</f>
        <v>116160000.00000003</v>
      </c>
      <c r="K6" s="161">
        <f t="shared" si="1"/>
        <v>127776000.00000004</v>
      </c>
      <c r="L6" s="161">
        <f t="shared" si="1"/>
        <v>140553600.00000006</v>
      </c>
      <c r="M6" s="161">
        <f t="shared" si="1"/>
        <v>154608960.00000009</v>
      </c>
    </row>
    <row r="7" spans="1:13">
      <c r="A7" s="101"/>
      <c r="B7" s="193" t="s">
        <v>25</v>
      </c>
      <c r="C7" s="194"/>
      <c r="D7" s="4">
        <v>100000</v>
      </c>
      <c r="E7" s="4">
        <f t="shared" si="0"/>
        <v>1200000</v>
      </c>
      <c r="G7" s="159" t="s">
        <v>130</v>
      </c>
      <c r="H7" s="160">
        <f>SUM(E4:E13)-H6</f>
        <v>17378600</v>
      </c>
      <c r="I7" s="161">
        <f>H7*(1+$I$11)</f>
        <v>18247530</v>
      </c>
      <c r="J7" s="161">
        <f t="shared" ref="J7:M7" si="2">I7*(1+$I$11)</f>
        <v>19159906.5</v>
      </c>
      <c r="K7" s="161">
        <f t="shared" si="2"/>
        <v>20117901.824999999</v>
      </c>
      <c r="L7" s="161">
        <f t="shared" si="2"/>
        <v>21123796.916250002</v>
      </c>
      <c r="M7" s="161">
        <f t="shared" si="2"/>
        <v>22179986.762062501</v>
      </c>
    </row>
    <row r="8" spans="1:13">
      <c r="A8" s="101"/>
      <c r="B8" s="193" t="s">
        <v>16</v>
      </c>
      <c r="C8" s="194"/>
      <c r="D8" s="4"/>
      <c r="E8" s="4">
        <v>13000</v>
      </c>
      <c r="G8" s="162" t="s">
        <v>51</v>
      </c>
      <c r="H8" s="163">
        <f>H6+H7</f>
        <v>113378600</v>
      </c>
      <c r="I8" s="164">
        <f t="shared" ref="I8:M8" si="3">SUM(I6:I7)</f>
        <v>123847530.00000001</v>
      </c>
      <c r="J8" s="164">
        <f t="shared" si="3"/>
        <v>135319906.50000003</v>
      </c>
      <c r="K8" s="164">
        <f t="shared" si="3"/>
        <v>147893901.82500005</v>
      </c>
      <c r="L8" s="164">
        <f t="shared" si="3"/>
        <v>161677396.91625005</v>
      </c>
      <c r="M8" s="164">
        <f t="shared" si="3"/>
        <v>176788946.76206258</v>
      </c>
    </row>
    <row r="9" spans="1:13">
      <c r="A9" s="101"/>
      <c r="B9" s="193" t="s">
        <v>9</v>
      </c>
      <c r="C9" s="194"/>
      <c r="D9" s="4">
        <v>50000</v>
      </c>
      <c r="E9" s="4">
        <f t="shared" si="0"/>
        <v>600000</v>
      </c>
      <c r="G9" s="101"/>
    </row>
    <row r="10" spans="1:13">
      <c r="A10" s="101"/>
      <c r="B10" s="193" t="s">
        <v>26</v>
      </c>
      <c r="C10" s="194"/>
      <c r="D10" s="4">
        <v>45000</v>
      </c>
      <c r="E10" s="4">
        <f t="shared" si="0"/>
        <v>540000</v>
      </c>
      <c r="G10" s="192" t="s">
        <v>132</v>
      </c>
      <c r="H10" s="192"/>
      <c r="I10" s="165">
        <v>0.1</v>
      </c>
    </row>
    <row r="11" spans="1:13">
      <c r="A11" s="101"/>
      <c r="B11" s="193" t="s">
        <v>27</v>
      </c>
      <c r="C11" s="194"/>
      <c r="D11" s="4">
        <v>45000</v>
      </c>
      <c r="E11" s="4">
        <f t="shared" si="0"/>
        <v>540000</v>
      </c>
      <c r="G11" s="192" t="s">
        <v>133</v>
      </c>
      <c r="H11" s="192"/>
      <c r="I11" s="165">
        <v>0.05</v>
      </c>
    </row>
    <row r="12" spans="1:13">
      <c r="A12" s="101"/>
      <c r="B12" s="193" t="s">
        <v>28</v>
      </c>
      <c r="C12" s="194"/>
      <c r="D12" s="4">
        <f>'CREACIÓN CURSOS'!D9</f>
        <v>1100000</v>
      </c>
      <c r="E12" s="4">
        <f>'CREACIÓN CURSOS'!D14</f>
        <v>4400000</v>
      </c>
      <c r="G12" s="101"/>
    </row>
    <row r="13" spans="1:13" ht="13" thickBot="1">
      <c r="A13" s="101"/>
      <c r="B13" s="197" t="s">
        <v>120</v>
      </c>
      <c r="C13" s="199"/>
      <c r="D13" s="5">
        <f>SUM(D4:D12)*0.02</f>
        <v>198800</v>
      </c>
      <c r="E13" s="5">
        <f>D13*12</f>
        <v>2385600</v>
      </c>
      <c r="G13" s="101"/>
    </row>
    <row r="14" spans="1:13" ht="13" thickBot="1">
      <c r="A14" s="101"/>
      <c r="B14" s="101"/>
      <c r="C14" s="166" t="s">
        <v>44</v>
      </c>
      <c r="D14" s="200"/>
      <c r="E14" s="11">
        <f>SUM(E4:E13)</f>
        <v>113378600</v>
      </c>
      <c r="G14" s="101"/>
    </row>
    <row r="15" spans="1:13">
      <c r="A15" s="101"/>
      <c r="B15" s="101"/>
      <c r="C15" s="101"/>
      <c r="D15" s="129"/>
      <c r="E15" s="129"/>
      <c r="G15" s="101"/>
    </row>
    <row r="16" spans="1:13" ht="13" thickBot="1">
      <c r="A16" s="101"/>
      <c r="B16" s="101"/>
      <c r="C16" s="101"/>
      <c r="D16" s="129"/>
      <c r="E16" s="129"/>
      <c r="G16" s="101"/>
    </row>
    <row r="17" spans="1:7" ht="13" thickBot="1">
      <c r="A17" s="101"/>
      <c r="B17" s="201" t="s">
        <v>41</v>
      </c>
      <c r="C17" s="202"/>
      <c r="D17" s="30" t="s">
        <v>61</v>
      </c>
      <c r="E17" s="101"/>
      <c r="G17" s="101"/>
    </row>
    <row r="18" spans="1:7">
      <c r="A18" s="101"/>
      <c r="B18" s="25" t="s">
        <v>30</v>
      </c>
      <c r="C18" s="26"/>
      <c r="D18" s="99">
        <v>7.0000000000000007E-2</v>
      </c>
      <c r="E18" s="101"/>
      <c r="G18" s="101"/>
    </row>
    <row r="19" spans="1:7" ht="13" thickBot="1">
      <c r="A19" s="101"/>
      <c r="B19" s="197" t="s">
        <v>43</v>
      </c>
      <c r="C19" s="198"/>
      <c r="D19" s="100">
        <v>5.0000000000000001E-3</v>
      </c>
      <c r="E19" s="101"/>
      <c r="G19" s="101"/>
    </row>
    <row r="20" spans="1:7" ht="13" thickBot="1">
      <c r="A20" s="101"/>
      <c r="B20" s="101"/>
      <c r="C20" s="101"/>
      <c r="D20" s="126" t="s">
        <v>62</v>
      </c>
      <c r="E20" s="101"/>
      <c r="G20" s="101"/>
    </row>
    <row r="21" spans="1:7">
      <c r="A21" s="101"/>
      <c r="B21" s="101"/>
      <c r="C21" s="101"/>
      <c r="D21" s="101"/>
      <c r="E21" s="101"/>
      <c r="G21" s="101"/>
    </row>
    <row r="23" spans="1:7">
      <c r="D23">
        <f>E14*D19</f>
        <v>566893</v>
      </c>
    </row>
  </sheetData>
  <mergeCells count="15">
    <mergeCell ref="B19:C19"/>
    <mergeCell ref="B13:C13"/>
    <mergeCell ref="C14:D14"/>
    <mergeCell ref="B11:C11"/>
    <mergeCell ref="B12:C12"/>
    <mergeCell ref="B17:C17"/>
    <mergeCell ref="G10:H10"/>
    <mergeCell ref="G11:H11"/>
    <mergeCell ref="B9:C9"/>
    <mergeCell ref="B10:C10"/>
    <mergeCell ref="B4:C4"/>
    <mergeCell ref="B5:C5"/>
    <mergeCell ref="B6:C6"/>
    <mergeCell ref="B7:C7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25" zoomScaleNormal="125" zoomScalePageLayoutView="125" workbookViewId="0">
      <selection activeCell="F24" sqref="F2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3.5" bestFit="1" customWidth="1"/>
  </cols>
  <sheetData>
    <row r="6" spans="2:7" ht="13" thickBot="1"/>
    <row r="7" spans="2:7" ht="13" thickBot="1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" thickBot="1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" thickBot="1">
      <c r="F9" s="76" t="s">
        <v>20</v>
      </c>
      <c r="G9" s="47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25" zoomScaleNormal="125" zoomScalePageLayoutView="125" workbookViewId="0">
      <selection activeCell="G28" sqref="G28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" bestFit="1" customWidth="1"/>
    <col min="6" max="6" width="14.33203125" bestFit="1" customWidth="1"/>
  </cols>
  <sheetData>
    <row r="4" spans="2:6">
      <c r="B4" s="1" t="s">
        <v>77</v>
      </c>
      <c r="C4" s="64">
        <v>0.6</v>
      </c>
    </row>
    <row r="5" spans="2:6">
      <c r="B5" s="57" t="s">
        <v>76</v>
      </c>
      <c r="C5" s="60">
        <f>INVERSION!D20*'G. FINANCIERO'!C4</f>
        <v>12366000</v>
      </c>
      <c r="D5" s="52"/>
      <c r="E5" s="150">
        <f>PMT(C6,B17,C5)</f>
        <v>-2839324.8655647454</v>
      </c>
      <c r="F5" s="150"/>
    </row>
    <row r="6" spans="2:6">
      <c r="B6" s="63" t="s">
        <v>78</v>
      </c>
      <c r="C6" s="65">
        <v>0.1</v>
      </c>
      <c r="D6" s="52"/>
      <c r="E6" s="52"/>
      <c r="F6" s="52"/>
    </row>
    <row r="7" spans="2:6">
      <c r="B7" s="63" t="s">
        <v>79</v>
      </c>
      <c r="C7" s="66">
        <f>C5/B17</f>
        <v>2061000</v>
      </c>
      <c r="E7" s="52"/>
      <c r="F7" s="52"/>
    </row>
    <row r="8" spans="2:6">
      <c r="B8" s="52"/>
      <c r="C8" s="52"/>
      <c r="D8" s="58"/>
      <c r="E8" s="52"/>
      <c r="F8" s="52"/>
    </row>
    <row r="9" spans="2:6">
      <c r="B9" s="52"/>
      <c r="C9" s="52"/>
      <c r="D9" s="58"/>
      <c r="E9" s="52"/>
      <c r="F9" s="52"/>
    </row>
    <row r="10" spans="2:6" ht="17.25" customHeight="1" thickBot="1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" thickBot="1">
      <c r="B11" s="90" t="s">
        <v>72</v>
      </c>
      <c r="C11" s="91" t="s">
        <v>73</v>
      </c>
      <c r="D11" s="92" t="s">
        <v>58</v>
      </c>
      <c r="E11" s="93" t="s">
        <v>74</v>
      </c>
      <c r="F11" s="94" t="s">
        <v>75</v>
      </c>
    </row>
    <row r="12" spans="2:6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" thickBot="1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" thickBot="1">
      <c r="C18" s="56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" bestFit="1" customWidth="1"/>
    <col min="7" max="7" width="13.83203125" bestFit="1" customWidth="1"/>
  </cols>
  <sheetData>
    <row r="3" spans="2:7" ht="13" thickBot="1">
      <c r="G3" t="s">
        <v>117</v>
      </c>
    </row>
    <row r="4" spans="2:7" ht="13" thickBot="1">
      <c r="B4" s="22" t="s">
        <v>3</v>
      </c>
      <c r="F4" t="s">
        <v>116</v>
      </c>
      <c r="G4" s="153">
        <v>500000</v>
      </c>
    </row>
    <row r="5" spans="2:7" ht="13" thickBot="1">
      <c r="B5" s="39" t="s">
        <v>13</v>
      </c>
      <c r="C5" s="3">
        <v>4000000</v>
      </c>
    </row>
    <row r="6" spans="2:7" ht="13" thickBot="1">
      <c r="B6" s="37" t="s">
        <v>20</v>
      </c>
      <c r="C6" s="38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1" t="s">
        <v>14</v>
      </c>
      <c r="C13" s="32">
        <v>500000</v>
      </c>
    </row>
    <row r="14" spans="2:7">
      <c r="B14" s="33" t="s">
        <v>15</v>
      </c>
      <c r="C14" s="34">
        <v>500000</v>
      </c>
    </row>
    <row r="15" spans="2:7" ht="13" thickBot="1">
      <c r="B15" s="33" t="s">
        <v>102</v>
      </c>
      <c r="C15" s="34">
        <v>500000</v>
      </c>
    </row>
    <row r="16" spans="2:7" ht="13" thickBot="1">
      <c r="B16" s="35" t="s">
        <v>20</v>
      </c>
      <c r="C16" s="36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25" zoomScaleNormal="125" zoomScalePageLayoutView="125" workbookViewId="0">
      <selection activeCell="G16" sqref="G16"/>
    </sheetView>
  </sheetViews>
  <sheetFormatPr baseColWidth="10" defaultColWidth="11.5" defaultRowHeight="12" x14ac:dyDescent="0"/>
  <cols>
    <col min="3" max="3" width="22.5" bestFit="1" customWidth="1"/>
  </cols>
  <sheetData>
    <row r="1" spans="2:10" ht="13" thickBot="1">
      <c r="F1">
        <v>2</v>
      </c>
      <c r="G1">
        <v>3</v>
      </c>
      <c r="H1">
        <v>4</v>
      </c>
      <c r="I1">
        <v>5</v>
      </c>
      <c r="J1">
        <v>6</v>
      </c>
    </row>
    <row r="2" spans="2:10" ht="13" thickBot="1">
      <c r="D2" s="201" t="s">
        <v>39</v>
      </c>
      <c r="E2" s="203"/>
    </row>
    <row r="3" spans="2:10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10">
      <c r="B4" s="96">
        <v>1</v>
      </c>
      <c r="C4" s="97" t="s">
        <v>21</v>
      </c>
      <c r="D4" s="45">
        <v>1500000</v>
      </c>
      <c r="E4" s="98">
        <f t="shared" ref="E4:E11" si="0">B4*D4</f>
        <v>1500000</v>
      </c>
    </row>
    <row r="5" spans="2:10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10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10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10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10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" thickBot="1">
      <c r="E12" s="95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3" max="3" width="20.33203125" customWidth="1"/>
    <col min="4" max="10" width="13.5" bestFit="1" customWidth="1"/>
  </cols>
  <sheetData>
    <row r="3" spans="3:10" ht="13" thickBot="1"/>
    <row r="4" spans="3:10" ht="13" thickBot="1">
      <c r="C4" s="204" t="s">
        <v>112</v>
      </c>
      <c r="D4" s="200"/>
    </row>
    <row r="5" spans="3:10" ht="13" thickBot="1">
      <c r="C5" s="27" t="s">
        <v>32</v>
      </c>
      <c r="D5" s="8" t="s">
        <v>29</v>
      </c>
    </row>
    <row r="6" spans="3:10">
      <c r="C6" s="21" t="s">
        <v>31</v>
      </c>
      <c r="D6" s="4">
        <v>500000</v>
      </c>
    </row>
    <row r="7" spans="3:10">
      <c r="C7" s="7" t="s">
        <v>123</v>
      </c>
      <c r="D7" s="4">
        <v>100000</v>
      </c>
      <c r="E7" t="s">
        <v>124</v>
      </c>
    </row>
    <row r="8" spans="3:10" ht="13" thickBot="1">
      <c r="C8" s="112" t="s">
        <v>103</v>
      </c>
      <c r="D8" s="5">
        <v>500000</v>
      </c>
    </row>
    <row r="9" spans="3:10" ht="13" thickBot="1">
      <c r="C9" s="28" t="s">
        <v>20</v>
      </c>
      <c r="D9" s="36">
        <f>SUM(D6:D8)</f>
        <v>1100000</v>
      </c>
    </row>
    <row r="11" spans="3:10" ht="13" thickBot="1"/>
    <row r="12" spans="3:10" ht="13" thickBot="1">
      <c r="D12" s="115" t="s">
        <v>104</v>
      </c>
      <c r="E12" s="121" t="s">
        <v>93</v>
      </c>
      <c r="F12" s="119" t="s">
        <v>96</v>
      </c>
      <c r="G12" s="121" t="s">
        <v>97</v>
      </c>
      <c r="H12" s="119" t="s">
        <v>98</v>
      </c>
      <c r="I12" s="121" t="s">
        <v>99</v>
      </c>
      <c r="J12" s="120" t="s">
        <v>100</v>
      </c>
    </row>
    <row r="13" spans="3:10">
      <c r="C13" s="115" t="s">
        <v>105</v>
      </c>
      <c r="D13" s="31">
        <v>4</v>
      </c>
      <c r="E13" s="21">
        <v>4</v>
      </c>
      <c r="F13" s="116">
        <v>4</v>
      </c>
      <c r="G13" s="21">
        <v>4</v>
      </c>
      <c r="H13" s="116">
        <v>4</v>
      </c>
      <c r="I13" s="21">
        <v>4</v>
      </c>
      <c r="J13" s="117">
        <v>4</v>
      </c>
    </row>
    <row r="14" spans="3:10" ht="13" thickBot="1">
      <c r="C14" s="118" t="s">
        <v>19</v>
      </c>
      <c r="D14" s="122">
        <f>$D$9*D13</f>
        <v>4400000</v>
      </c>
      <c r="E14" s="123">
        <f t="shared" ref="E14:J14" si="0">$D$9*E13</f>
        <v>4400000</v>
      </c>
      <c r="F14" s="124">
        <f t="shared" si="0"/>
        <v>4400000</v>
      </c>
      <c r="G14" s="123">
        <f t="shared" si="0"/>
        <v>4400000</v>
      </c>
      <c r="H14" s="124">
        <f t="shared" si="0"/>
        <v>4400000</v>
      </c>
      <c r="I14" s="123">
        <f t="shared" si="0"/>
        <v>4400000</v>
      </c>
      <c r="J14" s="125">
        <f t="shared" si="0"/>
        <v>4400000</v>
      </c>
    </row>
  </sheetData>
  <mergeCells count="1">
    <mergeCell ref="C4:D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PRINCIPAL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2012-05-09T04:17:58Z</dcterms:modified>
</cp:coreProperties>
</file>