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my\Google Drive\Career\Job Apps\Insight_\Interview\Case Interview\"/>
    </mc:Choice>
  </mc:AlternateContent>
  <xr:revisionPtr revIDLastSave="0" documentId="13_ncr:1_{6EED3529-277F-4631-A905-D9823FDF8427}" xr6:coauthVersionLast="41" xr6:coauthVersionMax="41" xr10:uidLastSave="{00000000-0000-0000-0000-000000000000}"/>
  <bookViews>
    <workbookView xWindow="28680" yWindow="2610" windowWidth="24240" windowHeight="13140" xr2:uid="{CCFEEF55-2347-4861-92DB-5E5B9FB4B4E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0" i="2" l="1"/>
  <c r="T7" i="2"/>
  <c r="S10" i="2"/>
  <c r="S7" i="2"/>
  <c r="R7" i="2"/>
  <c r="R10" i="2"/>
  <c r="O10" i="2"/>
  <c r="F7" i="2"/>
  <c r="E7" i="2"/>
  <c r="D7" i="2"/>
  <c r="C7" i="2"/>
  <c r="P7" i="2"/>
  <c r="O7" i="2"/>
  <c r="P10" i="2"/>
  <c r="Q10" i="2"/>
  <c r="C10" i="2"/>
  <c r="H5" i="2"/>
  <c r="G10" i="2"/>
  <c r="G7" i="2"/>
  <c r="H10" i="2"/>
  <c r="H7" i="2"/>
  <c r="I10" i="2"/>
  <c r="J10" i="2" l="1"/>
  <c r="J7" i="2"/>
  <c r="K10" i="2"/>
  <c r="M4" i="2"/>
  <c r="M10" i="2"/>
  <c r="X14" i="1" l="1"/>
  <c r="X13" i="1"/>
  <c r="X12" i="1"/>
  <c r="X11" i="1"/>
  <c r="X10" i="1"/>
  <c r="X9" i="1"/>
  <c r="X8" i="1"/>
  <c r="X7" i="1"/>
  <c r="X6" i="1"/>
  <c r="X5" i="1"/>
  <c r="X4" i="1"/>
  <c r="X3" i="1"/>
  <c r="X2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R14" i="1"/>
  <c r="R13" i="1"/>
  <c r="R12" i="1"/>
  <c r="R11" i="1"/>
  <c r="R10" i="1"/>
  <c r="R9" i="1"/>
  <c r="R7" i="1"/>
  <c r="R8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<sst xmlns="http://schemas.openxmlformats.org/spreadsheetml/2006/main" count="47" uniqueCount="33">
  <si>
    <t>Omeprazole</t>
  </si>
  <si>
    <t>Metformin</t>
  </si>
  <si>
    <t>Losartan</t>
  </si>
  <si>
    <t>Viagra_Pfizer</t>
  </si>
  <si>
    <t>Lipitor_Pfizer</t>
  </si>
  <si>
    <t>Humira_Abbvie</t>
  </si>
  <si>
    <t>Avastin_Roche</t>
  </si>
  <si>
    <t>Rituxan_Genentech</t>
  </si>
  <si>
    <t>Herceptin_Genentech</t>
  </si>
  <si>
    <t>Lucentis_Genentech</t>
  </si>
  <si>
    <t>Enbrel_Amgen</t>
  </si>
  <si>
    <t>Crestor_Astrazenca</t>
  </si>
  <si>
    <t>Nexium_Astrazeneca</t>
  </si>
  <si>
    <t>Retasis_Allergan</t>
  </si>
  <si>
    <t>Lisinopril_Merck</t>
  </si>
  <si>
    <t>Diffusion Parameter</t>
  </si>
  <si>
    <t xml:space="preserve">Severity of disease </t>
  </si>
  <si>
    <t>Normalized Potential Market Size</t>
  </si>
  <si>
    <t>Jakafi</t>
  </si>
  <si>
    <t>Olumiant</t>
  </si>
  <si>
    <t>Xeljanz</t>
  </si>
  <si>
    <t>Method</t>
  </si>
  <si>
    <t># of afflicted individuals, normalized</t>
  </si>
  <si>
    <t xml:space="preserve">1 - survival rate, normalized </t>
  </si>
  <si>
    <t xml:space="preserve"># of clinical trials </t>
  </si>
  <si>
    <t>Half life (min)</t>
  </si>
  <si>
    <t>Bioavailability (%)</t>
  </si>
  <si>
    <t>Binding affinity (%)</t>
  </si>
  <si>
    <t>Price per dose ($)</t>
  </si>
  <si>
    <t>Dosage strength (mg)</t>
  </si>
  <si>
    <t xml:space="preserve">Novelty of drug, # of substitutes  </t>
  </si>
  <si>
    <t>Restasis_Allergan</t>
  </si>
  <si>
    <t>480*60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</si>
</sst>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color theme="1"/>
      <name val="Akkurat"/>
    </font>
    <font>
      <sz val="12"/>
      <color theme="1"/>
      <name val="Akkurat"/>
    </font>
    <font>
      <b/>
      <sz val="12"/>
      <color theme="1"/>
      <name val="Akkurat"/>
    </font>
    <font>
      <b/>
      <sz val="14"/>
      <color theme="1"/>
      <name val="Akkura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1">
    <cellStyle name="Comma [0] 2" xfId="6" xr:uid="{8A411421-8CA9-4454-8C86-5E7B5124EF1C}"/>
    <cellStyle name="Comma 2" xfId="5" xr:uid="{E441AB87-DAF0-4D7F-8375-5E055A4BF9DE}"/>
    <cellStyle name="Comma 3" xfId="8" xr:uid="{996E3048-F8F3-420F-B9EA-C00A6DEDADB1}"/>
    <cellStyle name="Comma 4" xfId="10" xr:uid="{7E59382C-054E-454B-B19D-8540D51514D3}"/>
    <cellStyle name="Currency [0] 2" xfId="4" xr:uid="{0B23D8D1-F4CC-4202-A6C2-1E8D5E4BD8B9}"/>
    <cellStyle name="Currency 2" xfId="3" xr:uid="{5D4B85AB-5868-447D-AF3C-129D64FC73A6}"/>
    <cellStyle name="Currency 3" xfId="7" xr:uid="{9703AD75-0E99-41CD-A2EC-A4D38FEA9AEB}"/>
    <cellStyle name="Currency 4" xfId="9" xr:uid="{7DE73759-617A-48FA-AA09-B1987F9644DB}"/>
    <cellStyle name="Normal" xfId="0" builtinId="0"/>
    <cellStyle name="Normal 2" xfId="1" xr:uid="{1B302E21-7DE0-449F-A7A9-37CDE40BF340}"/>
    <cellStyle name="Percent 2" xfId="2" xr:uid="{709CFD15-3282-4BB6-9C8E-389BE5B036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0F9B2-A093-41B1-A403-4197D066AB5F}">
  <dimension ref="A1:AD17"/>
  <sheetViews>
    <sheetView tabSelected="1" workbookViewId="0">
      <selection activeCell="L10" sqref="L10"/>
    </sheetView>
  </sheetViews>
  <sheetFormatPr defaultColWidth="16.28515625" defaultRowHeight="21" x14ac:dyDescent="0.35"/>
  <cols>
    <col min="1" max="16384" width="16.28515625" style="1"/>
  </cols>
  <sheetData>
    <row r="1" spans="1:30" ht="32.25" customHeight="1" x14ac:dyDescent="0.35">
      <c r="B1" s="1" t="s">
        <v>6</v>
      </c>
      <c r="D1" s="1" t="s">
        <v>7</v>
      </c>
      <c r="F1" s="1" t="s">
        <v>8</v>
      </c>
      <c r="H1" s="1" t="s">
        <v>9</v>
      </c>
      <c r="J1" s="1" t="s">
        <v>10</v>
      </c>
      <c r="L1" s="1" t="s">
        <v>11</v>
      </c>
      <c r="N1" s="1" t="s">
        <v>12</v>
      </c>
      <c r="P1" s="1" t="s">
        <v>13</v>
      </c>
      <c r="R1" s="1" t="s">
        <v>14</v>
      </c>
      <c r="T1" s="1" t="s">
        <v>0</v>
      </c>
      <c r="V1" s="1" t="s">
        <v>1</v>
      </c>
      <c r="X1" s="1" t="s">
        <v>2</v>
      </c>
      <c r="Z1" s="1" t="s">
        <v>3</v>
      </c>
      <c r="AB1" s="1" t="s">
        <v>4</v>
      </c>
      <c r="AD1" s="1" t="s">
        <v>5</v>
      </c>
    </row>
    <row r="2" spans="1:30" x14ac:dyDescent="0.35">
      <c r="A2" s="1">
        <v>2009</v>
      </c>
      <c r="B2" s="1">
        <v>3413</v>
      </c>
      <c r="C2" s="1">
        <v>2009</v>
      </c>
      <c r="D2" s="1">
        <v>2584</v>
      </c>
      <c r="E2" s="1">
        <v>2009</v>
      </c>
      <c r="F2" s="1">
        <v>1564</v>
      </c>
      <c r="G2" s="1">
        <v>2009</v>
      </c>
      <c r="H2" s="1">
        <v>964</v>
      </c>
      <c r="I2" s="1">
        <v>2002</v>
      </c>
      <c r="J2" s="1">
        <v>802</v>
      </c>
      <c r="K2" s="1">
        <v>2006</v>
      </c>
      <c r="L2" s="1">
        <v>2028</v>
      </c>
      <c r="M2" s="1">
        <v>2006</v>
      </c>
      <c r="N2" s="1">
        <v>5182</v>
      </c>
      <c r="O2" s="1">
        <v>2014</v>
      </c>
      <c r="P2" s="1">
        <v>1084</v>
      </c>
      <c r="Q2" s="1">
        <v>2004</v>
      </c>
      <c r="R2" s="1">
        <f>58.12*14</f>
        <v>813.68</v>
      </c>
      <c r="S2" s="1">
        <v>2004</v>
      </c>
      <c r="T2" s="1">
        <f>15.92*60</f>
        <v>955.2</v>
      </c>
      <c r="U2" s="1">
        <v>2004</v>
      </c>
      <c r="V2" s="1">
        <f>40.89*11</f>
        <v>449.79</v>
      </c>
      <c r="W2" s="1">
        <v>2004</v>
      </c>
      <c r="X2" s="1">
        <f>9.96*14</f>
        <v>139.44</v>
      </c>
      <c r="Y2" s="1">
        <v>2003</v>
      </c>
      <c r="Z2" s="1">
        <v>1879</v>
      </c>
      <c r="AA2" s="1">
        <v>2003</v>
      </c>
      <c r="AB2" s="1">
        <v>9231</v>
      </c>
      <c r="AC2" s="1">
        <v>2011</v>
      </c>
      <c r="AD2" s="1">
        <v>7932</v>
      </c>
    </row>
    <row r="3" spans="1:30" x14ac:dyDescent="0.35">
      <c r="A3" s="1">
        <v>2010</v>
      </c>
      <c r="B3" s="1">
        <v>3852</v>
      </c>
      <c r="C3" s="1">
        <v>2010</v>
      </c>
      <c r="D3" s="1">
        <v>2608</v>
      </c>
      <c r="E3" s="1">
        <v>2010</v>
      </c>
      <c r="F3" s="1">
        <v>1707</v>
      </c>
      <c r="G3" s="1">
        <v>2010</v>
      </c>
      <c r="H3" s="1">
        <v>1156</v>
      </c>
      <c r="I3" s="1">
        <v>2003</v>
      </c>
      <c r="J3" s="1">
        <v>1300</v>
      </c>
      <c r="K3" s="1">
        <v>2007</v>
      </c>
      <c r="L3" s="1">
        <v>2796</v>
      </c>
      <c r="M3" s="1">
        <v>2007</v>
      </c>
      <c r="N3" s="1">
        <v>5216</v>
      </c>
      <c r="O3" s="1">
        <v>2015</v>
      </c>
      <c r="P3" s="1">
        <v>1217</v>
      </c>
      <c r="Q3" s="1">
        <v>2005</v>
      </c>
      <c r="R3" s="1">
        <f>63.54*14</f>
        <v>889.56</v>
      </c>
      <c r="S3" s="1">
        <v>2005</v>
      </c>
      <c r="T3" s="1">
        <f>17.97*60</f>
        <v>1078.1999999999998</v>
      </c>
      <c r="U3" s="1">
        <v>2005</v>
      </c>
      <c r="V3" s="1">
        <f>43.06*11</f>
        <v>473.66</v>
      </c>
      <c r="W3" s="1">
        <v>2005</v>
      </c>
      <c r="X3" s="1">
        <f>9.56*14</f>
        <v>133.84</v>
      </c>
      <c r="Y3" s="1">
        <v>2004</v>
      </c>
      <c r="Z3" s="1">
        <v>1678</v>
      </c>
      <c r="AA3" s="1">
        <v>2004</v>
      </c>
      <c r="AB3" s="1">
        <v>10862</v>
      </c>
      <c r="AC3" s="1">
        <v>2012</v>
      </c>
      <c r="AD3" s="1">
        <v>9265</v>
      </c>
    </row>
    <row r="4" spans="1:30" x14ac:dyDescent="0.35">
      <c r="A4" s="1">
        <v>2011</v>
      </c>
      <c r="B4" s="1">
        <v>4665</v>
      </c>
      <c r="C4" s="1">
        <v>2011</v>
      </c>
      <c r="D4" s="1">
        <v>2426</v>
      </c>
      <c r="E4" s="1">
        <v>2011</v>
      </c>
      <c r="F4" s="1">
        <v>1716</v>
      </c>
      <c r="G4" s="1">
        <v>2011</v>
      </c>
      <c r="H4" s="1">
        <v>1290</v>
      </c>
      <c r="I4" s="1">
        <v>2004</v>
      </c>
      <c r="J4" s="1">
        <v>1900</v>
      </c>
      <c r="K4" s="1">
        <v>2008</v>
      </c>
      <c r="L4" s="1">
        <v>3597</v>
      </c>
      <c r="M4" s="1">
        <v>2008</v>
      </c>
      <c r="N4" s="1">
        <v>5200</v>
      </c>
      <c r="O4" s="1">
        <v>2016</v>
      </c>
      <c r="P4" s="1">
        <v>1361</v>
      </c>
      <c r="Q4" s="1">
        <v>2006</v>
      </c>
      <c r="R4" s="1">
        <f>68.55*14</f>
        <v>959.69999999999993</v>
      </c>
      <c r="S4" s="1">
        <v>2006</v>
      </c>
      <c r="T4" s="1">
        <f>26.01*60</f>
        <v>1560.6000000000001</v>
      </c>
      <c r="U4" s="1">
        <v>2006</v>
      </c>
      <c r="V4" s="1">
        <f>54.45*11</f>
        <v>598.95000000000005</v>
      </c>
      <c r="W4" s="1">
        <v>2006</v>
      </c>
      <c r="X4" s="1">
        <f>12.35*14</f>
        <v>172.9</v>
      </c>
      <c r="Y4" s="1">
        <v>2005</v>
      </c>
      <c r="Z4" s="1">
        <v>1645</v>
      </c>
      <c r="AA4" s="1">
        <v>2005</v>
      </c>
      <c r="AB4" s="1">
        <v>12187</v>
      </c>
      <c r="AC4" s="1">
        <v>2013</v>
      </c>
      <c r="AD4" s="1">
        <v>10659</v>
      </c>
    </row>
    <row r="5" spans="1:30" x14ac:dyDescent="0.35">
      <c r="A5" s="1">
        <v>2012</v>
      </c>
      <c r="B5" s="1">
        <v>5420</v>
      </c>
      <c r="C5" s="1">
        <v>2012</v>
      </c>
      <c r="D5" s="1">
        <v>2489</v>
      </c>
      <c r="E5" s="1">
        <v>2012</v>
      </c>
      <c r="F5" s="1">
        <v>1682</v>
      </c>
      <c r="G5" s="1">
        <v>2012</v>
      </c>
      <c r="H5" s="1">
        <v>1110</v>
      </c>
      <c r="I5" s="1">
        <v>2005</v>
      </c>
      <c r="J5" s="1">
        <v>2573</v>
      </c>
      <c r="K5" s="1">
        <v>2009</v>
      </c>
      <c r="L5" s="1">
        <v>4502</v>
      </c>
      <c r="M5" s="1">
        <v>2009</v>
      </c>
      <c r="N5" s="1">
        <v>4959</v>
      </c>
      <c r="O5" s="1">
        <v>2017</v>
      </c>
      <c r="P5" s="1">
        <v>1524</v>
      </c>
      <c r="Q5" s="1">
        <v>2007</v>
      </c>
      <c r="R5" s="1">
        <f>77.27*14</f>
        <v>1081.78</v>
      </c>
      <c r="S5" s="1">
        <v>2007</v>
      </c>
      <c r="T5" s="1">
        <f>31.88*60</f>
        <v>1912.8</v>
      </c>
      <c r="U5" s="1">
        <v>2007</v>
      </c>
      <c r="V5" s="1">
        <f>59.08*11</f>
        <v>649.88</v>
      </c>
      <c r="W5" s="1">
        <v>2007</v>
      </c>
      <c r="X5" s="1">
        <f>10.56*14</f>
        <v>147.84</v>
      </c>
      <c r="Y5" s="1">
        <v>2006</v>
      </c>
      <c r="Z5" s="1">
        <v>1657</v>
      </c>
      <c r="AA5" s="1">
        <v>2006</v>
      </c>
      <c r="AB5" s="1">
        <v>12886</v>
      </c>
      <c r="AC5" s="1">
        <v>2014</v>
      </c>
      <c r="AD5" s="1">
        <v>12543</v>
      </c>
    </row>
    <row r="6" spans="1:30" x14ac:dyDescent="0.35">
      <c r="A6" s="1">
        <v>2013</v>
      </c>
      <c r="B6" s="1">
        <v>6484</v>
      </c>
      <c r="C6" s="1">
        <v>2013</v>
      </c>
      <c r="D6" s="1">
        <v>2498</v>
      </c>
      <c r="E6" s="1">
        <v>2013</v>
      </c>
      <c r="F6" s="1">
        <v>1658</v>
      </c>
      <c r="G6" s="1">
        <v>2013</v>
      </c>
      <c r="H6" s="1">
        <v>1115</v>
      </c>
      <c r="I6" s="1">
        <v>2006</v>
      </c>
      <c r="J6" s="1">
        <v>2879</v>
      </c>
      <c r="K6" s="1">
        <v>2010</v>
      </c>
      <c r="L6" s="1">
        <v>5691</v>
      </c>
      <c r="M6" s="1">
        <v>2010</v>
      </c>
      <c r="N6" s="1">
        <v>4969</v>
      </c>
      <c r="O6" s="1">
        <v>2018</v>
      </c>
      <c r="P6" s="1">
        <v>1679</v>
      </c>
      <c r="Q6" s="1">
        <v>2008</v>
      </c>
      <c r="R6" s="1">
        <f>88.85*14</f>
        <v>1243.8999999999999</v>
      </c>
      <c r="S6" s="1">
        <v>2008</v>
      </c>
      <c r="T6" s="1">
        <f>41.07*60</f>
        <v>2464.1999999999998</v>
      </c>
      <c r="U6" s="1">
        <v>2008</v>
      </c>
      <c r="V6" s="1">
        <f>69.8*11</f>
        <v>767.8</v>
      </c>
      <c r="W6" s="1">
        <v>2008</v>
      </c>
      <c r="X6" s="1">
        <f>10.01*14</f>
        <v>140.13999999999999</v>
      </c>
      <c r="Y6" s="1">
        <v>2007</v>
      </c>
      <c r="Z6" s="1">
        <v>1764</v>
      </c>
      <c r="AA6" s="1">
        <v>2007</v>
      </c>
      <c r="AB6" s="1">
        <v>12675</v>
      </c>
      <c r="AC6" s="1">
        <v>2015</v>
      </c>
      <c r="AD6" s="1">
        <v>14012</v>
      </c>
    </row>
    <row r="7" spans="1:30" x14ac:dyDescent="0.35">
      <c r="A7" s="1">
        <v>2014</v>
      </c>
      <c r="B7" s="1">
        <v>7290</v>
      </c>
      <c r="C7" s="1">
        <v>2014</v>
      </c>
      <c r="D7" s="1">
        <v>2369</v>
      </c>
      <c r="E7" s="1">
        <v>2014</v>
      </c>
      <c r="F7" s="1">
        <v>1661</v>
      </c>
      <c r="G7" s="1">
        <v>2014</v>
      </c>
      <c r="H7" s="1">
        <v>1230</v>
      </c>
      <c r="I7" s="1">
        <v>2007</v>
      </c>
      <c r="J7" s="1">
        <v>3230</v>
      </c>
      <c r="K7" s="1">
        <v>2011</v>
      </c>
      <c r="L7" s="1">
        <v>6622</v>
      </c>
      <c r="M7" s="1">
        <v>2011</v>
      </c>
      <c r="N7" s="1">
        <v>4429</v>
      </c>
      <c r="O7" s="1">
        <v>2019</v>
      </c>
      <c r="P7" s="1">
        <v>1830</v>
      </c>
      <c r="Q7" s="1">
        <v>2009</v>
      </c>
      <c r="R7" s="1">
        <f>91.97*14</f>
        <v>1287.58</v>
      </c>
      <c r="S7" s="1">
        <v>2009</v>
      </c>
      <c r="T7" s="1">
        <f>49.28*60</f>
        <v>2956.8</v>
      </c>
      <c r="U7" s="1">
        <v>2009</v>
      </c>
      <c r="V7" s="1">
        <f>63.78*11</f>
        <v>701.58</v>
      </c>
      <c r="W7" s="1">
        <v>2009</v>
      </c>
      <c r="X7" s="1">
        <f>10.04*14</f>
        <v>140.56</v>
      </c>
      <c r="Y7" s="1">
        <v>2008</v>
      </c>
      <c r="Z7" s="1">
        <v>1934</v>
      </c>
      <c r="AA7" s="1">
        <v>2008</v>
      </c>
      <c r="AB7" s="1">
        <v>12401</v>
      </c>
      <c r="AC7" s="1">
        <v>2016</v>
      </c>
      <c r="AD7" s="1">
        <v>16078</v>
      </c>
    </row>
    <row r="8" spans="1:30" x14ac:dyDescent="0.35">
      <c r="A8" s="1">
        <v>2015</v>
      </c>
      <c r="B8" s="1">
        <v>7849</v>
      </c>
      <c r="C8" s="1">
        <v>2015</v>
      </c>
      <c r="D8" s="1">
        <v>1977</v>
      </c>
      <c r="E8" s="1">
        <v>2015</v>
      </c>
      <c r="F8" s="1">
        <v>1676</v>
      </c>
      <c r="G8" s="1">
        <v>2015</v>
      </c>
      <c r="H8" s="1">
        <v>1339</v>
      </c>
      <c r="I8" s="1">
        <v>2008</v>
      </c>
      <c r="J8" s="1">
        <v>3598</v>
      </c>
      <c r="K8" s="1">
        <v>2012</v>
      </c>
      <c r="L8" s="1">
        <v>6253</v>
      </c>
      <c r="M8" s="1">
        <v>2012</v>
      </c>
      <c r="N8" s="1">
        <v>3944</v>
      </c>
      <c r="O8" s="1">
        <v>2020</v>
      </c>
      <c r="P8" s="1">
        <v>1975</v>
      </c>
      <c r="Q8" s="1">
        <v>2010</v>
      </c>
      <c r="R8" s="1">
        <f>101.66*14</f>
        <v>1423.24</v>
      </c>
      <c r="S8" s="1">
        <v>2010</v>
      </c>
      <c r="T8" s="1">
        <f>53.41*60</f>
        <v>3204.6</v>
      </c>
      <c r="U8" s="1">
        <v>2010</v>
      </c>
      <c r="V8" s="1">
        <f>68.69*11</f>
        <v>755.58999999999992</v>
      </c>
      <c r="W8" s="1">
        <v>2010</v>
      </c>
      <c r="X8" s="1">
        <f>11.06*14</f>
        <v>154.84</v>
      </c>
      <c r="Y8" s="1">
        <v>2009</v>
      </c>
      <c r="Z8" s="1">
        <v>1892</v>
      </c>
      <c r="AA8" s="1">
        <v>2009</v>
      </c>
      <c r="AB8" s="1">
        <v>11434</v>
      </c>
      <c r="AC8" s="1">
        <v>2017</v>
      </c>
      <c r="AD8" s="1">
        <v>18427</v>
      </c>
    </row>
    <row r="9" spans="1:30" x14ac:dyDescent="0.35">
      <c r="A9" s="1">
        <v>2016</v>
      </c>
      <c r="B9" s="1">
        <v>8249</v>
      </c>
      <c r="C9" s="1">
        <v>2016</v>
      </c>
      <c r="D9" s="1">
        <v>1488</v>
      </c>
      <c r="E9" s="1">
        <v>2016</v>
      </c>
      <c r="F9" s="1">
        <v>1725</v>
      </c>
      <c r="G9" s="1">
        <v>2016</v>
      </c>
      <c r="H9" s="1">
        <v>1456</v>
      </c>
      <c r="I9" s="1">
        <v>2009</v>
      </c>
      <c r="J9" s="1">
        <v>3498</v>
      </c>
      <c r="K9" s="1">
        <v>2013</v>
      </c>
      <c r="L9" s="1">
        <v>5622</v>
      </c>
      <c r="M9" s="1">
        <v>2013</v>
      </c>
      <c r="N9" s="1">
        <v>3872</v>
      </c>
      <c r="O9" s="1">
        <v>2021</v>
      </c>
      <c r="P9" s="1">
        <v>2115</v>
      </c>
      <c r="Q9" s="1">
        <v>2011</v>
      </c>
      <c r="R9" s="1">
        <f>106*14</f>
        <v>1484</v>
      </c>
      <c r="S9" s="1">
        <v>2011</v>
      </c>
      <c r="T9" s="1">
        <f>56.42*60</f>
        <v>3385.2000000000003</v>
      </c>
      <c r="U9" s="1">
        <v>2011</v>
      </c>
      <c r="V9" s="1">
        <f>79.83*11</f>
        <v>878.13</v>
      </c>
      <c r="W9" s="1">
        <v>2011</v>
      </c>
      <c r="X9" s="1">
        <f>18.34*14</f>
        <v>256.76</v>
      </c>
      <c r="Y9" s="1">
        <v>2010</v>
      </c>
      <c r="Z9" s="1">
        <v>1928</v>
      </c>
      <c r="AA9" s="1">
        <v>2010</v>
      </c>
      <c r="AB9" s="1">
        <v>10733</v>
      </c>
      <c r="AC9" s="1">
        <v>2018</v>
      </c>
      <c r="AD9" s="1">
        <v>19936</v>
      </c>
    </row>
    <row r="10" spans="1:30" x14ac:dyDescent="0.35">
      <c r="A10" s="1">
        <v>2017</v>
      </c>
      <c r="B10" s="1">
        <v>8619</v>
      </c>
      <c r="C10" s="1">
        <v>2017</v>
      </c>
      <c r="D10" s="1">
        <v>1132</v>
      </c>
      <c r="E10" s="1">
        <v>2017</v>
      </c>
      <c r="F10" s="1">
        <v>1784</v>
      </c>
      <c r="G10" s="1">
        <v>2017</v>
      </c>
      <c r="H10" s="1">
        <v>1558</v>
      </c>
      <c r="I10" s="1">
        <v>2010</v>
      </c>
      <c r="J10" s="1">
        <v>3534</v>
      </c>
      <c r="K10" s="1">
        <v>2014</v>
      </c>
      <c r="L10" s="1">
        <v>5123</v>
      </c>
      <c r="M10" s="1">
        <v>2014</v>
      </c>
      <c r="N10" s="1">
        <v>3655</v>
      </c>
      <c r="O10" s="1">
        <v>2022</v>
      </c>
      <c r="P10" s="1">
        <v>2242</v>
      </c>
      <c r="Q10" s="1">
        <v>2012</v>
      </c>
      <c r="R10" s="1">
        <f>102.53*14</f>
        <v>1435.42</v>
      </c>
      <c r="S10" s="1">
        <v>2012</v>
      </c>
      <c r="T10" s="1">
        <f>58.85*60</f>
        <v>3531</v>
      </c>
      <c r="U10" s="1">
        <v>2012</v>
      </c>
      <c r="V10" s="1">
        <f>76.94*11</f>
        <v>846.33999999999992</v>
      </c>
      <c r="W10" s="1">
        <v>2012</v>
      </c>
      <c r="X10" s="1">
        <f>25.42*14</f>
        <v>355.88</v>
      </c>
      <c r="Y10" s="1">
        <v>2011</v>
      </c>
      <c r="Z10" s="1">
        <v>1981</v>
      </c>
      <c r="AA10" s="1">
        <v>2011</v>
      </c>
      <c r="AB10" s="1">
        <v>9577</v>
      </c>
    </row>
    <row r="11" spans="1:30" x14ac:dyDescent="0.35">
      <c r="A11" s="1">
        <v>2018</v>
      </c>
      <c r="B11" s="1">
        <v>9008</v>
      </c>
      <c r="C11" s="1">
        <v>2018</v>
      </c>
      <c r="D11" s="1">
        <v>967</v>
      </c>
      <c r="E11" s="1">
        <v>2018</v>
      </c>
      <c r="F11" s="1">
        <v>1859</v>
      </c>
      <c r="G11" s="1">
        <v>2018</v>
      </c>
      <c r="H11" s="1">
        <v>1638</v>
      </c>
      <c r="I11" s="1">
        <v>2011</v>
      </c>
      <c r="J11" s="1">
        <v>3701</v>
      </c>
      <c r="K11" s="1">
        <v>2015</v>
      </c>
      <c r="L11" s="1">
        <v>5017</v>
      </c>
      <c r="M11" s="1">
        <v>2015</v>
      </c>
      <c r="N11" s="1">
        <v>2496</v>
      </c>
      <c r="O11" s="1">
        <v>2023</v>
      </c>
      <c r="P11" s="1">
        <v>2332</v>
      </c>
      <c r="Q11" s="1">
        <v>2013</v>
      </c>
      <c r="R11" s="1">
        <f>104.87*14</f>
        <v>1468.18</v>
      </c>
      <c r="S11" s="1">
        <v>2013</v>
      </c>
      <c r="T11" s="1">
        <f>67.64*60</f>
        <v>4058.4</v>
      </c>
      <c r="U11" s="1">
        <v>2013</v>
      </c>
      <c r="V11" s="1">
        <f>77.25*11</f>
        <v>849.75</v>
      </c>
      <c r="W11" s="1">
        <v>2013</v>
      </c>
      <c r="X11" s="1">
        <f>29.14*14</f>
        <v>407.96000000000004</v>
      </c>
      <c r="Y11" s="1">
        <v>2012</v>
      </c>
      <c r="Z11" s="1">
        <v>2051</v>
      </c>
      <c r="AA11" s="1">
        <v>2012</v>
      </c>
      <c r="AB11" s="1">
        <v>3948</v>
      </c>
    </row>
    <row r="12" spans="1:30" x14ac:dyDescent="0.35">
      <c r="A12" s="1">
        <v>2019</v>
      </c>
      <c r="B12" s="1">
        <v>8257</v>
      </c>
      <c r="C12" s="1">
        <v>2019</v>
      </c>
      <c r="D12" s="1">
        <v>881</v>
      </c>
      <c r="E12" s="1">
        <v>2019</v>
      </c>
      <c r="F12" s="1">
        <v>1770</v>
      </c>
      <c r="G12" s="1">
        <v>2019</v>
      </c>
      <c r="H12" s="1">
        <v>1325</v>
      </c>
      <c r="I12" s="1">
        <v>2012</v>
      </c>
      <c r="J12" s="1">
        <v>4236</v>
      </c>
      <c r="K12" s="1">
        <v>2016</v>
      </c>
      <c r="L12" s="1">
        <v>3401</v>
      </c>
      <c r="M12" s="1">
        <v>2016</v>
      </c>
      <c r="N12" s="1">
        <v>2032</v>
      </c>
      <c r="O12" s="1">
        <v>2024</v>
      </c>
      <c r="P12" s="1">
        <v>1914</v>
      </c>
      <c r="Q12" s="1">
        <v>2014</v>
      </c>
      <c r="R12" s="1">
        <f>115.51*14</f>
        <v>1617.14</v>
      </c>
      <c r="S12" s="1">
        <v>2014</v>
      </c>
      <c r="T12" s="1">
        <f>71.93*60</f>
        <v>4315.8</v>
      </c>
      <c r="U12" s="1">
        <v>2014</v>
      </c>
      <c r="V12" s="1">
        <f>86.3*11</f>
        <v>949.3</v>
      </c>
      <c r="W12" s="1">
        <v>2014</v>
      </c>
      <c r="X12" s="1">
        <f>37.33*14</f>
        <v>522.62</v>
      </c>
      <c r="Y12" s="1">
        <v>2013</v>
      </c>
      <c r="Z12" s="1">
        <v>1881</v>
      </c>
      <c r="AA12" s="1">
        <v>2013</v>
      </c>
      <c r="AB12" s="1">
        <v>2315</v>
      </c>
    </row>
    <row r="13" spans="1:30" x14ac:dyDescent="0.35">
      <c r="A13" s="1">
        <v>2020</v>
      </c>
      <c r="B13" s="1">
        <v>6482</v>
      </c>
      <c r="C13" s="1">
        <v>2020</v>
      </c>
      <c r="D13" s="1">
        <v>811</v>
      </c>
      <c r="E13" s="1">
        <v>2020</v>
      </c>
      <c r="F13" s="1">
        <v>1488</v>
      </c>
      <c r="G13" s="1">
        <v>2020</v>
      </c>
      <c r="H13" s="1">
        <v>917</v>
      </c>
      <c r="I13" s="1">
        <v>2013</v>
      </c>
      <c r="J13" s="1">
        <v>4551</v>
      </c>
      <c r="K13" s="1">
        <v>2017</v>
      </c>
      <c r="L13" s="1">
        <v>2365</v>
      </c>
      <c r="M13" s="1">
        <v>2017</v>
      </c>
      <c r="N13" s="1">
        <v>1952</v>
      </c>
      <c r="O13" s="1">
        <v>2025</v>
      </c>
      <c r="P13" s="1">
        <v>1650</v>
      </c>
      <c r="Q13" s="1">
        <v>2015</v>
      </c>
      <c r="R13" s="1">
        <f>112.92*14</f>
        <v>1580.88</v>
      </c>
      <c r="S13" s="1">
        <v>2015</v>
      </c>
      <c r="T13" s="1">
        <f>71.73*60</f>
        <v>4303.8</v>
      </c>
      <c r="U13" s="1">
        <v>2015</v>
      </c>
      <c r="V13" s="1">
        <f>83.9*11</f>
        <v>922.90000000000009</v>
      </c>
      <c r="W13" s="1">
        <v>2015</v>
      </c>
      <c r="X13" s="1">
        <f>46.98*14</f>
        <v>657.71999999999991</v>
      </c>
      <c r="Y13" s="1">
        <v>2014</v>
      </c>
      <c r="Z13" s="1">
        <v>1685</v>
      </c>
      <c r="AA13" s="1">
        <v>2014</v>
      </c>
      <c r="AB13" s="1">
        <v>2061</v>
      </c>
    </row>
    <row r="14" spans="1:30" x14ac:dyDescent="0.35">
      <c r="A14" s="1">
        <v>2021</v>
      </c>
      <c r="B14" s="1">
        <v>5040</v>
      </c>
      <c r="C14" s="1">
        <v>2021</v>
      </c>
      <c r="D14" s="1">
        <v>759</v>
      </c>
      <c r="E14" s="1">
        <v>2021</v>
      </c>
      <c r="F14" s="1">
        <v>1238</v>
      </c>
      <c r="G14" s="1">
        <v>2021</v>
      </c>
      <c r="H14" s="1">
        <v>735</v>
      </c>
      <c r="I14" s="1">
        <v>2014</v>
      </c>
      <c r="J14" s="1">
        <v>4688</v>
      </c>
      <c r="K14" s="1">
        <v>2018</v>
      </c>
      <c r="L14" s="1">
        <v>1433</v>
      </c>
      <c r="M14" s="1">
        <v>2018</v>
      </c>
      <c r="N14" s="1">
        <v>1702</v>
      </c>
      <c r="Q14" s="1">
        <v>2016</v>
      </c>
      <c r="R14" s="1">
        <f>110.61*14</f>
        <v>1548.54</v>
      </c>
      <c r="S14" s="1">
        <v>2016</v>
      </c>
      <c r="T14" s="1">
        <f>70.63*60</f>
        <v>4237.7999999999993</v>
      </c>
      <c r="U14" s="1">
        <v>2016</v>
      </c>
      <c r="V14" s="1">
        <f>81.39*11</f>
        <v>895.29</v>
      </c>
      <c r="W14" s="1">
        <v>2016</v>
      </c>
      <c r="X14" s="1">
        <f>49.28*14</f>
        <v>689.92000000000007</v>
      </c>
      <c r="Y14" s="1">
        <v>2015</v>
      </c>
      <c r="Z14" s="1">
        <v>1708</v>
      </c>
      <c r="AA14" s="1">
        <v>2015</v>
      </c>
      <c r="AB14" s="1">
        <v>1860</v>
      </c>
    </row>
    <row r="15" spans="1:30" x14ac:dyDescent="0.35">
      <c r="A15" s="1">
        <v>2022</v>
      </c>
      <c r="B15" s="1">
        <v>4574</v>
      </c>
      <c r="C15" s="1">
        <v>2022</v>
      </c>
      <c r="D15" s="1">
        <v>726</v>
      </c>
      <c r="E15" s="1">
        <v>2022</v>
      </c>
      <c r="F15" s="1">
        <v>1198</v>
      </c>
      <c r="G15" s="1">
        <v>2022</v>
      </c>
      <c r="H15" s="1">
        <v>683</v>
      </c>
      <c r="I15" s="1">
        <v>2015</v>
      </c>
      <c r="J15" s="1">
        <v>5364</v>
      </c>
      <c r="Y15" s="1">
        <v>2016</v>
      </c>
      <c r="Z15" s="1">
        <v>1564</v>
      </c>
      <c r="AA15" s="1">
        <v>2016</v>
      </c>
      <c r="AB15" s="1">
        <v>1758</v>
      </c>
    </row>
    <row r="16" spans="1:30" x14ac:dyDescent="0.35">
      <c r="A16" s="1">
        <v>2023</v>
      </c>
      <c r="B16" s="1">
        <v>4371</v>
      </c>
      <c r="C16" s="1">
        <v>2023</v>
      </c>
      <c r="D16" s="1">
        <v>699</v>
      </c>
      <c r="E16" s="1">
        <v>2023</v>
      </c>
      <c r="F16" s="1">
        <v>1147</v>
      </c>
      <c r="G16" s="1">
        <v>2023</v>
      </c>
      <c r="H16" s="1">
        <v>663</v>
      </c>
      <c r="I16" s="1">
        <v>2016</v>
      </c>
      <c r="J16" s="1">
        <v>5965</v>
      </c>
      <c r="Y16" s="1">
        <v>2017</v>
      </c>
      <c r="Z16" s="1">
        <v>1205</v>
      </c>
      <c r="AA16" s="1">
        <v>2017</v>
      </c>
      <c r="AB16" s="1">
        <v>1915</v>
      </c>
    </row>
    <row r="17" spans="1:28" x14ac:dyDescent="0.35">
      <c r="A17" s="1">
        <v>2024</v>
      </c>
      <c r="B17" s="1">
        <v>4205</v>
      </c>
      <c r="C17" s="1">
        <v>2024</v>
      </c>
      <c r="D17" s="1">
        <v>677</v>
      </c>
      <c r="E17" s="1">
        <v>2024</v>
      </c>
      <c r="F17" s="1">
        <v>1105</v>
      </c>
      <c r="G17" s="1">
        <v>2024</v>
      </c>
      <c r="H17" s="1">
        <v>645</v>
      </c>
      <c r="I17" s="1">
        <v>2017</v>
      </c>
      <c r="J17" s="1">
        <v>5433</v>
      </c>
      <c r="Y17" s="1">
        <v>2018</v>
      </c>
      <c r="Z17" s="1">
        <v>636</v>
      </c>
      <c r="AA17" s="1">
        <v>2018</v>
      </c>
      <c r="AB17" s="1">
        <v>2062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03E17-7A2E-4641-9671-EFDFA1B00E72}">
  <dimension ref="A1:T10"/>
  <sheetViews>
    <sheetView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O1" sqref="O1:Q1"/>
    </sheetView>
  </sheetViews>
  <sheetFormatPr defaultColWidth="25.85546875" defaultRowHeight="42" customHeight="1" x14ac:dyDescent="0.25"/>
  <cols>
    <col min="1" max="1" width="66.7109375" style="3" customWidth="1"/>
    <col min="2" max="2" width="31.28515625" style="3" customWidth="1"/>
    <col min="3" max="3" width="25.85546875" style="2"/>
    <col min="4" max="4" width="35.5703125" style="2" customWidth="1"/>
    <col min="5" max="5" width="30.42578125" style="2" customWidth="1"/>
    <col min="6" max="6" width="31.85546875" style="2" customWidth="1"/>
    <col min="7" max="7" width="25.85546875" style="2"/>
    <col min="8" max="8" width="37.5703125" style="2" customWidth="1"/>
    <col min="9" max="9" width="35.5703125" style="2" customWidth="1"/>
    <col min="10" max="16384" width="25.85546875" style="2"/>
  </cols>
  <sheetData>
    <row r="1" spans="1:20" s="4" customFormat="1" ht="42" customHeight="1" x14ac:dyDescent="0.25">
      <c r="A1" s="4" t="s">
        <v>15</v>
      </c>
      <c r="B1" s="4" t="s">
        <v>21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31</v>
      </c>
      <c r="K1" s="4" t="s">
        <v>14</v>
      </c>
      <c r="L1" s="4" t="s">
        <v>0</v>
      </c>
      <c r="M1" s="4" t="s">
        <v>1</v>
      </c>
      <c r="N1" s="4" t="s">
        <v>2</v>
      </c>
      <c r="O1" s="4" t="s">
        <v>3</v>
      </c>
      <c r="P1" s="4" t="s">
        <v>4</v>
      </c>
      <c r="Q1" s="4" t="s">
        <v>5</v>
      </c>
      <c r="R1" s="4" t="s">
        <v>18</v>
      </c>
      <c r="S1" s="4" t="s">
        <v>19</v>
      </c>
      <c r="T1" s="4" t="s">
        <v>20</v>
      </c>
    </row>
    <row r="2" spans="1:20" ht="42" customHeight="1" x14ac:dyDescent="0.25">
      <c r="A2" s="3" t="s">
        <v>30</v>
      </c>
      <c r="C2" s="2">
        <v>1</v>
      </c>
      <c r="D2" s="2">
        <v>7</v>
      </c>
      <c r="E2" s="2">
        <v>1</v>
      </c>
      <c r="F2" s="2">
        <v>1</v>
      </c>
      <c r="G2" s="2">
        <v>4</v>
      </c>
      <c r="H2" s="2">
        <v>5</v>
      </c>
      <c r="I2" s="2">
        <v>3</v>
      </c>
      <c r="J2" s="2">
        <v>1</v>
      </c>
      <c r="K2" s="2">
        <v>5</v>
      </c>
      <c r="L2" s="2">
        <v>1</v>
      </c>
      <c r="M2" s="2">
        <v>7</v>
      </c>
      <c r="N2" s="2">
        <v>7</v>
      </c>
      <c r="O2" s="2">
        <v>4</v>
      </c>
      <c r="P2" s="2">
        <v>5</v>
      </c>
      <c r="Q2" s="2">
        <v>1</v>
      </c>
      <c r="R2" s="2">
        <v>5</v>
      </c>
      <c r="S2" s="2">
        <v>4</v>
      </c>
      <c r="T2" s="2">
        <v>2</v>
      </c>
    </row>
    <row r="3" spans="1:20" ht="42" customHeight="1" x14ac:dyDescent="0.25">
      <c r="A3" s="3" t="s">
        <v>17</v>
      </c>
      <c r="B3" s="2" t="s">
        <v>22</v>
      </c>
      <c r="C3" s="2">
        <v>350000000</v>
      </c>
      <c r="D3" s="2">
        <v>1500000</v>
      </c>
      <c r="E3" s="2">
        <v>470000000</v>
      </c>
      <c r="F3" s="2">
        <v>110000000</v>
      </c>
      <c r="G3" s="2">
        <v>225000000</v>
      </c>
      <c r="H3" s="2">
        <v>1500000000</v>
      </c>
      <c r="I3" s="2">
        <v>4500000</v>
      </c>
      <c r="J3" s="2">
        <v>520000000</v>
      </c>
      <c r="K3" s="2">
        <v>23000000</v>
      </c>
      <c r="L3" s="2">
        <v>1500000000</v>
      </c>
      <c r="M3" s="2">
        <v>700000000</v>
      </c>
      <c r="N3" s="2">
        <v>1054000000</v>
      </c>
      <c r="O3" s="2">
        <v>3750000000</v>
      </c>
      <c r="P3" s="2">
        <v>14000000</v>
      </c>
      <c r="Q3" s="2">
        <v>75000000</v>
      </c>
      <c r="R3" s="2">
        <v>5000000</v>
      </c>
      <c r="S3" s="2">
        <v>75000000</v>
      </c>
      <c r="T3" s="2">
        <v>300000000</v>
      </c>
    </row>
    <row r="4" spans="1:20" ht="42" customHeight="1" x14ac:dyDescent="0.25">
      <c r="A4" s="3" t="s">
        <v>16</v>
      </c>
      <c r="B4" s="3" t="s">
        <v>23</v>
      </c>
      <c r="C4" s="2">
        <v>0.35</v>
      </c>
      <c r="D4" s="2">
        <v>0.4</v>
      </c>
      <c r="E4" s="2">
        <v>0.1</v>
      </c>
      <c r="F4" s="2">
        <v>0</v>
      </c>
      <c r="G4" s="2">
        <v>0</v>
      </c>
      <c r="H4" s="2">
        <v>0.25</v>
      </c>
      <c r="I4" s="2">
        <v>1</v>
      </c>
      <c r="J4" s="2">
        <v>1</v>
      </c>
      <c r="K4" s="2">
        <v>0.47</v>
      </c>
      <c r="L4" s="2">
        <v>1</v>
      </c>
      <c r="M4" s="2">
        <f>1-0.025</f>
        <v>0.97499999999999998</v>
      </c>
      <c r="N4" s="2">
        <v>0.12</v>
      </c>
      <c r="O4" s="2">
        <v>0</v>
      </c>
      <c r="P4" s="2">
        <v>0.25</v>
      </c>
      <c r="Q4" s="2">
        <v>0</v>
      </c>
      <c r="R4" s="2">
        <v>0.69</v>
      </c>
      <c r="S4" s="2">
        <v>0.05</v>
      </c>
      <c r="T4" s="2">
        <v>0.05</v>
      </c>
    </row>
    <row r="5" spans="1:20" ht="42" customHeight="1" x14ac:dyDescent="0.25">
      <c r="A5" s="3" t="s">
        <v>24</v>
      </c>
      <c r="C5" s="2">
        <v>1942</v>
      </c>
      <c r="D5" s="2">
        <v>1592</v>
      </c>
      <c r="E5" s="2">
        <v>745</v>
      </c>
      <c r="F5" s="2">
        <v>459</v>
      </c>
      <c r="G5" s="2">
        <v>318</v>
      </c>
      <c r="H5" s="2">
        <f>428</f>
        <v>428</v>
      </c>
      <c r="I5" s="2">
        <v>233</v>
      </c>
      <c r="J5" s="2">
        <v>503</v>
      </c>
      <c r="K5" s="2">
        <v>60</v>
      </c>
      <c r="L5" s="2">
        <v>193</v>
      </c>
      <c r="M5" s="2">
        <v>1711</v>
      </c>
      <c r="N5" s="2">
        <v>229</v>
      </c>
      <c r="O5" s="2">
        <v>318</v>
      </c>
      <c r="P5" s="2">
        <v>580</v>
      </c>
      <c r="Q5" s="2">
        <v>444</v>
      </c>
      <c r="R5" s="2">
        <v>169</v>
      </c>
      <c r="S5" s="2">
        <v>58</v>
      </c>
      <c r="T5" s="2">
        <v>96</v>
      </c>
    </row>
    <row r="6" spans="1:20" ht="42" customHeight="1" x14ac:dyDescent="0.25">
      <c r="A6" s="3" t="s">
        <v>29</v>
      </c>
      <c r="C6" s="2">
        <v>25</v>
      </c>
      <c r="D6" s="2">
        <v>10</v>
      </c>
      <c r="E6" s="2">
        <v>150</v>
      </c>
      <c r="F6" s="2">
        <v>0.5</v>
      </c>
      <c r="G6" s="2">
        <v>25</v>
      </c>
      <c r="H6" s="2">
        <v>5</v>
      </c>
      <c r="I6" s="2">
        <v>20</v>
      </c>
      <c r="J6" s="2">
        <v>0.5</v>
      </c>
      <c r="K6" s="2">
        <v>2.5</v>
      </c>
      <c r="L6" s="2">
        <v>10</v>
      </c>
      <c r="M6" s="2">
        <v>500</v>
      </c>
      <c r="N6" s="2">
        <v>30</v>
      </c>
      <c r="O6" s="2">
        <v>25</v>
      </c>
      <c r="P6" s="2">
        <v>10</v>
      </c>
      <c r="Q6" s="2">
        <v>40</v>
      </c>
      <c r="R6" s="2">
        <v>5</v>
      </c>
      <c r="S6" s="2">
        <v>2</v>
      </c>
      <c r="T6" s="2">
        <v>5</v>
      </c>
    </row>
    <row r="7" spans="1:20" ht="42" customHeight="1" x14ac:dyDescent="0.25">
      <c r="A7" s="3" t="s">
        <v>25</v>
      </c>
      <c r="C7" s="2">
        <f>480*60</f>
        <v>28800</v>
      </c>
      <c r="D7" s="2">
        <f>20*24*60</f>
        <v>28800</v>
      </c>
      <c r="E7" s="2">
        <f>5*24*60</f>
        <v>7200</v>
      </c>
      <c r="F7" s="2">
        <f>24*2.84*60</f>
        <v>4089.6</v>
      </c>
      <c r="G7" s="2">
        <f>24*132</f>
        <v>3168</v>
      </c>
      <c r="H7" s="2">
        <f>19*24</f>
        <v>456</v>
      </c>
      <c r="I7" s="2">
        <v>90</v>
      </c>
      <c r="J7" s="2">
        <f>24*60</f>
        <v>1440</v>
      </c>
      <c r="K7" s="2">
        <v>720</v>
      </c>
      <c r="L7" s="2">
        <v>60</v>
      </c>
      <c r="M7" s="2">
        <v>960</v>
      </c>
      <c r="N7" s="2">
        <v>120</v>
      </c>
      <c r="O7" s="2">
        <f>4*60</f>
        <v>240</v>
      </c>
      <c r="P7" s="2">
        <f>24*14*60</f>
        <v>20160</v>
      </c>
      <c r="Q7" s="2" t="s">
        <v>32</v>
      </c>
      <c r="R7" s="2">
        <f>3*60</f>
        <v>180</v>
      </c>
      <c r="S7" s="2">
        <f>12.5*60</f>
        <v>750</v>
      </c>
      <c r="T7" s="2">
        <f>3*60</f>
        <v>180</v>
      </c>
    </row>
    <row r="8" spans="1:20" ht="42" customHeight="1" x14ac:dyDescent="0.25">
      <c r="A8" s="3" t="s">
        <v>26</v>
      </c>
      <c r="C8" s="2">
        <v>1</v>
      </c>
      <c r="D8" s="2">
        <v>1</v>
      </c>
      <c r="E8" s="2">
        <v>0.77</v>
      </c>
      <c r="F8" s="2">
        <v>0.55000000000000004</v>
      </c>
      <c r="G8" s="2">
        <v>0.67</v>
      </c>
      <c r="H8" s="2">
        <v>0.2</v>
      </c>
      <c r="I8" s="2">
        <v>0.7</v>
      </c>
      <c r="J8" s="2">
        <v>0.01</v>
      </c>
      <c r="K8" s="2">
        <v>0.25</v>
      </c>
      <c r="L8" s="2">
        <v>0.55000000000000004</v>
      </c>
      <c r="M8" s="2">
        <v>0.55000000000000004</v>
      </c>
      <c r="N8" s="2">
        <v>0.3</v>
      </c>
      <c r="O8" s="2">
        <v>0.41</v>
      </c>
      <c r="P8" s="2">
        <v>0.12</v>
      </c>
      <c r="Q8" s="2">
        <v>0.6</v>
      </c>
      <c r="R8" s="2">
        <v>0.95</v>
      </c>
      <c r="S8" s="2">
        <v>0.79</v>
      </c>
      <c r="T8" s="2">
        <v>0.74</v>
      </c>
    </row>
    <row r="9" spans="1:20" ht="42" customHeight="1" x14ac:dyDescent="0.25">
      <c r="A9" s="3" t="s">
        <v>27</v>
      </c>
      <c r="C9" s="2">
        <v>0.5</v>
      </c>
      <c r="D9" s="2">
        <v>0.01</v>
      </c>
      <c r="E9" s="2">
        <v>0.5</v>
      </c>
      <c r="F9" s="2">
        <v>0.01</v>
      </c>
      <c r="G9" s="2">
        <v>0.25</v>
      </c>
      <c r="H9" s="2">
        <v>0.88</v>
      </c>
      <c r="I9" s="2">
        <v>0.97</v>
      </c>
      <c r="J9" s="2">
        <v>0.9</v>
      </c>
      <c r="K9" s="2">
        <v>0</v>
      </c>
      <c r="L9" s="2">
        <v>0.95</v>
      </c>
      <c r="M9" s="2">
        <v>0.01</v>
      </c>
      <c r="N9" s="2">
        <v>0.997</v>
      </c>
      <c r="O9" s="2">
        <v>0.96</v>
      </c>
      <c r="P9" s="2">
        <v>0.98</v>
      </c>
      <c r="Q9" s="2">
        <v>0.5</v>
      </c>
      <c r="R9" s="2">
        <v>0.97</v>
      </c>
      <c r="S9" s="2">
        <v>0.5</v>
      </c>
      <c r="T9" s="2">
        <v>0.4</v>
      </c>
    </row>
    <row r="10" spans="1:20" ht="42" customHeight="1" x14ac:dyDescent="0.25">
      <c r="A10" s="3" t="s">
        <v>28</v>
      </c>
      <c r="C10" s="2">
        <f>842/4</f>
        <v>210.5</v>
      </c>
      <c r="D10" s="2">
        <v>99</v>
      </c>
      <c r="E10" s="2">
        <v>1636</v>
      </c>
      <c r="F10" s="2">
        <v>2023</v>
      </c>
      <c r="G10" s="2">
        <f>2710/4</f>
        <v>677.5</v>
      </c>
      <c r="H10" s="2">
        <f>827/90</f>
        <v>9.1888888888888882</v>
      </c>
      <c r="I10" s="2">
        <f>271/30</f>
        <v>9.0333333333333332</v>
      </c>
      <c r="J10" s="2">
        <f>301/30</f>
        <v>10.033333333333333</v>
      </c>
      <c r="K10" s="2">
        <f>14/30</f>
        <v>0.46666666666666667</v>
      </c>
      <c r="L10" s="2">
        <v>0.5</v>
      </c>
      <c r="M10" s="2">
        <f>11/14</f>
        <v>0.7857142857142857</v>
      </c>
      <c r="N10" s="2">
        <v>1</v>
      </c>
      <c r="O10" s="2">
        <f>448/6</f>
        <v>74.666666666666671</v>
      </c>
      <c r="P10" s="2">
        <f>166/30</f>
        <v>5.5333333333333332</v>
      </c>
      <c r="Q10" s="2">
        <f>5500/30</f>
        <v>183.33333333333334</v>
      </c>
      <c r="R10" s="2">
        <f>13697/60</f>
        <v>228.28333333333333</v>
      </c>
      <c r="S10" s="2">
        <f>2240/30</f>
        <v>74.666666666666671</v>
      </c>
      <c r="T10" s="2">
        <f>4687/60</f>
        <v>78.11666666666666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joy</dc:creator>
  <cp:lastModifiedBy>jimmy joy</cp:lastModifiedBy>
  <dcterms:created xsi:type="dcterms:W3CDTF">2019-09-16T20:53:42Z</dcterms:created>
  <dcterms:modified xsi:type="dcterms:W3CDTF">2019-09-23T14:46:06Z</dcterms:modified>
</cp:coreProperties>
</file>