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i\Desktop\Acciojob Daily Worksheets\"/>
    </mc:Choice>
  </mc:AlternateContent>
  <xr:revisionPtr revIDLastSave="0" documentId="13_ncr:1_{E4E0D3E5-65B4-4C86-9FC2-F20A294FC516}" xr6:coauthVersionLast="45" xr6:coauthVersionMax="47" xr10:uidLastSave="{00000000-0000-0000-0000-000000000000}"/>
  <bookViews>
    <workbookView xWindow="-120" yWindow="-120" windowWidth="24240" windowHeight="13140" activeTab="3" xr2:uid="{924DE605-DE09-41D4-9D1F-1C5D1295C7EB}"/>
  </bookViews>
  <sheets>
    <sheet name="dataset" sheetId="4" r:id="rId1"/>
    <sheet name="Statistics Questions" sheetId="5" r:id="rId2"/>
    <sheet name="Logical Questions" sheetId="8" r:id="rId3"/>
    <sheet name="Questions Nested If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9" i="8" l="1"/>
  <c r="P96" i="8"/>
  <c r="P84" i="8"/>
  <c r="P94" i="8"/>
  <c r="P82" i="8"/>
  <c r="P93" i="8"/>
  <c r="P81" i="8"/>
  <c r="P92" i="8"/>
  <c r="P80" i="8"/>
  <c r="P79" i="8"/>
  <c r="P91" i="8"/>
  <c r="P90" i="8"/>
  <c r="P78" i="8"/>
  <c r="P89" i="8"/>
  <c r="P77" i="8"/>
  <c r="P88" i="8"/>
  <c r="P87" i="8"/>
  <c r="P76" i="8"/>
  <c r="P75" i="8"/>
  <c r="P108" i="8"/>
  <c r="P107" i="8"/>
  <c r="P106" i="8"/>
  <c r="P105" i="8"/>
  <c r="P104" i="8"/>
  <c r="P103" i="8" a="1"/>
  <c r="P103" i="8" s="1"/>
  <c r="P102" i="8" a="1"/>
  <c r="P102" i="8" s="1"/>
  <c r="P101" i="8"/>
  <c r="P100" i="8"/>
  <c r="P99" i="8"/>
  <c r="P72" i="8"/>
  <c r="P71" i="8"/>
  <c r="P70" i="8"/>
  <c r="P69" i="8"/>
  <c r="P68" i="8"/>
  <c r="P67" i="8"/>
  <c r="P66" i="8"/>
  <c r="P65" i="8"/>
  <c r="P64" i="8"/>
  <c r="P63" i="8"/>
  <c r="P60" i="8"/>
  <c r="P59" i="8"/>
  <c r="P58" i="8"/>
  <c r="P57" i="8"/>
  <c r="P56" i="8"/>
  <c r="P55" i="8"/>
  <c r="P54" i="8"/>
  <c r="P53" i="8"/>
  <c r="P52" i="8"/>
  <c r="P51" i="8"/>
  <c r="P36" i="8"/>
  <c r="P35" i="8"/>
  <c r="P34" i="8"/>
  <c r="P33" i="8"/>
  <c r="P32" i="8"/>
  <c r="P31" i="8"/>
  <c r="P30" i="8"/>
  <c r="P29" i="8"/>
  <c r="P28" i="8"/>
  <c r="P27" i="8"/>
  <c r="P24" i="8"/>
  <c r="P23" i="8"/>
  <c r="P22" i="8"/>
  <c r="P21" i="8"/>
  <c r="P20" i="8"/>
  <c r="P18" i="8"/>
  <c r="P17" i="8"/>
  <c r="P16" i="8"/>
  <c r="P15" i="8"/>
  <c r="P8" i="8"/>
  <c r="P12" i="8"/>
  <c r="P11" i="8"/>
  <c r="P10" i="8"/>
  <c r="P4" i="8"/>
  <c r="P9" i="8"/>
  <c r="P5" i="8"/>
  <c r="P7" i="8"/>
  <c r="P6" i="8"/>
  <c r="P3" i="8"/>
  <c r="C22" i="5" l="1" a="1"/>
  <c r="C22" i="5" s="1"/>
  <c r="C71" i="5" l="1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S4" i="4"/>
  <c r="S10" i="4"/>
  <c r="S16" i="4"/>
  <c r="S26" i="4"/>
  <c r="C82" i="5" a="1"/>
  <c r="C82" i="5" s="1"/>
  <c r="R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Q17" i="4"/>
  <c r="Q30" i="4"/>
  <c r="Q9" i="4"/>
  <c r="Q20" i="4"/>
  <c r="Q13" i="4"/>
  <c r="Q5" i="4"/>
  <c r="Q23" i="4"/>
  <c r="Q27" i="4"/>
  <c r="Q33" i="4"/>
  <c r="Q36" i="4"/>
  <c r="Q39" i="4"/>
  <c r="Q42" i="4"/>
  <c r="Q45" i="4"/>
  <c r="Q48" i="4"/>
  <c r="Q51" i="4"/>
  <c r="Q54" i="4"/>
  <c r="Q57" i="4"/>
  <c r="Q60" i="4"/>
  <c r="Q63" i="4"/>
  <c r="Q66" i="4"/>
  <c r="Q69" i="4"/>
  <c r="Q72" i="4"/>
  <c r="Q75" i="4"/>
  <c r="Q78" i="4"/>
  <c r="Q81" i="4"/>
  <c r="Q84" i="4"/>
  <c r="Q87" i="4"/>
  <c r="Q90" i="4"/>
  <c r="Q93" i="4"/>
  <c r="Q96" i="4"/>
  <c r="Q99" i="4"/>
  <c r="P34" i="4" l="1"/>
  <c r="P37" i="4"/>
  <c r="P40" i="4"/>
  <c r="P43" i="4"/>
  <c r="P46" i="4"/>
  <c r="P49" i="4"/>
  <c r="P52" i="4"/>
  <c r="P55" i="4"/>
  <c r="P58" i="4"/>
  <c r="O12" i="4"/>
  <c r="O30" i="4"/>
  <c r="O9" i="4"/>
  <c r="O16" i="4"/>
  <c r="O27" i="4"/>
  <c r="O34" i="4"/>
  <c r="O45" i="4"/>
  <c r="O48" i="4"/>
  <c r="O52" i="4"/>
  <c r="O63" i="4"/>
  <c r="O66" i="4"/>
  <c r="O70" i="4"/>
  <c r="O81" i="4"/>
  <c r="O84" i="4"/>
  <c r="O88" i="4"/>
  <c r="O99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M7" i="4"/>
  <c r="M24" i="4"/>
  <c r="M28" i="4"/>
  <c r="M18" i="4"/>
  <c r="M14" i="4"/>
  <c r="M31" i="4"/>
  <c r="M21" i="4"/>
  <c r="M3" i="4"/>
  <c r="M11" i="4"/>
  <c r="M34" i="4"/>
  <c r="M37" i="4"/>
  <c r="M40" i="4"/>
  <c r="M43" i="4"/>
  <c r="M46" i="4"/>
  <c r="M49" i="4"/>
  <c r="M52" i="4"/>
  <c r="M55" i="4"/>
  <c r="M58" i="4"/>
  <c r="M61" i="4"/>
  <c r="M64" i="4"/>
  <c r="M67" i="4"/>
  <c r="M70" i="4"/>
  <c r="M73" i="4"/>
  <c r="M76" i="4"/>
  <c r="M79" i="4"/>
  <c r="M82" i="4"/>
  <c r="M85" i="4"/>
  <c r="M88" i="4"/>
  <c r="M91" i="4"/>
  <c r="M94" i="4"/>
  <c r="M97" i="4"/>
  <c r="M100" i="4"/>
  <c r="L4" i="4"/>
  <c r="L12" i="4"/>
  <c r="L26" i="4"/>
  <c r="L17" i="4"/>
  <c r="L10" i="4"/>
  <c r="L30" i="4"/>
  <c r="L7" i="4"/>
  <c r="L24" i="4"/>
  <c r="L28" i="4"/>
  <c r="L22" i="4"/>
  <c r="L18" i="4"/>
  <c r="L14" i="4"/>
  <c r="L31" i="4"/>
  <c r="L6" i="4"/>
  <c r="L32" i="4"/>
  <c r="L19" i="4"/>
  <c r="L9" i="4"/>
  <c r="L2" i="4"/>
  <c r="L20" i="4"/>
  <c r="L13" i="4"/>
  <c r="L5" i="4"/>
  <c r="L16" i="4"/>
  <c r="L23" i="4"/>
  <c r="L21" i="4"/>
  <c r="L27" i="4"/>
  <c r="L15" i="4"/>
  <c r="L3" i="4"/>
  <c r="L25" i="4"/>
  <c r="L11" i="4"/>
  <c r="L29" i="4"/>
  <c r="L8" i="4"/>
  <c r="K4" i="4"/>
  <c r="K12" i="4"/>
  <c r="K26" i="4"/>
  <c r="K17" i="4"/>
  <c r="K10" i="4"/>
  <c r="K30" i="4"/>
  <c r="K7" i="4"/>
  <c r="K24" i="4"/>
  <c r="K28" i="4"/>
  <c r="K22" i="4"/>
  <c r="K18" i="4"/>
  <c r="K14" i="4"/>
  <c r="K31" i="4"/>
  <c r="K6" i="4"/>
  <c r="K32" i="4"/>
  <c r="K19" i="4"/>
  <c r="K9" i="4"/>
  <c r="K2" i="4"/>
  <c r="K20" i="4"/>
  <c r="K13" i="4"/>
  <c r="K5" i="4"/>
  <c r="K16" i="4"/>
  <c r="K23" i="4"/>
  <c r="K21" i="4"/>
  <c r="K27" i="4"/>
  <c r="K15" i="4"/>
  <c r="K3" i="4"/>
  <c r="K25" i="4"/>
  <c r="K11" i="4"/>
  <c r="K29" i="4"/>
  <c r="K8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C115" i="5" l="1"/>
  <c r="C119" i="5"/>
  <c r="C118" i="5"/>
  <c r="C117" i="5"/>
  <c r="C116" i="5"/>
  <c r="C114" i="5" a="1"/>
  <c r="C114" i="5" s="1"/>
  <c r="C113" i="5" a="1"/>
  <c r="C113" i="5" s="1"/>
  <c r="C112" i="5" a="1"/>
  <c r="C112" i="5" s="1"/>
  <c r="C111" i="5" a="1"/>
  <c r="C111" i="5" s="1"/>
  <c r="C110" i="5"/>
  <c r="C107" i="5" a="1"/>
  <c r="C107" i="5" s="1"/>
  <c r="C106" i="5" a="1"/>
  <c r="C106" i="5" s="1"/>
  <c r="C105" i="5" a="1"/>
  <c r="C105" i="5" s="1"/>
  <c r="C104" i="5" a="1"/>
  <c r="C104" i="5" s="1"/>
  <c r="C103" i="5" a="1"/>
  <c r="C103" i="5" s="1"/>
  <c r="C102" i="5" a="1"/>
  <c r="C102" i="5" s="1"/>
  <c r="C101" i="5" a="1"/>
  <c r="C101" i="5" s="1"/>
  <c r="C100" i="5" a="1"/>
  <c r="C100" i="5" s="1"/>
  <c r="C99" i="5" a="1"/>
  <c r="C99" i="5" s="1"/>
  <c r="C98" i="5"/>
  <c r="C83" i="5" a="1"/>
  <c r="C83" i="5" s="1"/>
  <c r="C81" i="5" a="1"/>
  <c r="C81" i="5" s="1"/>
  <c r="C80" i="5" a="1"/>
  <c r="C80" i="5" s="1"/>
  <c r="C79" i="5" a="1"/>
  <c r="C79" i="5" s="1"/>
  <c r="C78" i="5" a="1"/>
  <c r="C78" i="5" s="1"/>
  <c r="C77" i="5" a="1"/>
  <c r="C77" i="5" s="1"/>
  <c r="C76" i="5" a="1"/>
  <c r="C76" i="5" s="1"/>
  <c r="C75" i="5" a="1"/>
  <c r="C75" i="5" s="1"/>
  <c r="C74" i="5"/>
  <c r="C6" i="5" a="1"/>
  <c r="C6" i="5" s="1"/>
  <c r="C42" i="5" a="1"/>
  <c r="C42" i="5" s="1"/>
  <c r="C66" i="5" a="1"/>
  <c r="C66" i="5" s="1"/>
  <c r="C54" i="5" a="1"/>
  <c r="C54" i="5" s="1"/>
  <c r="C59" i="5" a="1"/>
  <c r="C59" i="5" s="1"/>
  <c r="C70" i="5" a="1"/>
  <c r="C70" i="5" s="1"/>
  <c r="C69" i="5" l="1" a="1"/>
  <c r="C69" i="5" s="1"/>
  <c r="C68" i="5" a="1"/>
  <c r="C68" i="5" s="1"/>
  <c r="C67" i="5" a="1"/>
  <c r="C67" i="5" s="1"/>
  <c r="C65" i="5" a="1"/>
  <c r="C65" i="5" s="1"/>
  <c r="C64" i="5" a="1"/>
  <c r="C64" i="5" s="1"/>
  <c r="C63" i="5" a="1"/>
  <c r="C63" i="5" s="1"/>
  <c r="C62" i="5"/>
  <c r="C58" i="5"/>
  <c r="C57" i="5"/>
  <c r="C56" i="5"/>
  <c r="C55" i="5"/>
  <c r="C53" i="5"/>
  <c r="C52" i="5"/>
  <c r="C51" i="5"/>
  <c r="C50" i="5"/>
  <c r="C47" i="5" a="1"/>
  <c r="C47" i="5" s="1"/>
  <c r="C46" i="5" a="1"/>
  <c r="C46" i="5" s="1"/>
  <c r="C45" i="5" a="1"/>
  <c r="C45" i="5" s="1"/>
  <c r="C44" i="5" a="1"/>
  <c r="C44" i="5" s="1"/>
  <c r="C43" i="5" a="1"/>
  <c r="C43" i="5" s="1"/>
  <c r="C41" i="5" a="1"/>
  <c r="C41" i="5" s="1"/>
  <c r="C40" i="5" a="1"/>
  <c r="C40" i="5" s="1"/>
  <c r="C39" i="5"/>
  <c r="C38" i="5"/>
  <c r="C18" i="5" a="1"/>
  <c r="C18" i="5" s="1"/>
  <c r="C30" i="5" a="1"/>
  <c r="C30" i="5" s="1"/>
  <c r="C31" i="5" a="1"/>
  <c r="C31" i="5" s="1"/>
  <c r="C35" i="5" a="1"/>
  <c r="C35" i="5" s="1"/>
  <c r="C34" i="5" a="1"/>
  <c r="C34" i="5" s="1"/>
  <c r="C26" i="5"/>
  <c r="C27" i="5"/>
  <c r="C28" i="5" a="1"/>
  <c r="C28" i="5" s="1"/>
  <c r="C33" i="5" a="1"/>
  <c r="C33" i="5" s="1"/>
  <c r="C32" i="5" a="1"/>
  <c r="C32" i="5" s="1"/>
  <c r="C23" i="5" a="1"/>
  <c r="C23" i="5" s="1"/>
  <c r="C29" i="5" a="1"/>
  <c r="C29" i="5" s="1"/>
  <c r="C21" i="5" a="1"/>
  <c r="C21" i="5" s="1"/>
  <c r="C20" i="5" a="1"/>
  <c r="C20" i="5" s="1"/>
  <c r="C19" i="5" a="1"/>
  <c r="C19" i="5" s="1"/>
  <c r="C17" i="5" a="1"/>
  <c r="C17" i="5" s="1"/>
  <c r="C16" i="5" a="1"/>
  <c r="C16" i="5" s="1"/>
  <c r="C15" i="5" a="1"/>
  <c r="C15" i="5" s="1"/>
  <c r="C14" i="5" l="1"/>
  <c r="C11" i="5"/>
  <c r="C10" i="5"/>
  <c r="C2" i="5"/>
  <c r="C5" i="5"/>
  <c r="C9" i="5"/>
  <c r="C8" i="5"/>
  <c r="C7" i="5"/>
  <c r="C4" i="5"/>
  <c r="C3" i="5"/>
</calcChain>
</file>

<file path=xl/sharedStrings.xml><?xml version="1.0" encoding="utf-8"?>
<sst xmlns="http://schemas.openxmlformats.org/spreadsheetml/2006/main" count="755" uniqueCount="508">
  <si>
    <t>Order ID</t>
  </si>
  <si>
    <t>Customer Name</t>
  </si>
  <si>
    <t>Product</t>
  </si>
  <si>
    <t>Quantity</t>
  </si>
  <si>
    <t>Price per Unit</t>
  </si>
  <si>
    <t>Order Date</t>
  </si>
  <si>
    <t>Shipping Date</t>
  </si>
  <si>
    <t>Delivery Date</t>
  </si>
  <si>
    <t>Status</t>
  </si>
  <si>
    <t>Total Price</t>
  </si>
  <si>
    <t>Customer 1</t>
  </si>
  <si>
    <t>Product 7</t>
  </si>
  <si>
    <t>Delivered</t>
  </si>
  <si>
    <t>Customer 2</t>
  </si>
  <si>
    <t>Product 15</t>
  </si>
  <si>
    <t>Shipped</t>
  </si>
  <si>
    <t>Customer 3</t>
  </si>
  <si>
    <t>Product 5</t>
  </si>
  <si>
    <t>Cancelled</t>
  </si>
  <si>
    <t>Customer 4</t>
  </si>
  <si>
    <t>Product 13</t>
  </si>
  <si>
    <t>Pending</t>
  </si>
  <si>
    <t>Customer 5</t>
  </si>
  <si>
    <t>Product 9</t>
  </si>
  <si>
    <t>Customer 6</t>
  </si>
  <si>
    <t>Product 3</t>
  </si>
  <si>
    <t>Customer 7</t>
  </si>
  <si>
    <t>Product 1</t>
  </si>
  <si>
    <t>Customer 8</t>
  </si>
  <si>
    <t>Product 18</t>
  </si>
  <si>
    <t>Customer 9</t>
  </si>
  <si>
    <t>Product 12</t>
  </si>
  <si>
    <t>Customer 10</t>
  </si>
  <si>
    <t>Product 4</t>
  </si>
  <si>
    <t>Customer 11</t>
  </si>
  <si>
    <t>Product 16</t>
  </si>
  <si>
    <t>Customer 12</t>
  </si>
  <si>
    <t>Product 6</t>
  </si>
  <si>
    <t>Customer 13</t>
  </si>
  <si>
    <t>Product 10</t>
  </si>
  <si>
    <t>Customer 14</t>
  </si>
  <si>
    <t>Product 11</t>
  </si>
  <si>
    <t>Customer 15</t>
  </si>
  <si>
    <t>Product 19</t>
  </si>
  <si>
    <t>Customer 16</t>
  </si>
  <si>
    <t>Product 8</t>
  </si>
  <si>
    <t>Customer 17</t>
  </si>
  <si>
    <t>Product 14</t>
  </si>
  <si>
    <t>Customer 18</t>
  </si>
  <si>
    <t>Product 2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</si>
  <si>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</si>
  <si>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</si>
  <si>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</si>
  <si>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</si>
  <si>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</si>
  <si>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</si>
  <si>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</si>
  <si>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</si>
  <si>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</si>
  <si>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</si>
  <si>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</si>
  <si>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</si>
  <si>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</si>
  <si>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</si>
  <si>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</si>
  <si>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</si>
  <si>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</si>
  <si>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</si>
  <si>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</si>
  <si>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</si>
  <si>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</si>
  <si>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</si>
  <si>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</si>
  <si>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</si>
  <si>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</si>
  <si>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</si>
  <si>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</si>
  <si>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</si>
  <si>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</si>
  <si>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</si>
  <si>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</si>
  <si>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</si>
  <si>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</si>
  <si>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</si>
  <si>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</si>
  <si>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</si>
  <si>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</si>
  <si>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</si>
  <si>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</si>
  <si>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</si>
  <si>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</si>
  <si>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</si>
  <si>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</si>
  <si>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</si>
  <si>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</si>
  <si>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</si>
  <si>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</si>
  <si>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</si>
  <si>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</si>
  <si>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</si>
  <si>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</si>
  <si>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</si>
  <si>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</si>
  <si>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</si>
  <si>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</si>
  <si>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</si>
  <si>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</si>
  <si>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</si>
  <si>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</si>
  <si>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</si>
  <si>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</si>
  <si>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</si>
  <si>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</si>
  <si>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</si>
  <si>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</si>
  <si>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</si>
  <si>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</si>
  <si>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</si>
  <si>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</si>
  <si>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</si>
  <si>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</si>
  <si>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</si>
  <si>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</si>
  <si>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</si>
  <si>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</si>
  <si>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</si>
  <si>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</si>
  <si>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</si>
  <si>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</si>
  <si>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</si>
  <si>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</si>
  <si>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</si>
  <si>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### MEAN (10 Questions)</t>
  </si>
  <si>
    <t>1. Calculate the mean of the "Quantity" column for the first 10 orders.</t>
  </si>
  <si>
    <t>2. Find the mean "Price per Unit" for orders made in January.</t>
  </si>
  <si>
    <t>3. Determine the mean "Total Price" for orders that are "Delivered".</t>
  </si>
  <si>
    <t>4. What is the mean "Quantity" for orders from Customer 1 to Customer 10?</t>
  </si>
  <si>
    <t>5. Compute the mean "Price per Unit" for products with IDs from 1 to 5.</t>
  </si>
  <si>
    <t>6. Calculate the mean "Total Price" for orders that were shipped in February.</t>
  </si>
  <si>
    <t>7. Find the mean "Quantity" of orders that have a status of "Pending".</t>
  </si>
  <si>
    <t>8. Determine the mean "Price per Unit" for products ordered by Customer 11 to Customer 20.</t>
  </si>
  <si>
    <t>9. What is the mean "Total Price" for orders with a status of "Cancelled"?</t>
  </si>
  <si>
    <t>10. Compute the mean "Quantity" for orders made in the last 10 days of March.</t>
  </si>
  <si>
    <t>### MEDIAN (10 Questions)</t>
  </si>
  <si>
    <t>1. Find the median "Quantity" of all orders.</t>
  </si>
  <si>
    <t>2. Calculate the median "Price per Unit" for orders that are "Shipped".</t>
  </si>
  <si>
    <t>3. Determine the median "Total Price" for the first 20 orders.</t>
  </si>
  <si>
    <t>4. What is the median "Quantity" for orders made by Customer 21 to Customer 30?</t>
  </si>
  <si>
    <t>5. Compute the median "Price per Unit" for products with IDs from 6 to 10.</t>
  </si>
  <si>
    <t>6. Calculate the median "Total Price" for orders placed in January.</t>
  </si>
  <si>
    <t>7. Find the median "Quantity" of orders with a status of "Delivered".</t>
  </si>
  <si>
    <t>8. Determine the median "Price per Unit" for orders placed by Customer 31 to Customer 40.</t>
  </si>
  <si>
    <t>9. What is the median "Total Price" for orders that are "Pending"?</t>
  </si>
  <si>
    <t>10. Compute the median "Quantity" for orders made in February.</t>
  </si>
  <si>
    <t>### MODE (10 Questions)</t>
  </si>
  <si>
    <t>1. Identify the mode of the "Quantity" column for all orders.</t>
  </si>
  <si>
    <t>2. Determine the mode of the "Price per Unit" for orders made in January.</t>
  </si>
  <si>
    <t>3. Find the mode "Total Price" for orders that are "Delivered".</t>
  </si>
  <si>
    <t>4. What is the mode "Quantity" for orders from Customer 41 to Customer 50?</t>
  </si>
  <si>
    <t>5. Compute the mode "Price per Unit" for products with IDs from 11 to 15.</t>
  </si>
  <si>
    <t>6. Calculate the mode "Total Price" for orders shipped in March.</t>
  </si>
  <si>
    <t>7. Identify the mode "Quantity" of orders with a status of "Shipped".</t>
  </si>
  <si>
    <t>8. Determine the mode "Price per Unit" for orders placed by Customer 51 to Customer 60.</t>
  </si>
  <si>
    <t>9. Find the mode "Total Price" for orders with a status of "Cancelled".</t>
  </si>
  <si>
    <t>10. What is the mode "Quantity" for orders placed in the first 10 days of April?</t>
  </si>
  <si>
    <t>### PERCENTILE (10 Questions)</t>
  </si>
  <si>
    <t>1. Calculate the 90th percentile of the "Quantity" column for all orders.</t>
  </si>
  <si>
    <t>2. Find the 75th percentile of "Price per Unit" for orders made in February.</t>
  </si>
  <si>
    <t>3. Determine the 50th percentile of "Total Price" for orders that are "Pending".</t>
  </si>
  <si>
    <t>4. What is the 25th percentile of "Quantity" for orders from Customer 61 to Customer 70?</t>
  </si>
  <si>
    <t>5. Compute the 80th percentile of "Price per Unit" for products with IDs from 16 to 20.</t>
  </si>
  <si>
    <t>6. Calculate the 60th percentile of "Total Price" for orders shipped in January.</t>
  </si>
  <si>
    <t>7. Find the 30th percentile of "Quantity" of orders with a status of "Cancelled".</t>
  </si>
  <si>
    <t>8. Determine the 40th percentile of "Price per Unit" for orders placed by Customer 71 to Customer 80.</t>
  </si>
  <si>
    <t>9. What is the 95th percentile of "Total Price" for orders with a status of "Delivered"?</t>
  </si>
  <si>
    <t>10. Compute the 85th percentile of "Quantity" for orders made in the first half of March.</t>
  </si>
  <si>
    <t>### AVERAGE (10 Questions)</t>
  </si>
  <si>
    <t>1. Calculate the average "Quantity" for all orders.</t>
  </si>
  <si>
    <t>2. Find the average "Price per Unit" for orders made in March.</t>
  </si>
  <si>
    <t>3. Determine the average "Total Price" for orders that are "Shipped".</t>
  </si>
  <si>
    <t>4. What is the average "Quantity" for orders from Customer 81 to Customer 90?</t>
  </si>
  <si>
    <t>5. Compute the average "Price per Unit" for products with IDs from 1 to 5.</t>
  </si>
  <si>
    <t>6. Calculate the average "Total Price" for orders placed in February.</t>
  </si>
  <si>
    <t>7. Find the average "Quantity" of orders with a status of "Pending".</t>
  </si>
  <si>
    <t>8. Determine the average "Price per Unit" for orders placed by Customer 91 to Customer 100.</t>
  </si>
  <si>
    <t>9. What is the average "Total Price" for orders with a status of "Cancelled"?</t>
  </si>
  <si>
    <t>### LARGE Function (10 Questions)</t>
  </si>
  <si>
    <t>1. Find the largest "Quantity" in all orders.</t>
  </si>
  <si>
    <t>2. Determine the second largest "Price per Unit" for orders made in January.</t>
  </si>
  <si>
    <t>3. Identify the third largest "Total Price" for orders that are "Delivered".</t>
  </si>
  <si>
    <t>4. What is the fourth largest "Quantity" for orders from Customer 1 to Customer 20?</t>
  </si>
  <si>
    <t>5. Compute the fifth largest "Price per Unit" for products with IDs from 6 to 10.</t>
  </si>
  <si>
    <t>6. Calculate the sixth largest "Total Price" for orders shipped in February.</t>
  </si>
  <si>
    <t>7. Find the seventh largest "Quantity" of orders with a status of "Shipped".</t>
  </si>
  <si>
    <t>8. Determine the eighth largest "Price per Unit" for orders placed by Customer 21 to Customer 40.</t>
  </si>
  <si>
    <t>10. Identify the tenth largest "Quantity" for orders made in March.</t>
  </si>
  <si>
    <t>### SMALL Function (10 Questions)</t>
  </si>
  <si>
    <t>1. Find the smallest "Quantity" in all orders.</t>
  </si>
  <si>
    <t>2. Determine the second smallest "Price per Unit" for orders made in February.</t>
  </si>
  <si>
    <t>3. Identify the third smallest "Total Price" for orders that are "Pending".</t>
  </si>
  <si>
    <t>4. What is the fourth smallest "Quantity" for orders from Customer 41 to Customer 60?</t>
  </si>
  <si>
    <t>5. Compute the fifth smallest "Price per Unit" for products with IDs from 11 to 15.</t>
  </si>
  <si>
    <t>6. Calculate the sixth smallest "Total Price" for orders shipped in March.</t>
  </si>
  <si>
    <t>8. Determine the eighth smallest "Price per Unit" for orders placed by Customer 61 to Customer 80.</t>
  </si>
  <si>
    <t>9. What is the ninth smallest "Total Price" for orders with a status of "Delivered"?</t>
  </si>
  <si>
    <t>10. Identify the tenth smallest "Quantity" for orders made in April.</t>
  </si>
  <si>
    <t>### RANK Function (10 Questions)</t>
  </si>
  <si>
    <t>1. Rank the "Quantity" of all orders.</t>
  </si>
  <si>
    <t>2. Rank the "Price per Unit" for orders made in January.</t>
  </si>
  <si>
    <t>3. Rank the "Total Price" for orders that are "Shipped".</t>
  </si>
  <si>
    <t>4. Rank the "Quantity" for orders from Customer 81 to Customer 100.</t>
  </si>
  <si>
    <t>5. Rank the "Price per Unit" for products with IDs from 16 to 20.</t>
  </si>
  <si>
    <t>6. Rank the "Total Price" for orders shipped in February.</t>
  </si>
  <si>
    <t>7. Rank the "Quantity" of orders with a status of "Pending".</t>
  </si>
  <si>
    <t>8. Rank the "Price per Unit" for orders placed by Customer 1 to Customer 20.</t>
  </si>
  <si>
    <t>9. Rank the "Total Price" for orders with a status of "Cancelled".</t>
  </si>
  <si>
    <t>10. Rank the "Quantity" for orders made in March.</t>
  </si>
  <si>
    <t>### MAX Function (10 Questions)</t>
  </si>
  <si>
    <t>1. Find the maximum "Quantity" in all orders.</t>
  </si>
  <si>
    <t>2. Determine the maximum "Price per Unit" for orders made in March.</t>
  </si>
  <si>
    <t>3. Identify the maximum "Total Price" for orders that are "Delivered".</t>
  </si>
  <si>
    <t>4. What is the maximum "Quantity" for orders from Customer 21 to Customer 40?</t>
  </si>
  <si>
    <t>5. Compute the maximum "Price per Unit" for products with IDs from 1 to 5.</t>
  </si>
  <si>
    <t>6. Calculate the maximum "Total Price" for orders shipped in January.</t>
  </si>
  <si>
    <t>7. Find the maximum "Quantity" of orders with a status of "Shipped".</t>
  </si>
  <si>
    <t>8. Determine the maximum "Price per Unit" for orders placed by Customer 41 to Customer 60.</t>
  </si>
  <si>
    <t>9. What is the maximum "Total Price" for orders with a status of "Cancelled"?</t>
  </si>
  <si>
    <t>10. Identify the maximum "Quantity" for orders made in April.</t>
  </si>
  <si>
    <t>### MIN Function (10 Questions)</t>
  </si>
  <si>
    <t>1. Find the minimum "Quantity" in all orders.</t>
  </si>
  <si>
    <t>2. Determine the minimum "Price per Unit" for orders made in February.</t>
  </si>
  <si>
    <t>3. Identify the minimum "Total Price" for orders that are "Pending".</t>
  </si>
  <si>
    <t>4. What is the minimum "Quantity" for orders from Customer 61 to Customer 80?</t>
  </si>
  <si>
    <t>5. Compute the minimum "Price per Unit" for products with IDs from 6 to 10.</t>
  </si>
  <si>
    <t>6. Calculate the minimum "Total Price" for orders shipped in March.</t>
  </si>
  <si>
    <t>7. Find the minimum "Quantity" of orders with a status of "Cancelled".</t>
  </si>
  <si>
    <t>8. Determine the minimum "Price per Unit" for orders placed by Customer 81 to Customer 100.</t>
  </si>
  <si>
    <t>9. What is the minimum "Total Price" for orders with a status of "Delivered"?</t>
  </si>
  <si>
    <t>10. Identify the minimum "Quantity" for orders made in January.</t>
  </si>
  <si>
    <t>### IF Function (10 Questions)</t>
  </si>
  <si>
    <t>1. Use the IF function to determine if the "Quantity" of an order is greater than 5. If true, display "High", otherwise display "Low".</t>
  </si>
  <si>
    <t>2. Use the IF function to label orders with "Total Price" above 500 as "Expensive" and below 500 as "Affordable".</t>
  </si>
  <si>
    <t>3. Use the IF function to mark orders as "Shipped" if the "Status" is "Shipped" or "Delivered".</t>
  </si>
  <si>
    <t>4. Use the IF function to categorize "Price per Unit" above 50 as "Premium" and below or equal to 50 as "Standard".</t>
  </si>
  <si>
    <t>5. Use the IF function to check if the "Order Date" is before February 1, 2023. If true, display "Early", otherwise display "Late".</t>
  </si>
  <si>
    <t>6. Use the IF function to determine if the "Product" ID is even. If true, display "Even", otherwise display "Odd".</t>
  </si>
  <si>
    <t>7. Use the IF function to label orders with "Quantity" less than 3 as "Low Quantity".</t>
  </si>
  <si>
    <t>8. Use the IF function to check if "Total Price" is greater than or equal to 300. If true, display "Eligible for Discount", otherwise display "Not Eligible".</t>
  </si>
  <si>
    <t>9. Use the IF function to identify orders placed in January. If the "Order Date" is in January, display "January Order", otherwise display "Other".</t>
  </si>
  <si>
    <t>10. Use the IF function to mark orders as "Urgent" if the "Status" is "Pending" or "Cancelled".</t>
  </si>
  <si>
    <t>### IFERROR Function (10 Questions)</t>
  </si>
  <si>
    <t>1. Use the IFERROR function to handle division errors in calculating the "Price per Unit" by "Quantity".</t>
  </si>
  <si>
    <t>2. Use the IFERROR function to return "Data Error" if the "Total Price" calculation results in an error.</t>
  </si>
  <si>
    <t>3. Use the IFERROR function to display "N/A" for any error in the "Delivery Date" minus "Shipping Date" calculation.</t>
  </si>
  <si>
    <t>4. Use the IFERROR function to replace errors in the "Price per Unit" lookup with "Price Not Found".</t>
  </si>
  <si>
    <t>5. Use the IFERROR function to handle errors in calculating the percentage discount based on "Total Price".</t>
  </si>
  <si>
    <t>6. Use the IFERROR function to show "Invalid Data" if any errors occur in the "Quantity" multiplied by "Price per Unit" calculation.</t>
  </si>
  <si>
    <t>7. Use the IFERROR function to substitute "No Value" for errors in finding the mode of "Quantity".</t>
  </si>
  <si>
    <t>8. Use the IFERROR function to replace errors with "Not Applicable" in the "Price per Unit" average calculation.</t>
  </si>
  <si>
    <t>9. Use the IFERROR function to handle errors in determining the rank of "Total Price".</t>
  </si>
  <si>
    <t>10. Use the IFERROR function to return "Error" if any issues occur in calculating the median of "Quantity".</t>
  </si>
  <si>
    <t>### AND Function (10 Questions)</t>
  </si>
  <si>
    <t>1. Use the AND function to determine if an order's "Quantity" is greater than 5 and "Total Price" is above 300.</t>
  </si>
  <si>
    <t>2. Use the AND function to check if the "Order Date" is in January and the "Status" is "Delivered".</t>
  </si>
  <si>
    <t>3. Use the AND function to see if an order's "Price per Unit" is between 20 and 50 and "Quantity" is less than 10.</t>
  </si>
  <si>
    <t>4. Use the AND function to identify orders with "Total Price" over 500 and "Status" as "Shipped".</t>
  </si>
  <si>
    <t>5. Use the AND function to find orders where the "Shipping Date" is within 3 days of the "Order Date" and "Status" is not "Cancelled".</t>
  </si>
  <si>
    <t>6. Use the AND function to determine if the "Delivery Date" is after the "Shipping Date" and "Quantity" is more than 3.</t>
  </si>
  <si>
    <t>7. Use the AND function to check if an order's "Price per Unit" is above the average and "Total Price" is below the median.</t>
  </si>
  <si>
    <t>8. Use the AND function to label orders as "High Priority" if "Quantity" is greater than 7 and "Status" is "Pending".</t>
  </si>
  <si>
    <t>9. Use the AND function to mark orders as "Special" if the "Order Date" is a weekend and the "Total Price" is above 200.</t>
  </si>
  <si>
    <t>10. Use the AND function to check if the "Customer Name" starts with "A" and the "Product" contains "1".</t>
  </si>
  <si>
    <t>### FILTER Function (10 Questions)</t>
  </si>
  <si>
    <t>1. Use the FILTER function to list all orders where the "Status" is "Pending".</t>
  </si>
  <si>
    <t>2. Use the FILTER function to display orders with a "Total Price" greater than 500.</t>
  </si>
  <si>
    <t>3. Use the FILTER function to show orders where the "Quantity" is less than 5.</t>
  </si>
  <si>
    <t>4. Use the FILTER function to list orders made by "Customer 10".</t>
  </si>
  <si>
    <t>5. Use the FILTER function to display orders with a "Price per Unit" between 20 and 50.</t>
  </si>
  <si>
    <t>6. Use the FILTER function to list orders where the "Order Date" is in March.</t>
  </si>
  <si>
    <t>7. Use the FILTER function to show orders where the "Product" is "Product 5".</t>
  </si>
  <si>
    <t>8. Use the FILTER function to display orders with a "Total Price" less than 100.</t>
  </si>
  <si>
    <t>9. Use the FILTER function to list orders with a "Shipping Date" before February 1, 2023.</t>
  </si>
  <si>
    <t>10. Use the FILTER function to show orders where the "Delivery Date" is after the "Shipping Date".</t>
  </si>
  <si>
    <t>### OR Function (10 Questions)</t>
  </si>
  <si>
    <t>1. Use the OR function to check if an order's "Quantity" is greater than 5 or "Total Price" is above 300.</t>
  </si>
  <si>
    <t>2. Use the OR function to determine if the "Order Date" is in January or the "Status" is "Delivered".</t>
  </si>
  <si>
    <t>3. Use the OR function to see if an order's "Price per Unit" is above 50 or "Quantity" is less than 3.</t>
  </si>
  <si>
    <t>4. Use the OR function to find orders with "Total Price" over 500 or "Status" as "Shipped".</t>
  </si>
  <si>
    <t>5. Use the OR function to check if the "Shipping Date" is before February 1, 2023, or the "Delivery Date" is after March 1, 2023.</t>
  </si>
  <si>
    <t>6. Use the OR function to determine if the "Delivery Date" is before the "Shipping Date" or "Quantity" is more than 7.</t>
  </si>
  <si>
    <t>7. Use the OR function to see if an order's "Price per Unit" is above the average or "Total Price" is below the median.</t>
  </si>
  <si>
    <t>8. Use the OR function to label orders as "High Priority" if "Quantity" is greater than 7 or "Status" is "Pending".</t>
  </si>
  <si>
    <t>9. Use the OR function to mark orders as "Special" if the "Order Date" is a weekend or the "Total Price" is above 200.</t>
  </si>
  <si>
    <t>10. Use the OR function to check if the "Customer Name" starts with "A" or the "Product" contains "1".</t>
  </si>
  <si>
    <t>### NOT Function (10 Questions)</t>
  </si>
  <si>
    <t>1. Use the NOT function to identify orders where the "Status" is not "Pending".</t>
  </si>
  <si>
    <t>2. Use the NOT function to find orders where the "Total Price" is not above 500.</t>
  </si>
  <si>
    <t>3. Use the NOT function to see if the "Quantity" is not less than 5.</t>
  </si>
  <si>
    <t>4. Use the NOT function to determine if the "Price per Unit" is not between 20 and 50.</t>
  </si>
  <si>
    <t>5. Use the NOT function to identify orders where the "Order Date" is not in January.</t>
  </si>
  <si>
    <t>6. Use the NOT function to find orders where the "Product" is not "Product 5".</t>
  </si>
  <si>
    <t>7. Use the NOT function to see if the "Total Price" is not below 100.</t>
  </si>
  <si>
    <t>8. Use the NOT function to determine if the "Shipping Date" is not before February 1, 2023.</t>
  </si>
  <si>
    <t>9. Use the NOT function to identify orders where the "Delivery Date" is not after the "Shipping Date".</t>
  </si>
  <si>
    <t>10. Use the NOT function to find orders where the "Customer Name" does not start with "A".</t>
  </si>
  <si>
    <t>### TRUE Function (10 Questions)</t>
  </si>
  <si>
    <t>1. Use the TRUE function in a formula to always return a true value.</t>
  </si>
  <si>
    <t>2. Create a condition using TRUE to check if the "Quantity" is greater than 0.</t>
  </si>
  <si>
    <t>3. Use TRUE in an IF function to label all orders as "Valid".</t>
  </si>
  <si>
    <t>4. Combine TRUE with the AND function to check multiple conditions in the order dataset.</t>
  </si>
  <si>
    <t>5. Use TRUE in a VLOOKUP function to find an approximate match in the "Price per Unit".</t>
  </si>
  <si>
    <t>6. Create a formula using TRUE to always display "Eligible" for a discount.</t>
  </si>
  <si>
    <t>7. Use TRUE with the OR function to always return a true value if any condition is met.</t>
  </si>
  <si>
    <t>8. Combine TRUE with the IFERROR function to return "No Error" for any calculation.</t>
  </si>
  <si>
    <t>9. Use TRUE in a conditional formatting rule to highlight all cells in a range.</t>
  </si>
  <si>
    <t>10. Create a formula using TRUE to always display "Available" for stock status.</t>
  </si>
  <si>
    <t>### FALSE Function (10 Questions)</t>
  </si>
  <si>
    <t>1. Use the FALSE function in a formula to always return a false value.</t>
  </si>
  <si>
    <t>2. Create a condition using FALSE to check if the "Total Price" is below 0.</t>
  </si>
  <si>
    <t>3. Use FALSE in an IF function to label all orders as "Invalid".</t>
  </si>
  <si>
    <t>4. Combine FALSE with the AND function to check multiple conditions in the order dataset.</t>
  </si>
  <si>
    <t>5. Use FALSE in a VLOOKUP function to find an exact match in the "Price per Unit".</t>
  </si>
  <si>
    <t>6. Create a formula using FALSE to always display "Not Eligible" for a discount.</t>
  </si>
  <si>
    <t>7. Use FALSE with the OR function to always return a false value if no conditions are met.</t>
  </si>
  <si>
    <t>8. Combine FALSE with the IFERROR function to return "Error" for any calculation.</t>
  </si>
  <si>
    <t>9. Use FALSE in a conditional formatting rule to not highlight any cells in a range.</t>
  </si>
  <si>
    <t>10. Create a formula using FALSE to always display "Unavailable" for stock status.</t>
  </si>
  <si>
    <t>### IS Function (10 Questions)</t>
  </si>
  <si>
    <t>1. Use the ISNUMBER function to check if the "Quantity" column contains numbers.</t>
  </si>
  <si>
    <t>2. Use the ISTEXT function to verify if the "Customer Name" column contains text.</t>
  </si>
  <si>
    <t>3. Use the ISBLANK function to find any blank cells in the "Price per Unit" column.</t>
  </si>
  <si>
    <t>4. Use the ISERROR function to identify errors in the "Total Price" calculations.</t>
  </si>
  <si>
    <t>5. Use the ISNONTEXT function to check if the "Order Date" column does not contain text.</t>
  </si>
  <si>
    <t>6. Use the ISODD function to find orders with an odd "Quantity".</t>
  </si>
  <si>
    <t>7. Use the ISEVEN function to check if the "Product" IDs are even.</t>
  </si>
  <si>
    <t>8. Use the ISLOGICAL function to verify if a column contains logical values (TRUE/FALSE).</t>
  </si>
  <si>
    <t>9. Use the ISFORMULA function to identify cells that contain formulas in the "Total Price" column.</t>
  </si>
  <si>
    <t>10. Use the ISREF function to check if a reference in the "Customer Name" column is valid.</t>
  </si>
  <si>
    <t>1. **Employee Bonus Calculation:** If an employee has worked more than 10 years, they receive a 20% bonus. If they have worked 5-10 years, they receive a 10% bonus. Otherwise, no bonus is given.</t>
  </si>
  <si>
    <t>2. **Grading System:** If a student's score is above 90, they get an A. If it's between 80 and 90, they get a B. If it's between 70 and 80, they get a C. Otherwise, they get an F.</t>
  </si>
  <si>
    <t>3. **Tax Bracket Calculation:** If an income is above $100,000, the tax rate is 30%. If it's between $50,000 and $100,000, the tax rate is 20%. Otherwise, the tax rate is 10%.</t>
  </si>
  <si>
    <t>4. **Shipping Cost:** If the weight of a package is more than 10kg, the shipping cost is $50. If it’s between 5kg and 10kg, the cost is $30. Otherwise, it’s $10.</t>
  </si>
  <si>
    <t>5. **Product Discount:** If a customer buys more than 100 units, they get a 15% discount. If they buy between 50 and 100 units, they get a 10% discount. Otherwise, no discount is given.</t>
  </si>
  <si>
    <t>6. **Loan Approval:** If an applicant's credit score is above 750, they get a loan at 5% interest. If it’s between 700 and 750, the interest is 7%. Otherwise, the interest is 10%.</t>
  </si>
  <si>
    <t>7. **Insurance Premium:** If a person is above 60 years old, their premium is $200. If they are between 40 and 60, it’s $150. Otherwise, it’s $100.</t>
  </si>
  <si>
    <t>8. **Electricity Bill:** If usage is above 500 kWh, the rate is $0.20 per kWh. If it’s between 200 and 500 kWh, the rate is $0.15 per kWh. Otherwise, it’s $0.10 per kWh.</t>
  </si>
  <si>
    <t>9. **Attendance Reward:** If a student attends more than 90% of classes, they get a reward of $100. If they attend between 75% and 90%, they get $50. Otherwise, no reward.</t>
  </si>
  <si>
    <t>10. **Salary Increment:** If an employee’s performance rating is 5, they get a 20% increment. If it’s 4, they get a 15% increment. If it’s 3, they get a 10% increment. Otherwise, no increment.</t>
  </si>
  <si>
    <t>11. **Store Discount:** If a purchase amount is above $500, the discount is 25%. If it’s between $200 and $500, the discount is 15%. Otherwise, it’s 5%.</t>
  </si>
  <si>
    <t>12. **Car Rental Rate:** If rental days are more than 10, the daily rate is $30. If it’s between 5 and 10 days, the daily rate is $40. Otherwise, it’s $50.</t>
  </si>
  <si>
    <t>13. **Interest Rate Calculation:** If the deposit amount is above $10,000, the interest rate is 5%. If it’s between $5,000 and $10,000, the rate is 3%. Otherwise, it’s 1%.</t>
  </si>
  <si>
    <t>14. **Hotel Room Rate:** If a guest stays more than 7 nights, the nightly rate is $100. If they stay between 3 and 7 nights, it’s $120. Otherwise, it’s $150.</t>
  </si>
  <si>
    <t>15. **Water Bill:** If water usage is above 1000 liters, the rate is $0.05 per liter. If it’s between 500 and 1000 liters, the rate is $0.04 per liter. Otherwise, it’s $0.03 per liter.</t>
  </si>
  <si>
    <t>16. **Project Bonus:** If a project is completed within 3 months, the bonus is $5000. If it’s between 3 and 6 months, the bonus is $3000. Otherwise, it’s $1000.</t>
  </si>
  <si>
    <t>17. **Fitness Club Membership Fee:** If a person’s BMI is below 18.5, the fee is $20 per month. If it’s between 18.5 and 24.9, the fee is $30 per month. Otherwise, it’s $40 per month.</t>
  </si>
  <si>
    <t>18. **Phone Plan Rate:** If data usage is above 10GB, the rate is $50 per month. If it’s between 5GB and 10GB, the rate is $40 per month. Otherwise, it’s $30 per month.</t>
  </si>
  <si>
    <t>19. **Academic Scholarship:** If a student’s GPA is above 3.8, they get a $2000 scholarship. If it’s between 3.5 and 3.8, they get $1000. Otherwise, no scholarship.</t>
  </si>
  <si>
    <t>20. **Rental Discount:** If the rental period is more than 2 weeks, a 20% discount is applied. If it’s between 1 and 2 weeks, a 10% discount is applied. Otherwise, no discount.</t>
  </si>
  <si>
    <t>1. **Monthly Fee Calculation:** If a user's usage is above 1000 minutes, the fee is $100. If it’s between 500 and 1000 minutes, the fee is $75. Otherwise, it’s $50.</t>
  </si>
  <si>
    <t>2. **Parking Fee:** If parking duration is more than 24 hours, the fee is $25. If it’s between 12 and 24 hours, the fee is $15. Otherwise, it’s $10.</t>
  </si>
  <si>
    <t>3. **Sales Commission:** If a salesperson's sales are above $50,000, they receive a 10% commission. If sales are between $20,000 and $50,000, the commission is 7%. Otherwise, it’s 5%.</t>
  </si>
  <si>
    <t>4. **Book Club Discount:** If a member buys more than 10 books, they get a 30% discount. If they buy between 5 and 10 books, they get a 20% discount. Otherwise, it’s 10%.</t>
  </si>
  <si>
    <t>5. **Gas Bill:** If gas consumption is above 100 units, the rate is $0.15 per unit. If it’s between 50 and 100 units, the rate is $0.12 per unit. Otherwise, it’s $0.10 per unit.</t>
  </si>
  <si>
    <t>6. **Tutoring Fee:** If a student attends more than 20 sessions, the fee is $40 per session. If it’s between 10 and 20 sessions, the fee is $50 per session. Otherwise, it’s $60 per session.</t>
  </si>
  <si>
    <t>7. **Movie Ticket Price:** If a person is above 65, the ticket price is $7. If they are between 12 and 65, the price is $10. Otherwise, it’s $5.</t>
  </si>
  <si>
    <t>8. **Product Return Policy:** If a product is returned within 30 days, a full refund is given. If it’s between 30 and 60 days, a 50% refund is given. Otherwise, no refund.</t>
  </si>
  <si>
    <t>9. **Overtime Pay:** If an employee works more than 50 hours a week, they get double pay for overtime. If they work between 40 and 50 hours, they get 1.5 times pay. Otherwise, no overtime pay.</t>
  </si>
  <si>
    <t>10. **Internet Speed Plan:** If usage is above 500GB, the speed is reduced to 20Mbps. If it’s between 250GB and 500GB, it’s reduced to 50Mbps. Otherwise, it remains at 100Mbps.</t>
  </si>
  <si>
    <t>11. **Vacation Days:** If an employee has worked more than 15 years, they get 30 vacation days. If they have worked 5-15 years, they get 20 days. Otherwise, they get 10 days.</t>
  </si>
  <si>
    <t>12. **Customer Rating:** If a customer rates 5 stars, they receive a thank-you note and a 10% discount coupon. If they rate 4 stars, they get a thank-you note. Otherwise, they receive a follow-up email for feedback.</t>
  </si>
  <si>
    <t>13. **Gym Membership Duration:** If a member renews for more than 12 months, the monthly fee is $25. If they renew for 6-12 months, the fee is $30. Otherwise, it’s $35.</t>
  </si>
  <si>
    <t>14. **Flight Baggage Fee:** If baggage weight is above 30kg, the fee is $100. If it’s between 20 and 30kg, the fee is $75. Otherwise, it’s $50.</t>
  </si>
  <si>
    <t>15. **Utility Bill Discount:** If a bill is paid within 10 days, a 5% discount is applied. If it’s between 10 and 20 days, a 2% discount is applied. Otherwise, no discount.</t>
  </si>
  <si>
    <t>16. **Library Late Fee:** If a book is returned more than 15 days late, the fee is $1 per day. If it’s between 5 and 15 days, the fee is $0.50 per day. Otherwise, it’s $0.25 per day.</t>
  </si>
  <si>
    <t>17. **Performance Bonus:** If an employee achieves 120% of their target, they receive a $2000 bonus. If they achieve 100%-120%, they get a $1000 bonus. Otherwise, no bonus.</t>
  </si>
  <si>
    <t>18. **Customer Loyalty Program:** If a customer spends more than $1000 in a year, they get a 15% discount on all purchases. If they spend $500-$1000, they get a 10% discount. Otherwise, they get a 5% discount.</t>
  </si>
  <si>
    <t>19. **Telecom Plan:** If data usage is above 50GB, the additional charge is $10 per GB. If it’s between 20 and 50GB, the charge is $7 per GB. Otherwise, it’s $5 per GB.</t>
  </si>
  <si>
    <t>20. **Loan Repayment Penalty:** If repayment is more than 30 days late, a 10% penalty is applied. If it’s between 15 and 30 days, a 5% penalty is applied. Otherwise, a 2% penalty is applied.</t>
  </si>
  <si>
    <t>21. **Exam Result:** If a student scores above 90, they receive a distinction. If they score between 75 and 90, they get a merit. If they score between 50 and 75, they pass. Otherwise, they fail.</t>
  </si>
  <si>
    <t>22. **Event Ticket Price:** If a ticket is bought more than 30 days in advance, the price is $20. If it’s between 10 and 30 days, the price is $25. Otherwise, it’s $30.</t>
  </si>
  <si>
    <t>23. **Utility Bill Payment:** If a bill is paid within 5 days, a $5 discount is applied. If it’s between 5 and 10 days, a $2 discount is applied. Otherwise, no discount.</t>
  </si>
  <si>
    <t>24. **Housing Rent:** If a tenant stays for more than 3 years, the rent is $1000 per month. If they stay between 1 and 3 years, it’s $1100. Otherwise, it’s $1200.</t>
  </si>
  <si>
    <t>25. **Food Delivery Charge:** If the order amount is above $50, delivery is free. If it’s between $30 and $50, the delivery charge is $5. Otherwise, it’s $10.</t>
  </si>
  <si>
    <t>26. **Software Subscription:** If a user subscribes for more than 2 years, the monthly fee is $15. If they subscribe for 1-2 years, it’s $18. Otherwise, it’s $20.</t>
  </si>
  <si>
    <t>27. **Phone Bill:** If call duration is above 2000 minutes, the rate is $0.05 per minute. If it’s between 1000 and 2000 minutes, the rate is $0.08 per minute. Otherwise, it’s $0.10 per minute.</t>
  </si>
  <si>
    <t>28. **Product Warranty:** If a product is purchased within 1 year, it has a 2-year warranty. If it’s between 1 and 2 years, the warranty is 1 year. Otherwise, there’s no warranty.</t>
  </si>
  <si>
    <t>29. **Hotel Stay Discount:** If a guest stays for more than 10 nights, a 20% discount is applied. If they stay between 5 and 10 nights, a 10% discount is applied. Otherwise, no discount.</t>
  </si>
  <si>
    <t>30. **School Admission Fee:** If a child’s age is above 6 years, the fee is $200. If it’s between 3 and 6 years, the fee is $150. Otherwise, it’s $100.</t>
  </si>
  <si>
    <t>31. **Electricity Tariff:** If consumption is above 1000 kWh, the rate is $0.20 per kWh. If it’s between 500 and 1000 kWh, the rate is $0.15 per kWh. Otherwise, it’s $0.10 per kWh.</t>
  </si>
  <si>
    <t>32. **Fuel Surcharge:** If fuel consumption is above 200 liters, the surcharge is $0.05 per liter. If it’s between 100 and 200 liters, the surcharge is $0.03 per liter. Otherwise, it’s $0.01 per liter.</t>
  </si>
  <si>
    <t>33. **Health Insurance Premium:** If an individual’s age is above 50, the premium is $200. If it’s between 30 and 50, the premium is $150. Otherwise, it’s $100.</t>
  </si>
  <si>
    <t>34. **Festival Discount:** If a purchase is made during the festival season, a 25% discount is applied. If it’s within 1 month of the festival, a 15% discount is applied. Otherwise, no discount.</t>
  </si>
  <si>
    <t>35. **Student Scholarship:** If a student’s GPA is above 3.5, they receive a $1000 scholarship. If it’s between 3.0 and 3.5, they get $500. Otherwise, no scholarship.</t>
  </si>
  <si>
    <t>36. **Vehicle Insurance:** If a car is older than 10 years, the premium is $300. If it’s between 5 and 10 years, the premium is $200. Otherwise, it’s $100.</t>
  </si>
  <si>
    <t>37. **Internet Usage:** If data usage is above 100GB, the speed is throttled to 5Mbps. If it’s between 50 and 100GB, it’s throttled to 10Mbps. Otherwise, it remains at 20Mbps.</t>
  </si>
  <si>
    <t>38. **Gym Session Discount:** If a member books more than 10 sessions, they get a 20% discount. If they book between 5 and 10 sessions, they get a 10% discount. Otherwise, no discount.</t>
  </si>
  <si>
    <t>39. **Frequent Flyer Miles:** If a customer flies more than 100,000 miles, they get a 50% bonus on miles earned. If they fly between 50,000 and 100,000 miles, they get a 25% bonus. Otherwise, no bonus.</t>
  </si>
  <si>
    <t>40. **Subscription Renewal:** If a subscription is renewed within 1 month of expiration, a 20% discount is applied. If it’s within 3</t>
  </si>
  <si>
    <t xml:space="preserve"> months, a 10% discount is applied. Otherwise, no discount.</t>
  </si>
  <si>
    <t>41. **Customer Feedback Incentive:** If a customer provides feedback within 7 days, they receive a $10 voucher. If it’s between 7 and 14 days, they get a $5 voucher. Otherwise, no voucher.</t>
  </si>
  <si>
    <t>42. **Parking Fine:** If a parking ticket is paid within 7 days, the fine is reduced by 50%. If it’s paid within 14 days, the fine is reduced by 25%. Otherwise, the full fine is due.</t>
  </si>
  <si>
    <t>43. **Early Bird Discount:** If a ticket is bought more than 3 months in advance, a 20% discount is applied. If it’s bought between 1 and 3 months, a 10% discount is applied. Otherwise, no discount.</t>
  </si>
  <si>
    <t>44. **Home Loan Rate:** If the loan amount is above $500,000, the interest rate is 4%. If it’s between $300,000 and $500,000, the rate is 4.5%. Otherwise, it’s 5%.</t>
  </si>
  <si>
    <t>45. **Health Club Membership Fee:** If a member is above 60 years old, the fee is $25 per month. If they are between 30 and 60, it’s $35 per month. Otherwise, it’s $45 per month.</t>
  </si>
  <si>
    <t>46. **Seasonal Sale Discount:** If a purchase is made during the summer sale, a 30% discount is applied. If it’s during the winter sale, a 20% discount is applied. Otherwise, no discount.</t>
  </si>
  <si>
    <t>47. **Employee Referral Bonus:** If a referred employee stays for more than 1 year, the bonus is $500. If they stay between 6 months and 1 year, the bonus is $250. Otherwise, no bonus.</t>
  </si>
  <si>
    <t>48. **Internet Plan Upgrade:** If a plan is upgraded within 3 months of purchase, a 15% discount is applied. If it’s between 3 and 6 months, a 10% discount is applied. Otherwise, no discount.</t>
  </si>
  <si>
    <t>49. **Mortgage Penalty:** If a payment is more than 30 days late, a 5% penalty is applied. If it’s between 15 and 30 days, a 3% penalty is applied. Otherwise, a 1% penalty is applied.</t>
  </si>
  <si>
    <t>50. **Flight Cancellation Fee:** If a flight is canceled more than 1 month in advance, a $50 fee is charged. If it’s canceled between 1 week and 1 month, the fee is $100. Otherwise, the fee is $200.</t>
  </si>
  <si>
    <t>Answers</t>
  </si>
  <si>
    <t>9. What is the third largest "Total Price" for orders with a status of "Cancelled"?</t>
  </si>
  <si>
    <t>10. Compute the average "Quantity" for orders made in the first 10 days of April.</t>
  </si>
  <si>
    <t>7. Find the second smallest "Quantity" of orders with a status of "Cancelled".</t>
  </si>
  <si>
    <t>1</t>
  </si>
  <si>
    <t>SOLVED IN DATASET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</si>
  <si>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</si>
  <si>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</si>
  <si>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</si>
  <si>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</si>
  <si>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</si>
  <si>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</si>
  <si>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</si>
  <si>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</si>
  <si>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</si>
  <si>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`=IF(dataset!D2&gt;5,"High","Low")</t>
  </si>
  <si>
    <t>`=IF(dataset!E2&gt;50,"Premium","Standard")</t>
  </si>
  <si>
    <t>`=IF(dataset!F2&lt;44958,"Early","Late")</t>
  </si>
  <si>
    <t>`=IF(OR(dataset!I2="Shipped",dataset!I2="Delivered"),"Shipped","")</t>
  </si>
  <si>
    <t>`=IF(dataset!D2&lt;3,"Low","")</t>
  </si>
  <si>
    <t>`=IF(dataset!J2&gt;500,"Expensive","Affordable")</t>
  </si>
  <si>
    <t>`=IF(dataset!J2&gt;=300,"Eligible for Discount","Not Eligible")</t>
  </si>
  <si>
    <t>`=IF(dataset!F2&lt;44958,"January Order","Other")</t>
  </si>
  <si>
    <t>`=IF(OR(dataset!I2="Pending",dataset!I2="Cancelled"),"Urgent","")</t>
  </si>
  <si>
    <t>Product ID no.s</t>
  </si>
  <si>
    <t>`=IF(ISEVEN(dataset!U2),"Even","Odd")</t>
  </si>
  <si>
    <t>`=IFERROR(dataset!E2/dataset!D2,"NA")</t>
  </si>
  <si>
    <t>`=IFERROR(dataset!D2*dataset!E2,"Data Error")</t>
  </si>
  <si>
    <t>`=IFERROR(dataset!G2-dataset!H2,"NA")</t>
  </si>
  <si>
    <t>`=IFERROR(VLOOKUP(dataset!A2,Table1[[Order ID]:[Price per Unit]],5,0),"Price not found")</t>
  </si>
  <si>
    <t>`=IFERROR(dataset!D2*dataset!E2,"Invalid Data")</t>
  </si>
  <si>
    <t>`=IFERROR(MODE.SNGL(Table1[Quantity]),"No Value")</t>
  </si>
  <si>
    <t>`=IFERROR(AVERAGE(Table1[Price per Unit]),"Not applicable")</t>
  </si>
  <si>
    <t>`=IFERROR(RANK.EQ(dataset!J2,Table1[Total Price]),"NA")</t>
  </si>
  <si>
    <t>`=IFERROR(MEDIAN(Table1[Quantity]),"Error")</t>
  </si>
  <si>
    <t>NOTE : I have just writen the formula for first cell for each column because actually showing it in data set will make dataset very complicated to see data</t>
  </si>
  <si>
    <t>`=AND(Table1[Quantity]&gt;5,Table1[Total Price]&gt;300)</t>
  </si>
  <si>
    <t>`=AND(Table1[Order Date]&lt;44958,Table1[Status]="Delivered")</t>
  </si>
  <si>
    <t>`=AND(Table1[Price per Unit]&gt;20,Table1[Price per Unit]&lt;50,Table1[Quantity]&lt;10)</t>
  </si>
  <si>
    <t>`=AND(Table1[Total Price]&gt;500,Table1[Status]="Shipped")</t>
  </si>
  <si>
    <t>`=AND(Table1[Shipping Date]-Table1[Order Date]&lt;4,NOT(Table1[Status]="Cancelled"))</t>
  </si>
  <si>
    <t>`=AND(Table1[Delivery Date]-Table1[Shipping Date]&gt;0,Table1[Quantity]&gt;3)</t>
  </si>
  <si>
    <t>`=AND(Table1[Price per Unit]&gt;AVERAGE(Table1[Price per Unit]),Table1[Total Price]&lt;MEDIAN(Table1[Total Price]))</t>
  </si>
  <si>
    <t>`=AND(Table1[Quantity]&gt;7,Table1[Status]="Pending")</t>
  </si>
  <si>
    <t>`=IF(AND(OR(WEEKDAY(Table1[Order Date])=1,WEEKDAY(Table1[Order Date])=7),Table1[Total Price]&gt;200),"Special","")</t>
  </si>
  <si>
    <t>`=AND(Table1[Customer Name]="A*",Table1[Product ID no.s]=1)</t>
  </si>
  <si>
    <t>`=OR(Table1[Quantity]&gt;5,Table1[Total Price]&gt;300)</t>
  </si>
  <si>
    <t>`=OR(Table1[Order Date]&lt;44958,Table1[Status]="Delivered")</t>
  </si>
  <si>
    <t>`=OR(Table1[Price per Unit]&gt;50,Table1[Quantity]&lt;3)</t>
  </si>
  <si>
    <t>`=OR(Table1[Total Price]&gt;500,Table1[Status]="Shipped")</t>
  </si>
  <si>
    <t>`=OR(Table1[Shipping Date]&lt;44958,Table1[Delivery Date]&gt;44986)</t>
  </si>
  <si>
    <t>`=OR(Table1[Shipping Date]-Table1[Delivery Date]&gt;0,Table1[Quantity]&gt;7)</t>
  </si>
  <si>
    <t>`=OR(Table1[Price per Unit]&gt;AVERAGE(Table1[Price per Unit]),Table1[Total Price]&lt;MEDIAN(Table1[Total Price]))</t>
  </si>
  <si>
    <t>`=OR(Table1[Quantity]&gt;7,Table1[Status]="Pending")</t>
  </si>
  <si>
    <t>`=IF(OR(WEEKDAY(Table1[Order Date])=1,WEEKDAY(Table1[Order Date])=7,Table1[Total Price]&gt;200),"Special","")</t>
  </si>
  <si>
    <t>`=OR(Table1[Customer Name]="A*",Table1[Product ID no.s]=1)</t>
  </si>
  <si>
    <t>`=NOT(Table1[Status]="Pending")</t>
  </si>
  <si>
    <t>`=NOT(Table1[Total Price]&gt;500)</t>
  </si>
  <si>
    <t>`=NOT(Table1[Quantity]&lt;5)</t>
  </si>
  <si>
    <t>`=NOT(AND(Table1[Price per Unit]&gt;20,Table1[Price per Unit]&lt;50))</t>
  </si>
  <si>
    <t>`=NOT(Table1[Order Date]&lt;44958)</t>
  </si>
  <si>
    <t>`=NOT(Table1[Product]="Product 5")</t>
  </si>
  <si>
    <t>`=NOT(Table1[Total Price]&lt;100)</t>
  </si>
  <si>
    <t>`=NOT(Table1[Shipping Date]&lt;44958)</t>
  </si>
  <si>
    <t>`=NOT(Table1[Customer Name]="A*")</t>
  </si>
  <si>
    <t>`=NOT(Table1[Delivery Date]-Table1[Shipping Date]&gt;0)</t>
  </si>
  <si>
    <t>`=ISNUMBER(Table1[Quantity])</t>
  </si>
  <si>
    <t>`=ISTEXT(Table1[Customer Name])</t>
  </si>
  <si>
    <t>`=ISBLANK(Table1[Price per Unit])</t>
  </si>
  <si>
    <t>`=ISERROR(Table1[Total Price])</t>
  </si>
  <si>
    <t>`=ISNONTEXT(Table1[Order Date])</t>
  </si>
  <si>
    <t>`=ISODD(dataset!D2)</t>
  </si>
  <si>
    <t>`=ISEVEN(dataset!U2)</t>
  </si>
  <si>
    <t>`=ISLOGICAL(Table1[Order Date])</t>
  </si>
  <si>
    <t>`=ISFORMULA(Table1[Total Price])</t>
  </si>
  <si>
    <t>`=ISREF(Table1[Customer Name])</t>
  </si>
  <si>
    <t>`=IF(TRUE(),TRUE,FALSE)</t>
  </si>
  <si>
    <t>`=IF(Table1[Quantity]&gt;0,TRUE,"")</t>
  </si>
  <si>
    <t>`=IF(FALSE(),TRUE,FALSE)</t>
  </si>
  <si>
    <t>`=IF(Table1[Total Price]&lt;0,"",FALSE)</t>
  </si>
  <si>
    <t>`=IF(TRUE(),"Valid","")</t>
  </si>
  <si>
    <t>`=IF(FALSE(),"","Invalid")</t>
  </si>
  <si>
    <t>`=IF(AND(TRUE,TRUE),TRUE,"")</t>
  </si>
  <si>
    <t>`=IF(AND(FALSE,FALSE),"",FALSE)</t>
  </si>
  <si>
    <t>`=VLOOKUP(Table1[Price per Unit],Table1[[Price per Unit]:[Status]],5,FALSE)</t>
  </si>
  <si>
    <t>`=VLOOKUP(Table1[Price per Unit],Table1[[Price per Unit]:[Status]],5,TRUE)</t>
  </si>
  <si>
    <t>`=IF(TRUE(),"Eligible","")</t>
  </si>
  <si>
    <t>`=IF(FALSE(),"","Not Eligible")</t>
  </si>
  <si>
    <t>`=IF(OR(TRUE,FALSE),TRUE,"")</t>
  </si>
  <si>
    <t>`=IF(OR(FALSE,FALSE),"",FALSE)</t>
  </si>
  <si>
    <t>`=IF(IFERROR(TRUE,"NA"),"Not Error","")</t>
  </si>
  <si>
    <t>`=IF(IFERROR(FALSE,"NA"),"","Error")</t>
  </si>
  <si>
    <t>Applied in dataset sheet column H</t>
  </si>
  <si>
    <t>Applied in dataset sheet column I</t>
  </si>
  <si>
    <t>`=IF(TRUE(),"Available","")</t>
  </si>
  <si>
    <t>`=IF(FALSE(),"","Unavailable")</t>
  </si>
  <si>
    <t>`=IFERROR(IF(dataset!J2&gt;=300,"Eligible for Discount","Not Eligible"),"NA")</t>
  </si>
  <si>
    <t>`</t>
  </si>
  <si>
    <t>`=IF(Experience&gt;10,Bonus=20,IF(Experience&lt;10,IF(Experience&gt;5,Bonus=10,""),""))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</si>
</sst>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4" tint="0.59999389629810485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2" fillId="2" borderId="0" xfId="0" applyFont="1" applyFill="1"/>
    <xf numFmtId="0" fontId="0" fillId="0" borderId="0" xfId="0" applyNumberFormat="1"/>
    <xf numFmtId="0" fontId="0" fillId="0" borderId="0" xfId="0" applyAlignment="1">
      <alignment horizontal="center"/>
    </xf>
    <xf numFmtId="0" fontId="5" fillId="5" borderId="0" xfId="3"/>
    <xf numFmtId="0" fontId="5" fillId="5" borderId="0" xfId="3" applyAlignment="1">
      <alignment wrapText="1"/>
    </xf>
    <xf numFmtId="0" fontId="3" fillId="3" borderId="0" xfId="1"/>
    <xf numFmtId="0" fontId="0" fillId="0" borderId="1" xfId="0" applyBorder="1"/>
    <xf numFmtId="49" fontId="0" fillId="0" borderId="1" xfId="0" applyNumberFormat="1" applyBorder="1"/>
    <xf numFmtId="0" fontId="4" fillId="4" borderId="0" xfId="2"/>
    <xf numFmtId="49" fontId="0" fillId="0" borderId="0" xfId="0" applyNumberFormat="1" applyFill="1" applyBorder="1"/>
    <xf numFmtId="16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5" borderId="0" xfId="3" applyAlignment="1">
      <alignment horizontal="center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6" formatCode="dd/mm/yyyy"/>
    </dxf>
    <dxf>
      <numFmt numFmtId="166" formatCode="dd/mm/yyyy"/>
    </dxf>
    <dxf>
      <numFmt numFmtId="19" formatCode="m/d/yyyy"/>
    </dxf>
    <dxf>
      <fill>
        <patternFill>
          <bgColor rgb="FFFF0000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0467BF-38BB-4C80-A9DF-4247FCB393CD}" name="Table1" displayName="Table1" ref="A1:U101" totalsRowShown="0">
  <sortState xmlns:xlrd2="http://schemas.microsoft.com/office/spreadsheetml/2017/richdata2" ref="A2:Q101">
    <sortCondition ref="A1:A101"/>
  </sortState>
  <tableColumns count="21">
    <tableColumn id="1" xr3:uid="{95140ECC-AA75-4400-98E0-F043D8B30254}" name="Order ID"/>
    <tableColumn id="2" xr3:uid="{B1C82A5D-90BC-46E6-9B1A-02044701C678}" name="Customer Name"/>
    <tableColumn id="3" xr3:uid="{5A13B64B-8D58-43F2-A4EB-B3A21FB81920}" name="Product"/>
    <tableColumn id="4" xr3:uid="{2B818A0D-8794-4F35-80C7-4C92B4396B18}" name="Quantity"/>
    <tableColumn id="5" xr3:uid="{D6068523-CFB7-444A-B800-9348C0F54DEC}" name="Price per Unit"/>
    <tableColumn id="6" xr3:uid="{D62D9240-3984-4914-9DBC-466363FD8F0F}" name="Order Date" dataDxfId="13"/>
    <tableColumn id="7" xr3:uid="{4C58D678-ED6C-4B57-9CEF-F27685B1B3BE}" name="Shipping Date" dataDxfId="12"/>
    <tableColumn id="8" xr3:uid="{50C9329F-25BE-432A-A68E-026540618744}" name="Delivery Date" dataDxfId="11"/>
    <tableColumn id="9" xr3:uid="{6C753607-52FF-4875-BAC9-A038699D1B18}" name="Status"/>
    <tableColumn id="10" xr3:uid="{0BDC26B2-41C1-470C-9058-35F93531328F}" name="Total Price"/>
    <tableColumn id="11" xr3:uid="{E7EA0344-1EB1-4129-AD67-8674B5182C0C}" name="1" dataDxfId="10">
      <calculatedColumnFormula>_xlfn.RANK.EQ(Table1[[#This Row],[Quantity]],Table1[Quantity])</calculatedColumnFormula>
    </tableColumn>
    <tableColumn id="12" xr3:uid="{8200ABE1-A0E0-4A6B-B1F6-97A1FBC325A6}" name="2" dataDxfId="9">
      <calculatedColumnFormula>_xlfn.RANK.EQ(Table1[[#This Row],[Price per Unit]],IF(Table1[Order Date]&lt;44958,Table1[Price per Unit],""))</calculatedColumnFormula>
    </tableColumn>
    <tableColumn id="13" xr3:uid="{98AD21B1-C211-466F-AF9E-2FB9B49672AF}" name="3" dataDxfId="8">
      <calculatedColumnFormula>_xlfn.RANK.EQ(Table1[[#This Row],[Total Price]],IF(Table1[Status]="Shipped",Table1[Total Price],"0"))</calculatedColumnFormula>
    </tableColumn>
    <tableColumn id="14" xr3:uid="{98DC44CB-7653-4F5A-866D-AD688551A4D5}" name="4" dataDxfId="7">
      <calculatedColumnFormula>_xlfn.RANK.EQ(Table1[[#This Row],[Quantity]],IF(Table1[Order ID]&gt;1080,IF(Table1[Order ID]&lt;1101,Table1[Quantity],""),""))</calculatedColumnFormula>
    </tableColumn>
    <tableColumn id="15" xr3:uid="{B393EC1C-B1C5-4E48-88B7-3F37377430A1}" name="5" dataDxfId="6">
      <calculatedColumnFormula>_xlfn.RANK.EQ(Table1[[#This Row],[Price per Unit]],IF(OR(Table1[Product]="Product 16",Table1[Product]="Product 17",Table1[Product]="Product 18",Table1[Product]="Product 19",Table1[Product]="Product 20"),Table1[Price per Unit],""))</calculatedColumnFormula>
    </tableColumn>
    <tableColumn id="16" xr3:uid="{1E883386-A5C2-457D-8C9C-66ACBD2AD1A3}" name="6" dataDxfId="5">
      <calculatedColumnFormula>_xlfn.RANK.EQ(Table1[[#This Row],[Total Price]],IF(Table1[Shipping Date]&lt;44986,IF(Table1[Shipping Date]&gt;44957,IF(Table1[Status]="Shipped",Table1[Total Price],""),""),""))</calculatedColumnFormula>
    </tableColumn>
    <tableColumn id="17" xr3:uid="{1CBF8C4F-B1C2-43CE-8875-1C58DE54DF22}" name="7" dataDxfId="4">
      <calculatedColumnFormula>_xlfn.RANK.EQ(Table1[[#This Row],[Quantity]],IF(Table1[Status]="Pending",Table1[Quantity],""))</calculatedColumnFormula>
    </tableColumn>
    <tableColumn id="18" xr3:uid="{6E884725-0DFF-4BF6-BDD1-EFACE9790E09}" name="8" dataDxfId="3">
      <calculatedColumnFormula>_xlfn.RANK.EQ(Table1[[#This Row],[Price per Unit]],IF(Table1[Order ID]&gt;1000,IF(Table1[Order ID]&lt;1021,Table1[Price per Unit],""),""))</calculatedColumnFormula>
    </tableColumn>
    <tableColumn id="19" xr3:uid="{37E48B51-1D90-4D0C-A850-1ABF7CED4B2C}" name="9" dataDxfId="2">
      <calculatedColumnFormula>_xlfn.RANK.EQ(Table1[[#This Row],[Total Price]],IF(Table1[Status]="Cancelled",Table1[Total Price],""))</calculatedColumnFormula>
    </tableColumn>
    <tableColumn id="20" xr3:uid="{22EC6D05-5030-46B5-BAF5-A6B71CD9352C}" name="10" dataDxfId="1">
      <calculatedColumnFormula>_xlfn.RANK.EQ(Table1[[#This Row],[Quantity]],IF(Table1[Order Date]&lt;45017,IF(Table1[Order Date]&gt;44985,Table1[Quantity],""),""))</calculatedColumnFormula>
    </tableColumn>
    <tableColumn id="27" xr3:uid="{1A2E37F4-EFE0-42E6-A55B-64BAE442DCF8}" name="Product ID no.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86156-F4DC-40FD-B339-CA7BCE84444E}">
  <dimension ref="A1:U101"/>
  <sheetViews>
    <sheetView workbookViewId="0">
      <selection activeCell="H14" sqref="H14"/>
    </sheetView>
  </sheetViews>
  <sheetFormatPr defaultRowHeight="14.25"/>
  <cols>
    <col min="1" max="1" width="8.5" bestFit="1" customWidth="1"/>
    <col min="2" max="2" width="15.125" bestFit="1" customWidth="1"/>
    <col min="3" max="3" width="9.75" bestFit="1" customWidth="1"/>
    <col min="4" max="4" width="8.25" bestFit="1" customWidth="1"/>
    <col min="5" max="5" width="13.25" bestFit="1" customWidth="1"/>
    <col min="6" max="6" width="10.75" style="14" bestFit="1" customWidth="1"/>
    <col min="7" max="7" width="13.5" bestFit="1" customWidth="1"/>
    <col min="8" max="8" width="13" bestFit="1" customWidth="1"/>
    <col min="9" max="9" width="9" bestFit="1" customWidth="1"/>
    <col min="10" max="10" width="10.5" bestFit="1" customWidth="1"/>
    <col min="11" max="11" width="2.875" bestFit="1" customWidth="1"/>
    <col min="12" max="12" width="3.875" bestFit="1" customWidth="1"/>
    <col min="13" max="14" width="2.875" bestFit="1" customWidth="1"/>
    <col min="15" max="15" width="2.875" customWidth="1"/>
    <col min="16" max="17" width="2.875" bestFit="1" customWidth="1"/>
    <col min="18" max="18" width="3.875" bestFit="1" customWidth="1"/>
    <col min="19" max="20" width="2.875" bestFit="1" customWidth="1"/>
    <col min="21" max="21" width="14.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s="14" t="s">
        <v>5</v>
      </c>
      <c r="G1" t="s">
        <v>6</v>
      </c>
      <c r="H1" t="s">
        <v>7</v>
      </c>
      <c r="I1" t="s">
        <v>8</v>
      </c>
      <c r="J1" t="s">
        <v>9</v>
      </c>
      <c r="K1" s="6" t="s">
        <v>413</v>
      </c>
      <c r="L1" s="6" t="s">
        <v>415</v>
      </c>
      <c r="M1" s="6" t="s">
        <v>416</v>
      </c>
      <c r="N1" s="6" t="s">
        <v>417</v>
      </c>
      <c r="O1" s="6" t="s">
        <v>418</v>
      </c>
      <c r="P1" s="6" t="s">
        <v>419</v>
      </c>
      <c r="Q1" s="6" t="s">
        <v>420</v>
      </c>
      <c r="R1" s="6" t="s">
        <v>421</v>
      </c>
      <c r="S1" s="6" t="s">
        <v>422</v>
      </c>
      <c r="T1" t="s">
        <v>423</v>
      </c>
      <c r="U1" t="s">
        <v>433</v>
      </c>
    </row>
    <row r="2" spans="1:21">
      <c r="A2">
        <v>1001</v>
      </c>
      <c r="B2" t="s">
        <v>10</v>
      </c>
      <c r="C2" s="2" t="s">
        <v>11</v>
      </c>
      <c r="D2">
        <v>4</v>
      </c>
      <c r="E2">
        <v>48.98</v>
      </c>
      <c r="F2" s="1">
        <v>44927</v>
      </c>
      <c r="G2" s="1">
        <v>44928</v>
      </c>
      <c r="H2" s="1">
        <v>44929</v>
      </c>
      <c r="I2" t="s">
        <v>12</v>
      </c>
      <c r="J2">
        <v>195.92</v>
      </c>
      <c r="K2" s="5">
        <f>_xlfn.RANK.EQ(Table1[[#This Row],[Quantity]],Table1[Quantity])</f>
        <v>56</v>
      </c>
      <c r="L2">
        <f>_xlfn.RANK.EQ(Table1[[#This Row],[Price per Unit]],IF(Table1[Order Date]&lt;44958,Table1[Price per Unit],""))</f>
        <v>33</v>
      </c>
      <c r="N2" s="5"/>
      <c r="O2" s="5"/>
      <c r="P2" s="5"/>
      <c r="Q2" s="5"/>
      <c r="R2" s="5">
        <f>_xlfn.RANK.EQ(Table1[[#This Row],[Price per Unit]],IF(Table1[Order ID]&gt;1000,IF(Table1[Order ID]&lt;1021,Table1[Price per Unit],""),""))</f>
        <v>33</v>
      </c>
      <c r="S2" s="5"/>
      <c r="T2" s="5"/>
      <c r="U2" s="5">
        <v>7</v>
      </c>
    </row>
    <row r="3" spans="1:21">
      <c r="A3">
        <v>1002</v>
      </c>
      <c r="B3" t="s">
        <v>13</v>
      </c>
      <c r="C3" t="s">
        <v>14</v>
      </c>
      <c r="D3">
        <v>7</v>
      </c>
      <c r="E3">
        <v>71.14</v>
      </c>
      <c r="F3" s="1">
        <v>44928</v>
      </c>
      <c r="G3" s="1">
        <v>44929</v>
      </c>
      <c r="H3" s="1">
        <v>44930</v>
      </c>
      <c r="I3" t="s">
        <v>15</v>
      </c>
      <c r="J3">
        <v>498.98</v>
      </c>
      <c r="K3" s="5">
        <f>_xlfn.RANK.EQ(Table1[[#This Row],[Quantity]],Table1[Quantity])</f>
        <v>17</v>
      </c>
      <c r="L3">
        <f>_xlfn.RANK.EQ(Table1[[#This Row],[Price per Unit]],IF(Table1[Order Date]&lt;44958,Table1[Price per Unit],""))</f>
        <v>8</v>
      </c>
      <c r="M3">
        <f>_xlfn.RANK.EQ(Table1[[#This Row],[Total Price]],IF(Table1[Status]="Shipped",Table1[Total Price],"0"))</f>
        <v>2</v>
      </c>
      <c r="N3" s="5"/>
      <c r="O3" s="5"/>
      <c r="P3" s="5"/>
      <c r="Q3" s="5"/>
      <c r="R3" s="5">
        <f>_xlfn.RANK.EQ(Table1[[#This Row],[Price per Unit]],IF(Table1[Order ID]&gt;1000,IF(Table1[Order ID]&lt;1021,Table1[Price per Unit],""),""))</f>
        <v>8</v>
      </c>
      <c r="S3" s="5"/>
      <c r="T3" s="5"/>
      <c r="U3" s="5">
        <v>15</v>
      </c>
    </row>
    <row r="4" spans="1:21">
      <c r="A4">
        <v>1003</v>
      </c>
      <c r="B4" t="s">
        <v>16</v>
      </c>
      <c r="C4" t="s">
        <v>17</v>
      </c>
      <c r="D4">
        <v>8</v>
      </c>
      <c r="E4">
        <v>11.24</v>
      </c>
      <c r="F4" s="1">
        <v>44929</v>
      </c>
      <c r="G4" s="1">
        <v>44930</v>
      </c>
      <c r="H4" s="1">
        <v>44931</v>
      </c>
      <c r="I4" t="s">
        <v>18</v>
      </c>
      <c r="J4">
        <v>89.92</v>
      </c>
      <c r="K4" s="5">
        <f>_xlfn.RANK.EQ(Table1[[#This Row],[Quantity]],Table1[Quantity])</f>
        <v>9</v>
      </c>
      <c r="L4">
        <f>_xlfn.RANK.EQ(Table1[[#This Row],[Price per Unit]],IF(Table1[Order Date]&lt;44958,Table1[Price per Unit],""))</f>
        <v>100</v>
      </c>
      <c r="N4" s="5"/>
      <c r="O4" s="5"/>
      <c r="P4" s="5"/>
      <c r="Q4" s="5"/>
      <c r="R4" s="5">
        <f>_xlfn.RANK.EQ(Table1[[#This Row],[Price per Unit]],IF(Table1[Order ID]&gt;1000,IF(Table1[Order ID]&lt;1021,Table1[Price per Unit],""),""))</f>
        <v>100</v>
      </c>
      <c r="S4" s="5">
        <f>_xlfn.RANK.EQ(Table1[[#This Row],[Total Price]],IF(Table1[Status]="Cancelled",Table1[Total Price],""))</f>
        <v>75</v>
      </c>
      <c r="T4" s="5"/>
      <c r="U4" s="5">
        <v>5</v>
      </c>
    </row>
    <row r="5" spans="1:21">
      <c r="A5">
        <v>1004</v>
      </c>
      <c r="B5" t="s">
        <v>19</v>
      </c>
      <c r="C5" t="s">
        <v>20</v>
      </c>
      <c r="D5">
        <v>5</v>
      </c>
      <c r="E5">
        <v>54.21</v>
      </c>
      <c r="F5" s="1">
        <v>44930</v>
      </c>
      <c r="G5" s="1">
        <v>44931</v>
      </c>
      <c r="H5" s="1">
        <v>44932</v>
      </c>
      <c r="I5" t="s">
        <v>21</v>
      </c>
      <c r="J5">
        <v>271.05</v>
      </c>
      <c r="K5" s="5">
        <f>_xlfn.RANK.EQ(Table1[[#This Row],[Quantity]],Table1[Quantity])</f>
        <v>42</v>
      </c>
      <c r="L5">
        <f>_xlfn.RANK.EQ(Table1[[#This Row],[Price per Unit]],IF(Table1[Order Date]&lt;44958,Table1[Price per Unit],""))</f>
        <v>24</v>
      </c>
      <c r="N5" s="5"/>
      <c r="O5" s="5"/>
      <c r="P5" s="5"/>
      <c r="Q5" s="5">
        <f>_xlfn.RANK.EQ(Table1[[#This Row],[Quantity]],IF(Table1[Status]="Pending",Table1[Quantity],""))</f>
        <v>42</v>
      </c>
      <c r="R5" s="5">
        <f>_xlfn.RANK.EQ(Table1[[#This Row],[Price per Unit]],IF(Table1[Order ID]&gt;1000,IF(Table1[Order ID]&lt;1021,Table1[Price per Unit],""),""))</f>
        <v>24</v>
      </c>
      <c r="S5" s="5"/>
      <c r="T5" s="5"/>
      <c r="U5" s="5">
        <v>13</v>
      </c>
    </row>
    <row r="6" spans="1:21">
      <c r="A6">
        <v>1005</v>
      </c>
      <c r="B6" t="s">
        <v>22</v>
      </c>
      <c r="C6" t="s">
        <v>23</v>
      </c>
      <c r="D6">
        <v>2</v>
      </c>
      <c r="E6">
        <v>22.48</v>
      </c>
      <c r="F6" s="1">
        <v>44931</v>
      </c>
      <c r="G6" s="1">
        <v>44932</v>
      </c>
      <c r="H6" s="1">
        <v>44933</v>
      </c>
      <c r="I6" t="s">
        <v>12</v>
      </c>
      <c r="J6">
        <v>73.16</v>
      </c>
      <c r="K6" s="5">
        <f>_xlfn.RANK.EQ(Table1[[#This Row],[Quantity]],Table1[Quantity])</f>
        <v>82</v>
      </c>
      <c r="L6">
        <f>_xlfn.RANK.EQ(Table1[[#This Row],[Price per Unit]],IF(Table1[Order Date]&lt;44958,Table1[Price per Unit],""))</f>
        <v>78</v>
      </c>
      <c r="N6" s="5"/>
      <c r="O6" s="5"/>
      <c r="P6" s="5"/>
      <c r="Q6" s="5"/>
      <c r="R6" s="5">
        <f>_xlfn.RANK.EQ(Table1[[#This Row],[Price per Unit]],IF(Table1[Order ID]&gt;1000,IF(Table1[Order ID]&lt;1021,Table1[Price per Unit],""),""))</f>
        <v>78</v>
      </c>
      <c r="S6" s="5"/>
      <c r="T6" s="5"/>
      <c r="U6" s="5">
        <v>9</v>
      </c>
    </row>
    <row r="7" spans="1:21">
      <c r="A7">
        <v>1006</v>
      </c>
      <c r="B7" t="s">
        <v>24</v>
      </c>
      <c r="C7" t="s">
        <v>25</v>
      </c>
      <c r="D7">
        <v>9</v>
      </c>
      <c r="E7">
        <v>22.36</v>
      </c>
      <c r="F7" s="1">
        <v>44932</v>
      </c>
      <c r="G7" s="1">
        <v>44933</v>
      </c>
      <c r="H7" s="1">
        <v>44934</v>
      </c>
      <c r="I7" t="s">
        <v>15</v>
      </c>
      <c r="J7">
        <v>201.24</v>
      </c>
      <c r="K7" s="5">
        <f>_xlfn.RANK.EQ(Table1[[#This Row],[Quantity]],Table1[Quantity])</f>
        <v>1</v>
      </c>
      <c r="L7">
        <f>_xlfn.RANK.EQ(Table1[[#This Row],[Price per Unit]],IF(Table1[Order Date]&lt;44958,Table1[Price per Unit],""))</f>
        <v>81</v>
      </c>
      <c r="M7">
        <f>_xlfn.RANK.EQ(Table1[[#This Row],[Total Price]],IF(Table1[Status]="Shipped",Table1[Total Price],"0"))</f>
        <v>42</v>
      </c>
      <c r="N7" s="5"/>
      <c r="O7" s="5"/>
      <c r="P7" s="5"/>
      <c r="Q7" s="5"/>
      <c r="R7" s="5">
        <f>_xlfn.RANK.EQ(Table1[[#This Row],[Price per Unit]],IF(Table1[Order ID]&gt;1000,IF(Table1[Order ID]&lt;1021,Table1[Price per Unit],""),""))</f>
        <v>81</v>
      </c>
      <c r="S7" s="5"/>
      <c r="T7" s="5"/>
      <c r="U7" s="5">
        <v>3</v>
      </c>
    </row>
    <row r="8" spans="1:21">
      <c r="A8">
        <v>1007</v>
      </c>
      <c r="B8" t="s">
        <v>26</v>
      </c>
      <c r="C8" t="s">
        <v>27</v>
      </c>
      <c r="D8">
        <v>1</v>
      </c>
      <c r="E8">
        <v>88.95</v>
      </c>
      <c r="F8" s="1">
        <v>44933</v>
      </c>
      <c r="G8" s="1">
        <v>44934</v>
      </c>
      <c r="H8" s="1">
        <v>44935</v>
      </c>
      <c r="I8" t="s">
        <v>12</v>
      </c>
      <c r="J8">
        <v>88.95</v>
      </c>
      <c r="K8" s="5">
        <f>_xlfn.RANK.EQ(Table1[[#This Row],[Quantity]],Table1[Quantity])</f>
        <v>96</v>
      </c>
      <c r="L8">
        <f>_xlfn.RANK.EQ(Table1[[#This Row],[Price per Unit]],IF(Table1[Order Date]&lt;44958,Table1[Price per Unit],""))</f>
        <v>1</v>
      </c>
      <c r="N8" s="5"/>
      <c r="O8" s="5"/>
      <c r="P8" s="5"/>
      <c r="Q8" s="5"/>
      <c r="R8" s="5">
        <f>_xlfn.RANK.EQ(Table1[[#This Row],[Price per Unit]],IF(Table1[Order ID]&gt;1000,IF(Table1[Order ID]&lt;1021,Table1[Price per Unit],""),""))</f>
        <v>1</v>
      </c>
      <c r="S8" s="5"/>
      <c r="T8" s="5"/>
      <c r="U8" s="5">
        <v>1</v>
      </c>
    </row>
    <row r="9" spans="1:21">
      <c r="A9">
        <v>1008</v>
      </c>
      <c r="B9" t="s">
        <v>28</v>
      </c>
      <c r="C9" t="s">
        <v>29</v>
      </c>
      <c r="D9">
        <v>6</v>
      </c>
      <c r="E9">
        <v>45.67</v>
      </c>
      <c r="F9" s="1">
        <v>44934</v>
      </c>
      <c r="G9" s="1">
        <v>44935</v>
      </c>
      <c r="H9" s="1">
        <v>44936</v>
      </c>
      <c r="I9" t="s">
        <v>21</v>
      </c>
      <c r="J9">
        <v>274.02</v>
      </c>
      <c r="K9" s="5">
        <f>_xlfn.RANK.EQ(Table1[[#This Row],[Quantity]],Table1[Quantity])</f>
        <v>29</v>
      </c>
      <c r="L9">
        <f>_xlfn.RANK.EQ(Table1[[#This Row],[Price per Unit]],IF(Table1[Order Date]&lt;44958,Table1[Price per Unit],""))</f>
        <v>38</v>
      </c>
      <c r="N9" s="5"/>
      <c r="O9" s="5">
        <f>_xlfn.RANK.EQ(Table1[[#This Row],[Price per Unit]],IF(OR(Table1[Product]="Product 16",Table1[Product]="Product 17",Table1[Product]="Product 18",Table1[Product]="Product 19",Table1[Product]="Product 20"),Table1[Price per Unit],""))</f>
        <v>38</v>
      </c>
      <c r="P9" s="5"/>
      <c r="Q9" s="5">
        <f>_xlfn.RANK.EQ(Table1[[#This Row],[Quantity]],IF(Table1[Status]="Pending",Table1[Quantity],""))</f>
        <v>29</v>
      </c>
      <c r="R9" s="5">
        <f>_xlfn.RANK.EQ(Table1[[#This Row],[Price per Unit]],IF(Table1[Order ID]&gt;1000,IF(Table1[Order ID]&lt;1021,Table1[Price per Unit],""),""))</f>
        <v>38</v>
      </c>
      <c r="S9" s="5"/>
      <c r="T9" s="5"/>
      <c r="U9" s="5">
        <v>18</v>
      </c>
    </row>
    <row r="10" spans="1:21">
      <c r="A10">
        <v>1009</v>
      </c>
      <c r="B10" t="s">
        <v>30</v>
      </c>
      <c r="C10" t="s">
        <v>31</v>
      </c>
      <c r="D10">
        <v>3</v>
      </c>
      <c r="E10">
        <v>19.45</v>
      </c>
      <c r="F10" s="1">
        <v>44935</v>
      </c>
      <c r="G10" s="1">
        <v>44936</v>
      </c>
      <c r="H10" s="1">
        <v>44937</v>
      </c>
      <c r="I10" t="s">
        <v>18</v>
      </c>
      <c r="J10">
        <v>58.35</v>
      </c>
      <c r="K10" s="5">
        <f>_xlfn.RANK.EQ(Table1[[#This Row],[Quantity]],Table1[Quantity])</f>
        <v>68</v>
      </c>
      <c r="L10">
        <f>_xlfn.RANK.EQ(Table1[[#This Row],[Price per Unit]],IF(Table1[Order Date]&lt;44958,Table1[Price per Unit],""))</f>
        <v>87</v>
      </c>
      <c r="N10" s="5"/>
      <c r="O10" s="5"/>
      <c r="P10" s="5"/>
      <c r="Q10" s="5"/>
      <c r="R10" s="5">
        <f>_xlfn.RANK.EQ(Table1[[#This Row],[Price per Unit]],IF(Table1[Order ID]&gt;1000,IF(Table1[Order ID]&lt;1021,Table1[Price per Unit],""),""))</f>
        <v>87</v>
      </c>
      <c r="S10" s="5">
        <f>_xlfn.RANK.EQ(Table1[[#This Row],[Total Price]],IF(Table1[Status]="Cancelled",Table1[Total Price],""))</f>
        <v>91</v>
      </c>
      <c r="T10" s="5"/>
      <c r="U10" s="5">
        <v>12</v>
      </c>
    </row>
    <row r="11" spans="1:21">
      <c r="A11">
        <v>1010</v>
      </c>
      <c r="B11" t="s">
        <v>32</v>
      </c>
      <c r="C11" t="s">
        <v>33</v>
      </c>
      <c r="D11">
        <v>7</v>
      </c>
      <c r="E11">
        <v>78.23</v>
      </c>
      <c r="F11" s="1">
        <v>44936</v>
      </c>
      <c r="G11" s="1">
        <v>44937</v>
      </c>
      <c r="H11" s="1">
        <v>44938</v>
      </c>
      <c r="I11" t="s">
        <v>15</v>
      </c>
      <c r="J11">
        <v>547.61</v>
      </c>
      <c r="K11" s="5">
        <f>_xlfn.RANK.EQ(Table1[[#This Row],[Quantity]],Table1[Quantity])</f>
        <v>17</v>
      </c>
      <c r="L11">
        <f>_xlfn.RANK.EQ(Table1[[#This Row],[Price per Unit]],IF(Table1[Order Date]&lt;44958,Table1[Price per Unit],""))</f>
        <v>4</v>
      </c>
      <c r="M11">
        <f>_xlfn.RANK.EQ(Table1[[#This Row],[Total Price]],IF(Table1[Status]="Shipped",Table1[Total Price],"0"))</f>
        <v>1</v>
      </c>
      <c r="N11" s="5"/>
      <c r="O11" s="5"/>
      <c r="P11" s="5"/>
      <c r="Q11" s="5"/>
      <c r="R11" s="5">
        <f>_xlfn.RANK.EQ(Table1[[#This Row],[Price per Unit]],IF(Table1[Order ID]&gt;1000,IF(Table1[Order ID]&lt;1021,Table1[Price per Unit],""),""))</f>
        <v>4</v>
      </c>
      <c r="S11" s="5"/>
      <c r="T11" s="5"/>
      <c r="U11" s="5">
        <v>4</v>
      </c>
    </row>
    <row r="12" spans="1:21">
      <c r="A12">
        <v>1011</v>
      </c>
      <c r="B12" t="s">
        <v>34</v>
      </c>
      <c r="C12" t="s">
        <v>35</v>
      </c>
      <c r="D12">
        <v>5</v>
      </c>
      <c r="E12">
        <v>12.47</v>
      </c>
      <c r="F12" s="1">
        <v>44937</v>
      </c>
      <c r="G12" s="1">
        <v>44938</v>
      </c>
      <c r="H12" s="1">
        <v>44939</v>
      </c>
      <c r="I12" t="s">
        <v>12</v>
      </c>
      <c r="J12">
        <v>62.35</v>
      </c>
      <c r="K12" s="5">
        <f>_xlfn.RANK.EQ(Table1[[#This Row],[Quantity]],Table1[Quantity])</f>
        <v>42</v>
      </c>
      <c r="L12">
        <f>_xlfn.RANK.EQ(Table1[[#This Row],[Price per Unit]],IF(Table1[Order Date]&lt;44958,Table1[Price per Unit],""))</f>
        <v>98</v>
      </c>
      <c r="N12" s="5"/>
      <c r="O12" s="5">
        <f>_xlfn.RANK.EQ(Table1[[#This Row],[Price per Unit]],IF(OR(Table1[Product]="Product 16",Table1[Product]="Product 17",Table1[Product]="Product 18",Table1[Product]="Product 19",Table1[Product]="Product 20"),Table1[Price per Unit],""))</f>
        <v>98</v>
      </c>
      <c r="P12" s="5"/>
      <c r="Q12" s="5"/>
      <c r="R12" s="5">
        <f>_xlfn.RANK.EQ(Table1[[#This Row],[Price per Unit]],IF(Table1[Order ID]&gt;1000,IF(Table1[Order ID]&lt;1021,Table1[Price per Unit],""),""))</f>
        <v>98</v>
      </c>
      <c r="S12" s="5"/>
      <c r="T12" s="5"/>
      <c r="U12" s="5">
        <v>16</v>
      </c>
    </row>
    <row r="13" spans="1:21">
      <c r="A13">
        <v>1012</v>
      </c>
      <c r="B13" t="s">
        <v>36</v>
      </c>
      <c r="C13" t="s">
        <v>37</v>
      </c>
      <c r="D13">
        <v>2</v>
      </c>
      <c r="E13">
        <v>53.22</v>
      </c>
      <c r="F13" s="1">
        <v>44938</v>
      </c>
      <c r="G13" s="1">
        <v>44939</v>
      </c>
      <c r="H13" s="1">
        <v>44940</v>
      </c>
      <c r="I13" t="s">
        <v>21</v>
      </c>
      <c r="J13">
        <v>106.44</v>
      </c>
      <c r="K13" s="5">
        <f>_xlfn.RANK.EQ(Table1[[#This Row],[Quantity]],Table1[Quantity])</f>
        <v>82</v>
      </c>
      <c r="L13">
        <f>_xlfn.RANK.EQ(Table1[[#This Row],[Price per Unit]],IF(Table1[Order Date]&lt;44958,Table1[Price per Unit],""))</f>
        <v>25</v>
      </c>
      <c r="N13" s="5"/>
      <c r="O13" s="5"/>
      <c r="P13" s="5"/>
      <c r="Q13" s="5">
        <f>_xlfn.RANK.EQ(Table1[[#This Row],[Quantity]],IF(Table1[Status]="Pending",Table1[Quantity],""))</f>
        <v>82</v>
      </c>
      <c r="R13" s="5">
        <f>_xlfn.RANK.EQ(Table1[[#This Row],[Price per Unit]],IF(Table1[Order ID]&gt;1000,IF(Table1[Order ID]&lt;1021,Table1[Price per Unit],""),""))</f>
        <v>25</v>
      </c>
      <c r="S13" s="5"/>
      <c r="T13" s="5"/>
      <c r="U13" s="5">
        <v>6</v>
      </c>
    </row>
    <row r="14" spans="1:21">
      <c r="A14">
        <v>1013</v>
      </c>
      <c r="B14" t="s">
        <v>38</v>
      </c>
      <c r="C14" t="s">
        <v>39</v>
      </c>
      <c r="D14">
        <v>9</v>
      </c>
      <c r="E14">
        <v>34.79</v>
      </c>
      <c r="F14" s="1">
        <v>44939</v>
      </c>
      <c r="G14" s="1">
        <v>44940</v>
      </c>
      <c r="H14" s="1">
        <v>44941</v>
      </c>
      <c r="I14" t="s">
        <v>15</v>
      </c>
      <c r="J14">
        <v>313.11</v>
      </c>
      <c r="K14" s="5">
        <f>_xlfn.RANK.EQ(Table1[[#This Row],[Quantity]],Table1[Quantity])</f>
        <v>1</v>
      </c>
      <c r="L14">
        <f>_xlfn.RANK.EQ(Table1[[#This Row],[Price per Unit]],IF(Table1[Order Date]&lt;44958,Table1[Price per Unit],""))</f>
        <v>58</v>
      </c>
      <c r="M14">
        <f>_xlfn.RANK.EQ(Table1[[#This Row],[Total Price]],IF(Table1[Status]="Shipped",Table1[Total Price],"0"))</f>
        <v>20</v>
      </c>
      <c r="N14" s="5"/>
      <c r="O14" s="5"/>
      <c r="P14" s="5"/>
      <c r="Q14" s="5"/>
      <c r="R14" s="5">
        <f>_xlfn.RANK.EQ(Table1[[#This Row],[Price per Unit]],IF(Table1[Order ID]&gt;1000,IF(Table1[Order ID]&lt;1021,Table1[Price per Unit],""),""))</f>
        <v>58</v>
      </c>
      <c r="S14" s="5"/>
      <c r="T14" s="5"/>
      <c r="U14" s="5">
        <v>10</v>
      </c>
    </row>
    <row r="15" spans="1:21">
      <c r="A15">
        <v>1014</v>
      </c>
      <c r="B15" t="s">
        <v>40</v>
      </c>
      <c r="C15" t="s">
        <v>41</v>
      </c>
      <c r="D15">
        <v>4</v>
      </c>
      <c r="E15">
        <v>66.41</v>
      </c>
      <c r="F15" s="1">
        <v>44940</v>
      </c>
      <c r="G15" s="1">
        <v>44941</v>
      </c>
      <c r="H15" s="1">
        <v>44942</v>
      </c>
      <c r="I15" t="s">
        <v>12</v>
      </c>
      <c r="J15">
        <v>265.64</v>
      </c>
      <c r="K15" s="5">
        <f>_xlfn.RANK.EQ(Table1[[#This Row],[Quantity]],Table1[Quantity])</f>
        <v>56</v>
      </c>
      <c r="L15">
        <f>_xlfn.RANK.EQ(Table1[[#This Row],[Price per Unit]],IF(Table1[Order Date]&lt;44958,Table1[Price per Unit],""))</f>
        <v>12</v>
      </c>
      <c r="N15" s="5"/>
      <c r="O15" s="5"/>
      <c r="P15" s="5"/>
      <c r="Q15" s="5"/>
      <c r="R15" s="5">
        <f>_xlfn.RANK.EQ(Table1[[#This Row],[Price per Unit]],IF(Table1[Order ID]&gt;1000,IF(Table1[Order ID]&lt;1021,Table1[Price per Unit],""),""))</f>
        <v>12</v>
      </c>
      <c r="S15" s="5"/>
      <c r="T15" s="5"/>
      <c r="U15" s="5">
        <v>11</v>
      </c>
    </row>
    <row r="16" spans="1:21">
      <c r="A16">
        <v>1015</v>
      </c>
      <c r="B16" t="s">
        <v>42</v>
      </c>
      <c r="C16" t="s">
        <v>43</v>
      </c>
      <c r="D16">
        <v>6</v>
      </c>
      <c r="E16">
        <v>55.32</v>
      </c>
      <c r="F16" s="1">
        <v>44941</v>
      </c>
      <c r="G16" s="1">
        <v>44942</v>
      </c>
      <c r="H16" s="1">
        <v>44943</v>
      </c>
      <c r="I16" t="s">
        <v>18</v>
      </c>
      <c r="J16">
        <v>143.01</v>
      </c>
      <c r="K16" s="5">
        <f>_xlfn.RANK.EQ(Table1[[#This Row],[Quantity]],Table1[Quantity])</f>
        <v>29</v>
      </c>
      <c r="L16">
        <f>_xlfn.RANK.EQ(Table1[[#This Row],[Price per Unit]],IF(Table1[Order Date]&lt;44958,Table1[Price per Unit],""))</f>
        <v>23</v>
      </c>
      <c r="N16" s="5"/>
      <c r="O16" s="5">
        <f>_xlfn.RANK.EQ(Table1[[#This Row],[Price per Unit]],IF(OR(Table1[Product]="Product 16",Table1[Product]="Product 17",Table1[Product]="Product 18",Table1[Product]="Product 19",Table1[Product]="Product 20"),Table1[Price per Unit],""))</f>
        <v>23</v>
      </c>
      <c r="P16" s="5"/>
      <c r="Q16" s="5"/>
      <c r="R16" s="5">
        <f>_xlfn.RANK.EQ(Table1[[#This Row],[Price per Unit]],IF(Table1[Order ID]&gt;1000,IF(Table1[Order ID]&lt;1021,Table1[Price per Unit],""),""))</f>
        <v>23</v>
      </c>
      <c r="S16" s="5">
        <f>_xlfn.RANK.EQ(Table1[[#This Row],[Total Price]],IF(Table1[Status]="Cancelled",Table1[Total Price],""))</f>
        <v>59</v>
      </c>
      <c r="T16" s="5"/>
      <c r="U16" s="5">
        <v>19</v>
      </c>
    </row>
    <row r="17" spans="1:21">
      <c r="A17">
        <v>1016</v>
      </c>
      <c r="B17" t="s">
        <v>44</v>
      </c>
      <c r="C17" t="s">
        <v>45</v>
      </c>
      <c r="D17">
        <v>3</v>
      </c>
      <c r="E17">
        <v>17.22</v>
      </c>
      <c r="F17" s="1">
        <v>44942</v>
      </c>
      <c r="G17" s="1">
        <v>44943</v>
      </c>
      <c r="H17" s="1">
        <v>44944</v>
      </c>
      <c r="I17" t="s">
        <v>21</v>
      </c>
      <c r="J17">
        <v>51.66</v>
      </c>
      <c r="K17" s="5">
        <f>_xlfn.RANK.EQ(Table1[[#This Row],[Quantity]],Table1[Quantity])</f>
        <v>68</v>
      </c>
      <c r="L17">
        <f>_xlfn.RANK.EQ(Table1[[#This Row],[Price per Unit]],IF(Table1[Order Date]&lt;44958,Table1[Price per Unit],""))</f>
        <v>93</v>
      </c>
      <c r="N17" s="5"/>
      <c r="O17" s="5"/>
      <c r="P17" s="5"/>
      <c r="Q17" s="5">
        <f>_xlfn.RANK.EQ(Table1[[#This Row],[Quantity]],IF(Table1[Status]="Pending",Table1[Quantity],""))</f>
        <v>68</v>
      </c>
      <c r="R17" s="5">
        <f>_xlfn.RANK.EQ(Table1[[#This Row],[Price per Unit]],IF(Table1[Order ID]&gt;1000,IF(Table1[Order ID]&lt;1021,Table1[Price per Unit],""),""))</f>
        <v>93</v>
      </c>
      <c r="S17" s="5"/>
      <c r="T17" s="5"/>
      <c r="U17" s="5">
        <v>8</v>
      </c>
    </row>
    <row r="18" spans="1:21">
      <c r="A18">
        <v>1017</v>
      </c>
      <c r="B18" t="s">
        <v>46</v>
      </c>
      <c r="C18" t="s">
        <v>47</v>
      </c>
      <c r="D18">
        <v>5</v>
      </c>
      <c r="E18">
        <v>29.58</v>
      </c>
      <c r="F18" s="1">
        <v>44943</v>
      </c>
      <c r="G18" s="1">
        <v>44944</v>
      </c>
      <c r="H18" s="1">
        <v>44945</v>
      </c>
      <c r="I18" t="s">
        <v>15</v>
      </c>
      <c r="J18">
        <v>147.9</v>
      </c>
      <c r="K18" s="5">
        <f>_xlfn.RANK.EQ(Table1[[#This Row],[Quantity]],Table1[Quantity])</f>
        <v>42</v>
      </c>
      <c r="L18">
        <f>_xlfn.RANK.EQ(Table1[[#This Row],[Price per Unit]],IF(Table1[Order Date]&lt;44958,Table1[Price per Unit],""))</f>
        <v>67</v>
      </c>
      <c r="M18">
        <f>_xlfn.RANK.EQ(Table1[[#This Row],[Total Price]],IF(Table1[Status]="Shipped",Table1[Total Price],"0"))</f>
        <v>56</v>
      </c>
      <c r="N18" s="5"/>
      <c r="O18" s="5"/>
      <c r="P18" s="5"/>
      <c r="Q18" s="5"/>
      <c r="R18" s="5">
        <f>_xlfn.RANK.EQ(Table1[[#This Row],[Price per Unit]],IF(Table1[Order ID]&gt;1000,IF(Table1[Order ID]&lt;1021,Table1[Price per Unit],""),""))</f>
        <v>67</v>
      </c>
      <c r="S18" s="5"/>
      <c r="T18" s="5"/>
      <c r="U18" s="5">
        <v>14</v>
      </c>
    </row>
    <row r="19" spans="1:21">
      <c r="A19">
        <v>1018</v>
      </c>
      <c r="B19" t="s">
        <v>48</v>
      </c>
      <c r="C19" t="s">
        <v>49</v>
      </c>
      <c r="D19">
        <v>8</v>
      </c>
      <c r="E19">
        <v>43.18</v>
      </c>
      <c r="F19" s="1">
        <v>44944</v>
      </c>
      <c r="G19" s="1">
        <v>44945</v>
      </c>
      <c r="H19" s="1">
        <v>44946</v>
      </c>
      <c r="I19" t="s">
        <v>12</v>
      </c>
      <c r="J19">
        <v>345.44</v>
      </c>
      <c r="K19" s="5">
        <f>_xlfn.RANK.EQ(Table1[[#This Row],[Quantity]],Table1[Quantity])</f>
        <v>9</v>
      </c>
      <c r="L19">
        <f>_xlfn.RANK.EQ(Table1[[#This Row],[Price per Unit]],IF(Table1[Order Date]&lt;44958,Table1[Price per Unit],""))</f>
        <v>45</v>
      </c>
      <c r="N19" s="5"/>
      <c r="O19" s="5"/>
      <c r="P19" s="5"/>
      <c r="Q19" s="5"/>
      <c r="R19" s="5">
        <f>_xlfn.RANK.EQ(Table1[[#This Row],[Price per Unit]],IF(Table1[Order ID]&gt;1000,IF(Table1[Order ID]&lt;1021,Table1[Price per Unit],""),""))</f>
        <v>45</v>
      </c>
      <c r="S19" s="5"/>
      <c r="T19" s="5"/>
      <c r="U19" s="5">
        <v>2</v>
      </c>
    </row>
    <row r="20" spans="1:21">
      <c r="A20">
        <v>1019</v>
      </c>
      <c r="B20" t="s">
        <v>50</v>
      </c>
      <c r="C20" t="s">
        <v>11</v>
      </c>
      <c r="D20">
        <v>1</v>
      </c>
      <c r="E20">
        <v>51.26</v>
      </c>
      <c r="F20" s="1">
        <v>44945</v>
      </c>
      <c r="G20" s="1">
        <v>44946</v>
      </c>
      <c r="H20" s="1">
        <v>44947</v>
      </c>
      <c r="I20" t="s">
        <v>21</v>
      </c>
      <c r="J20">
        <v>51.26</v>
      </c>
      <c r="K20" s="5">
        <f>_xlfn.RANK.EQ(Table1[[#This Row],[Quantity]],Table1[Quantity])</f>
        <v>96</v>
      </c>
      <c r="L20">
        <f>_xlfn.RANK.EQ(Table1[[#This Row],[Price per Unit]],IF(Table1[Order Date]&lt;44958,Table1[Price per Unit],""))</f>
        <v>28</v>
      </c>
      <c r="N20" s="5"/>
      <c r="O20" s="5"/>
      <c r="P20" s="5"/>
      <c r="Q20" s="5">
        <f>_xlfn.RANK.EQ(Table1[[#This Row],[Quantity]],IF(Table1[Status]="Pending",Table1[Quantity],""))</f>
        <v>96</v>
      </c>
      <c r="R20" s="5">
        <f>_xlfn.RANK.EQ(Table1[[#This Row],[Price per Unit]],IF(Table1[Order ID]&gt;1000,IF(Table1[Order ID]&lt;1021,Table1[Price per Unit],""),""))</f>
        <v>28</v>
      </c>
      <c r="S20" s="5"/>
      <c r="T20" s="5"/>
      <c r="U20" s="5">
        <v>7</v>
      </c>
    </row>
    <row r="21" spans="1:21">
      <c r="A21">
        <v>1020</v>
      </c>
      <c r="B21" t="s">
        <v>51</v>
      </c>
      <c r="C21" t="s">
        <v>14</v>
      </c>
      <c r="D21">
        <v>4</v>
      </c>
      <c r="E21">
        <v>19.45</v>
      </c>
      <c r="F21" s="1">
        <v>44946</v>
      </c>
      <c r="G21" s="1">
        <v>44947</v>
      </c>
      <c r="H21" s="1">
        <v>44948</v>
      </c>
      <c r="I21" t="s">
        <v>15</v>
      </c>
      <c r="J21">
        <v>248.56</v>
      </c>
      <c r="K21" s="5">
        <f>_xlfn.RANK.EQ(Table1[[#This Row],[Quantity]],Table1[Quantity])</f>
        <v>56</v>
      </c>
      <c r="L21">
        <f>_xlfn.RANK.EQ(Table1[[#This Row],[Price per Unit]],IF(Table1[Order Date]&lt;44958,Table1[Price per Unit],""))</f>
        <v>87</v>
      </c>
      <c r="M21">
        <f>_xlfn.RANK.EQ(Table1[[#This Row],[Total Price]],IF(Table1[Status]="Shipped",Table1[Total Price],"0"))</f>
        <v>36</v>
      </c>
      <c r="N21" s="5"/>
      <c r="O21" s="5"/>
      <c r="P21" s="5"/>
      <c r="Q21" s="5"/>
      <c r="R21" s="5">
        <f>_xlfn.RANK.EQ(Table1[[#This Row],[Price per Unit]],IF(Table1[Order ID]&gt;1000,IF(Table1[Order ID]&lt;1021,Table1[Price per Unit],""),""))</f>
        <v>87</v>
      </c>
      <c r="S21" s="5"/>
      <c r="T21" s="5"/>
      <c r="U21" s="5">
        <v>15</v>
      </c>
    </row>
    <row r="22" spans="1:21">
      <c r="A22">
        <v>1021</v>
      </c>
      <c r="B22" t="s">
        <v>52</v>
      </c>
      <c r="C22" t="s">
        <v>17</v>
      </c>
      <c r="D22">
        <v>3</v>
      </c>
      <c r="E22">
        <v>29.33</v>
      </c>
      <c r="F22" s="1">
        <v>44947</v>
      </c>
      <c r="G22" s="1">
        <v>44948</v>
      </c>
      <c r="H22" s="1">
        <v>44949</v>
      </c>
      <c r="I22" t="s">
        <v>12</v>
      </c>
      <c r="J22">
        <v>62.35</v>
      </c>
      <c r="K22" s="5">
        <f>_xlfn.RANK.EQ(Table1[[#This Row],[Quantity]],Table1[Quantity])</f>
        <v>68</v>
      </c>
      <c r="L22">
        <f>_xlfn.RANK.EQ(Table1[[#This Row],[Price per Unit]],IF(Table1[Order Date]&lt;44958,Table1[Price per Unit],""))</f>
        <v>68</v>
      </c>
      <c r="N22" s="5"/>
      <c r="O22" s="5"/>
      <c r="P22" s="5"/>
      <c r="Q22" s="5"/>
      <c r="R22" s="5"/>
      <c r="S22" s="5"/>
      <c r="T22" s="5"/>
      <c r="U22" s="5">
        <v>5</v>
      </c>
    </row>
    <row r="23" spans="1:21">
      <c r="A23">
        <v>1022</v>
      </c>
      <c r="B23" t="s">
        <v>53</v>
      </c>
      <c r="C23" t="s">
        <v>20</v>
      </c>
      <c r="D23">
        <v>6</v>
      </c>
      <c r="E23">
        <v>58.97</v>
      </c>
      <c r="F23" s="1">
        <v>44948</v>
      </c>
      <c r="G23" s="1">
        <v>44949</v>
      </c>
      <c r="H23" s="1">
        <v>44950</v>
      </c>
      <c r="I23" t="s">
        <v>21</v>
      </c>
      <c r="J23">
        <v>353.82</v>
      </c>
      <c r="K23" s="5">
        <f>_xlfn.RANK.EQ(Table1[[#This Row],[Quantity]],Table1[Quantity])</f>
        <v>29</v>
      </c>
      <c r="L23">
        <f>_xlfn.RANK.EQ(Table1[[#This Row],[Price per Unit]],IF(Table1[Order Date]&lt;44958,Table1[Price per Unit],""))</f>
        <v>19</v>
      </c>
      <c r="N23" s="5"/>
      <c r="O23" s="5"/>
      <c r="P23" s="5"/>
      <c r="Q23" s="5">
        <f>_xlfn.RANK.EQ(Table1[[#This Row],[Quantity]],IF(Table1[Status]="Pending",Table1[Quantity],""))</f>
        <v>29</v>
      </c>
      <c r="R23" s="5"/>
      <c r="S23" s="5"/>
      <c r="T23" s="5"/>
      <c r="U23" s="5">
        <v>13</v>
      </c>
    </row>
    <row r="24" spans="1:21">
      <c r="A24">
        <v>1023</v>
      </c>
      <c r="B24" t="s">
        <v>54</v>
      </c>
      <c r="C24" t="s">
        <v>23</v>
      </c>
      <c r="D24">
        <v>5</v>
      </c>
      <c r="E24">
        <v>22.48</v>
      </c>
      <c r="F24" s="1">
        <v>44949</v>
      </c>
      <c r="G24" s="1">
        <v>44950</v>
      </c>
      <c r="H24" s="1">
        <v>44951</v>
      </c>
      <c r="I24" t="s">
        <v>15</v>
      </c>
      <c r="J24">
        <v>112.4</v>
      </c>
      <c r="K24" s="5">
        <f>_xlfn.RANK.EQ(Table1[[#This Row],[Quantity]],Table1[Quantity])</f>
        <v>42</v>
      </c>
      <c r="L24">
        <f>_xlfn.RANK.EQ(Table1[[#This Row],[Price per Unit]],IF(Table1[Order Date]&lt;44958,Table1[Price per Unit],""))</f>
        <v>78</v>
      </c>
      <c r="M24">
        <f>_xlfn.RANK.EQ(Table1[[#This Row],[Total Price]],IF(Table1[Status]="Shipped",Table1[Total Price],"0"))</f>
        <v>70</v>
      </c>
      <c r="N24" s="5"/>
      <c r="O24" s="5"/>
      <c r="P24" s="5"/>
      <c r="Q24" s="5"/>
      <c r="R24" s="5"/>
      <c r="S24" s="5"/>
      <c r="T24" s="5"/>
      <c r="U24" s="5">
        <v>9</v>
      </c>
    </row>
    <row r="25" spans="1:21">
      <c r="A25">
        <v>1024</v>
      </c>
      <c r="B25" t="s">
        <v>55</v>
      </c>
      <c r="C25" t="s">
        <v>25</v>
      </c>
      <c r="D25">
        <v>2</v>
      </c>
      <c r="E25">
        <v>74.33</v>
      </c>
      <c r="F25" s="1">
        <v>44950</v>
      </c>
      <c r="G25" s="1">
        <v>44951</v>
      </c>
      <c r="H25" s="1">
        <v>44952</v>
      </c>
      <c r="I25" t="s">
        <v>12</v>
      </c>
      <c r="J25">
        <v>148.66</v>
      </c>
      <c r="K25" s="5">
        <f>_xlfn.RANK.EQ(Table1[[#This Row],[Quantity]],Table1[Quantity])</f>
        <v>82</v>
      </c>
      <c r="L25">
        <f>_xlfn.RANK.EQ(Table1[[#This Row],[Price per Unit]],IF(Table1[Order Date]&lt;44958,Table1[Price per Unit],""))</f>
        <v>5</v>
      </c>
      <c r="N25" s="5"/>
      <c r="O25" s="5"/>
      <c r="P25" s="5"/>
      <c r="Q25" s="5"/>
      <c r="R25" s="5"/>
      <c r="S25" s="5"/>
      <c r="T25" s="5"/>
      <c r="U25" s="5">
        <v>3</v>
      </c>
    </row>
    <row r="26" spans="1:21">
      <c r="A26">
        <v>1025</v>
      </c>
      <c r="B26" t="s">
        <v>56</v>
      </c>
      <c r="C26" t="s">
        <v>27</v>
      </c>
      <c r="D26">
        <v>9</v>
      </c>
      <c r="E26">
        <v>15.89</v>
      </c>
      <c r="F26" s="1">
        <v>44951</v>
      </c>
      <c r="G26" s="1">
        <v>44952</v>
      </c>
      <c r="H26" s="1">
        <v>44953</v>
      </c>
      <c r="I26" t="s">
        <v>18</v>
      </c>
      <c r="J26">
        <v>143.01</v>
      </c>
      <c r="K26" s="5">
        <f>_xlfn.RANK.EQ(Table1[[#This Row],[Quantity]],Table1[Quantity])</f>
        <v>1</v>
      </c>
      <c r="L26">
        <f>_xlfn.RANK.EQ(Table1[[#This Row],[Price per Unit]],IF(Table1[Order Date]&lt;44958,Table1[Price per Unit],""))</f>
        <v>95</v>
      </c>
      <c r="N26" s="5"/>
      <c r="O26" s="5"/>
      <c r="P26" s="5"/>
      <c r="Q26" s="5"/>
      <c r="R26" s="5"/>
      <c r="S26" s="5">
        <f>_xlfn.RANK.EQ(Table1[[#This Row],[Total Price]],IF(Table1[Status]="Cancelled",Table1[Total Price],""))</f>
        <v>59</v>
      </c>
      <c r="T26" s="5"/>
      <c r="U26" s="5">
        <v>1</v>
      </c>
    </row>
    <row r="27" spans="1:21">
      <c r="A27">
        <v>1026</v>
      </c>
      <c r="B27" t="s">
        <v>57</v>
      </c>
      <c r="C27" t="s">
        <v>29</v>
      </c>
      <c r="D27">
        <v>4</v>
      </c>
      <c r="E27">
        <v>62.55</v>
      </c>
      <c r="F27" s="1">
        <v>44952</v>
      </c>
      <c r="G27" s="1">
        <v>44953</v>
      </c>
      <c r="H27" s="1">
        <v>44954</v>
      </c>
      <c r="I27" t="s">
        <v>21</v>
      </c>
      <c r="J27">
        <v>250.2</v>
      </c>
      <c r="K27" s="5">
        <f>_xlfn.RANK.EQ(Table1[[#This Row],[Quantity]],Table1[Quantity])</f>
        <v>56</v>
      </c>
      <c r="L27">
        <f>_xlfn.RANK.EQ(Table1[[#This Row],[Price per Unit]],IF(Table1[Order Date]&lt;44958,Table1[Price per Unit],""))</f>
        <v>16</v>
      </c>
      <c r="N27" s="5"/>
      <c r="O27" s="5">
        <f>_xlfn.RANK.EQ(Table1[[#This Row],[Price per Unit]],IF(OR(Table1[Product]="Product 16",Table1[Product]="Product 17",Table1[Product]="Product 18",Table1[Product]="Product 19",Table1[Product]="Product 20"),Table1[Price per Unit],""))</f>
        <v>16</v>
      </c>
      <c r="P27" s="5"/>
      <c r="Q27" s="5">
        <f>_xlfn.RANK.EQ(Table1[[#This Row],[Quantity]],IF(Table1[Status]="Pending",Table1[Quantity],""))</f>
        <v>56</v>
      </c>
      <c r="R27" s="5"/>
      <c r="S27" s="5"/>
      <c r="T27" s="5"/>
      <c r="U27" s="5">
        <v>18</v>
      </c>
    </row>
    <row r="28" spans="1:21">
      <c r="A28">
        <v>1027</v>
      </c>
      <c r="B28" t="s">
        <v>58</v>
      </c>
      <c r="C28" t="s">
        <v>31</v>
      </c>
      <c r="D28">
        <v>6</v>
      </c>
      <c r="E28">
        <v>24.13</v>
      </c>
      <c r="F28" s="1">
        <v>44953</v>
      </c>
      <c r="G28" s="1">
        <v>44954</v>
      </c>
      <c r="H28" s="1">
        <v>44955</v>
      </c>
      <c r="I28" t="s">
        <v>15</v>
      </c>
      <c r="J28">
        <v>144.78</v>
      </c>
      <c r="K28" s="5">
        <f>_xlfn.RANK.EQ(Table1[[#This Row],[Quantity]],Table1[Quantity])</f>
        <v>29</v>
      </c>
      <c r="L28">
        <f>_xlfn.RANK.EQ(Table1[[#This Row],[Price per Unit]],IF(Table1[Order Date]&lt;44958,Table1[Price per Unit],""))</f>
        <v>75</v>
      </c>
      <c r="M28">
        <f>_xlfn.RANK.EQ(Table1[[#This Row],[Total Price]],IF(Table1[Status]="Shipped",Table1[Total Price],"0"))</f>
        <v>58</v>
      </c>
      <c r="N28" s="5"/>
      <c r="O28" s="5"/>
      <c r="P28" s="5"/>
      <c r="Q28" s="5"/>
      <c r="R28" s="5"/>
      <c r="S28" s="5"/>
      <c r="T28" s="5"/>
      <c r="U28" s="5">
        <v>12</v>
      </c>
    </row>
    <row r="29" spans="1:21">
      <c r="A29">
        <v>1028</v>
      </c>
      <c r="B29" t="s">
        <v>59</v>
      </c>
      <c r="C29" t="s">
        <v>33</v>
      </c>
      <c r="D29">
        <v>5</v>
      </c>
      <c r="E29">
        <v>83.94</v>
      </c>
      <c r="F29" s="1">
        <v>44954</v>
      </c>
      <c r="G29" s="1">
        <v>44955</v>
      </c>
      <c r="H29" s="1">
        <v>44956</v>
      </c>
      <c r="I29" t="s">
        <v>12</v>
      </c>
      <c r="J29">
        <v>419.7</v>
      </c>
      <c r="K29" s="5">
        <f>_xlfn.RANK.EQ(Table1[[#This Row],[Quantity]],Table1[Quantity])</f>
        <v>42</v>
      </c>
      <c r="L29">
        <f>_xlfn.RANK.EQ(Table1[[#This Row],[Price per Unit]],IF(Table1[Order Date]&lt;44958,Table1[Price per Unit],""))</f>
        <v>2</v>
      </c>
      <c r="N29" s="5"/>
      <c r="O29" s="5"/>
      <c r="P29" s="5"/>
      <c r="Q29" s="5"/>
      <c r="R29" s="5"/>
      <c r="S29" s="5"/>
      <c r="T29" s="5"/>
      <c r="U29" s="5">
        <v>4</v>
      </c>
    </row>
    <row r="30" spans="1:21">
      <c r="A30">
        <v>1029</v>
      </c>
      <c r="B30" t="s">
        <v>60</v>
      </c>
      <c r="C30" t="s">
        <v>35</v>
      </c>
      <c r="D30">
        <v>3</v>
      </c>
      <c r="E30">
        <v>20.75</v>
      </c>
      <c r="F30" s="1">
        <v>44955</v>
      </c>
      <c r="G30" s="1">
        <v>44956</v>
      </c>
      <c r="H30" s="1">
        <v>44957</v>
      </c>
      <c r="I30" t="s">
        <v>21</v>
      </c>
      <c r="J30">
        <v>62.25</v>
      </c>
      <c r="K30" s="5">
        <f>_xlfn.RANK.EQ(Table1[[#This Row],[Quantity]],Table1[Quantity])</f>
        <v>68</v>
      </c>
      <c r="L30">
        <f>_xlfn.RANK.EQ(Table1[[#This Row],[Price per Unit]],IF(Table1[Order Date]&lt;44958,Table1[Price per Unit],""))</f>
        <v>84</v>
      </c>
      <c r="N30" s="5"/>
      <c r="O30" s="5">
        <f>_xlfn.RANK.EQ(Table1[[#This Row],[Price per Unit]],IF(OR(Table1[Product]="Product 16",Table1[Product]="Product 17",Table1[Product]="Product 18",Table1[Product]="Product 19",Table1[Product]="Product 20"),Table1[Price per Unit],""))</f>
        <v>84</v>
      </c>
      <c r="P30" s="5"/>
      <c r="Q30" s="5">
        <f>_xlfn.RANK.EQ(Table1[[#This Row],[Quantity]],IF(Table1[Status]="Pending",Table1[Quantity],""))</f>
        <v>68</v>
      </c>
      <c r="R30" s="5"/>
      <c r="S30" s="5"/>
      <c r="T30" s="5"/>
      <c r="U30" s="5">
        <v>16</v>
      </c>
    </row>
    <row r="31" spans="1:21">
      <c r="A31">
        <v>1030</v>
      </c>
      <c r="B31" t="s">
        <v>61</v>
      </c>
      <c r="C31" t="s">
        <v>37</v>
      </c>
      <c r="D31">
        <v>7</v>
      </c>
      <c r="E31">
        <v>35.67</v>
      </c>
      <c r="F31" s="1">
        <v>44956</v>
      </c>
      <c r="G31" s="1">
        <v>44957</v>
      </c>
      <c r="H31" s="1">
        <v>44958</v>
      </c>
      <c r="I31" t="s">
        <v>15</v>
      </c>
      <c r="J31">
        <v>249.69</v>
      </c>
      <c r="K31" s="5">
        <f>_xlfn.RANK.EQ(Table1[[#This Row],[Quantity]],Table1[Quantity])</f>
        <v>17</v>
      </c>
      <c r="L31">
        <f>_xlfn.RANK.EQ(Table1[[#This Row],[Price per Unit]],IF(Table1[Order Date]&lt;44958,Table1[Price per Unit],""))</f>
        <v>57</v>
      </c>
      <c r="M31">
        <f>_xlfn.RANK.EQ(Table1[[#This Row],[Total Price]],IF(Table1[Status]="Shipped",Table1[Total Price],"0"))</f>
        <v>35</v>
      </c>
      <c r="N31" s="5"/>
      <c r="O31" s="5"/>
      <c r="P31" s="5"/>
      <c r="Q31" s="5"/>
      <c r="R31" s="5"/>
      <c r="S31" s="5"/>
      <c r="T31" s="5"/>
      <c r="U31" s="5">
        <v>6</v>
      </c>
    </row>
    <row r="32" spans="1:21">
      <c r="A32">
        <v>1031</v>
      </c>
      <c r="B32" t="s">
        <v>62</v>
      </c>
      <c r="C32" t="s">
        <v>39</v>
      </c>
      <c r="D32">
        <v>8</v>
      </c>
      <c r="E32">
        <v>42.78</v>
      </c>
      <c r="F32" s="1">
        <v>44957</v>
      </c>
      <c r="G32" s="1">
        <v>44958</v>
      </c>
      <c r="H32" s="1">
        <v>44959</v>
      </c>
      <c r="I32" t="s">
        <v>12</v>
      </c>
      <c r="J32">
        <v>342.24</v>
      </c>
      <c r="K32" s="5">
        <f>_xlfn.RANK.EQ(Table1[[#This Row],[Quantity]],Table1[Quantity])</f>
        <v>9</v>
      </c>
      <c r="L32">
        <f>_xlfn.RANK.EQ(Table1[[#This Row],[Price per Unit]],IF(Table1[Order Date]&lt;44958,Table1[Price per Unit],""))</f>
        <v>47</v>
      </c>
      <c r="N32" s="5"/>
      <c r="O32" s="5"/>
      <c r="P32" s="5"/>
      <c r="Q32" s="5"/>
      <c r="R32" s="5"/>
      <c r="S32" s="5"/>
      <c r="T32" s="5"/>
      <c r="U32" s="5">
        <v>10</v>
      </c>
    </row>
    <row r="33" spans="1:21">
      <c r="A33">
        <v>1032</v>
      </c>
      <c r="B33" t="s">
        <v>63</v>
      </c>
      <c r="C33" t="s">
        <v>41</v>
      </c>
      <c r="D33">
        <v>2</v>
      </c>
      <c r="E33">
        <v>16.98</v>
      </c>
      <c r="F33" s="1">
        <v>44958</v>
      </c>
      <c r="G33" s="1">
        <v>44959</v>
      </c>
      <c r="H33" s="1">
        <v>44960</v>
      </c>
      <c r="I33" t="s">
        <v>21</v>
      </c>
      <c r="J33">
        <v>33.96</v>
      </c>
      <c r="K33" s="5">
        <f>_xlfn.RANK.EQ(Table1[[#This Row],[Quantity]],Table1[Quantity])</f>
        <v>82</v>
      </c>
      <c r="N33" s="5"/>
      <c r="O33" s="5"/>
      <c r="P33" s="5"/>
      <c r="Q33" s="5">
        <f>_xlfn.RANK.EQ(Table1[[#This Row],[Quantity]],IF(Table1[Status]="Pending",Table1[Quantity],""))</f>
        <v>82</v>
      </c>
      <c r="R33" s="5"/>
      <c r="S33" s="5"/>
      <c r="T33" s="5"/>
      <c r="U33" s="5">
        <v>11</v>
      </c>
    </row>
    <row r="34" spans="1:21">
      <c r="A34">
        <v>1033</v>
      </c>
      <c r="B34" t="s">
        <v>64</v>
      </c>
      <c r="C34" t="s">
        <v>43</v>
      </c>
      <c r="D34">
        <v>5</v>
      </c>
      <c r="E34">
        <v>71.19</v>
      </c>
      <c r="F34" s="1">
        <v>44959</v>
      </c>
      <c r="G34" s="1">
        <v>44960</v>
      </c>
      <c r="H34" s="1">
        <v>44961</v>
      </c>
      <c r="I34" t="s">
        <v>15</v>
      </c>
      <c r="J34">
        <v>355.95</v>
      </c>
      <c r="K34" s="5">
        <f>_xlfn.RANK.EQ(Table1[[#This Row],[Quantity]],Table1[Quantity])</f>
        <v>42</v>
      </c>
      <c r="M34">
        <f>_xlfn.RANK.EQ(Table1[[#This Row],[Total Price]],IF(Table1[Status]="Shipped",Table1[Total Price],"0"))</f>
        <v>11</v>
      </c>
      <c r="N34" s="5"/>
      <c r="O34" s="5">
        <f>_xlfn.RANK.EQ(Table1[[#This Row],[Price per Unit]],IF(OR(Table1[Product]="Product 16",Table1[Product]="Product 17",Table1[Product]="Product 18",Table1[Product]="Product 19",Table1[Product]="Product 20"),Table1[Price per Unit],""))</f>
        <v>7</v>
      </c>
      <c r="P34" s="5">
        <f>_xlfn.RANK.EQ(Table1[[#This Row],[Total Price]],IF(Table1[Shipping Date]&lt;44986,IF(Table1[Shipping Date]&gt;44957,IF(Table1[Status]="Shipped",Table1[Total Price],""),""),""))</f>
        <v>11</v>
      </c>
      <c r="Q34" s="5"/>
      <c r="R34" s="5"/>
      <c r="S34" s="5"/>
      <c r="T34" s="5"/>
      <c r="U34" s="5">
        <v>19</v>
      </c>
    </row>
    <row r="35" spans="1:21">
      <c r="A35">
        <v>1034</v>
      </c>
      <c r="B35" t="s">
        <v>65</v>
      </c>
      <c r="C35" t="s">
        <v>45</v>
      </c>
      <c r="D35">
        <v>3</v>
      </c>
      <c r="E35">
        <v>18.760000000000002</v>
      </c>
      <c r="F35" s="1">
        <v>44960</v>
      </c>
      <c r="G35" s="1">
        <v>44961</v>
      </c>
      <c r="H35" s="1">
        <v>44962</v>
      </c>
      <c r="I35" t="s">
        <v>12</v>
      </c>
      <c r="J35">
        <v>56.28</v>
      </c>
      <c r="K35" s="5">
        <f>_xlfn.RANK.EQ(Table1[[#This Row],[Quantity]],Table1[Quantity])</f>
        <v>68</v>
      </c>
      <c r="N35" s="5"/>
      <c r="O35" s="5"/>
      <c r="P35" s="5"/>
      <c r="Q35" s="5"/>
      <c r="R35" s="5"/>
      <c r="S35" s="5"/>
      <c r="T35" s="5"/>
      <c r="U35" s="5">
        <v>8</v>
      </c>
    </row>
    <row r="36" spans="1:21">
      <c r="A36">
        <v>1035</v>
      </c>
      <c r="B36" t="s">
        <v>66</v>
      </c>
      <c r="C36" t="s">
        <v>47</v>
      </c>
      <c r="D36">
        <v>7</v>
      </c>
      <c r="E36">
        <v>64.22</v>
      </c>
      <c r="F36" s="1">
        <v>44961</v>
      </c>
      <c r="G36" s="1">
        <v>44962</v>
      </c>
      <c r="H36" s="1">
        <v>44963</v>
      </c>
      <c r="I36" t="s">
        <v>21</v>
      </c>
      <c r="J36">
        <v>449.54</v>
      </c>
      <c r="K36" s="5">
        <f>_xlfn.RANK.EQ(Table1[[#This Row],[Quantity]],Table1[Quantity])</f>
        <v>17</v>
      </c>
      <c r="N36" s="5"/>
      <c r="O36" s="5"/>
      <c r="P36" s="5"/>
      <c r="Q36" s="5">
        <f>_xlfn.RANK.EQ(Table1[[#This Row],[Quantity]],IF(Table1[Status]="Pending",Table1[Quantity],""))</f>
        <v>17</v>
      </c>
      <c r="R36" s="5"/>
      <c r="S36" s="5"/>
      <c r="T36" s="5"/>
      <c r="U36" s="5">
        <v>14</v>
      </c>
    </row>
    <row r="37" spans="1:21">
      <c r="A37">
        <v>1036</v>
      </c>
      <c r="B37" t="s">
        <v>67</v>
      </c>
      <c r="C37" t="s">
        <v>49</v>
      </c>
      <c r="D37">
        <v>2</v>
      </c>
      <c r="E37">
        <v>37.479999999999997</v>
      </c>
      <c r="F37" s="1">
        <v>44962</v>
      </c>
      <c r="G37" s="1">
        <v>44963</v>
      </c>
      <c r="H37" s="1">
        <v>44964</v>
      </c>
      <c r="I37" t="s">
        <v>15</v>
      </c>
      <c r="J37">
        <v>74.959999999999994</v>
      </c>
      <c r="K37" s="5">
        <f>_xlfn.RANK.EQ(Table1[[#This Row],[Quantity]],Table1[Quantity])</f>
        <v>82</v>
      </c>
      <c r="M37">
        <f>_xlfn.RANK.EQ(Table1[[#This Row],[Total Price]],IF(Table1[Status]="Shipped",Table1[Total Price],"0"))</f>
        <v>80</v>
      </c>
      <c r="N37" s="5"/>
      <c r="O37" s="5"/>
      <c r="P37" s="5">
        <f>_xlfn.RANK.EQ(Table1[[#This Row],[Total Price]],IF(Table1[Shipping Date]&lt;44986,IF(Table1[Shipping Date]&gt;44957,IF(Table1[Status]="Shipped",Table1[Total Price],""),""),""))</f>
        <v>80</v>
      </c>
      <c r="Q37" s="5"/>
      <c r="R37" s="5"/>
      <c r="S37" s="5"/>
      <c r="T37" s="5"/>
      <c r="U37" s="5">
        <v>2</v>
      </c>
    </row>
    <row r="38" spans="1:21">
      <c r="A38">
        <v>1037</v>
      </c>
      <c r="B38" t="s">
        <v>68</v>
      </c>
      <c r="C38" t="s">
        <v>11</v>
      </c>
      <c r="D38">
        <v>6</v>
      </c>
      <c r="E38">
        <v>49.53</v>
      </c>
      <c r="F38" s="1">
        <v>44963</v>
      </c>
      <c r="G38" s="1">
        <v>44964</v>
      </c>
      <c r="H38" s="1">
        <v>44965</v>
      </c>
      <c r="I38" t="s">
        <v>12</v>
      </c>
      <c r="J38">
        <v>297.18</v>
      </c>
      <c r="K38" s="5">
        <f>_xlfn.RANK.EQ(Table1[[#This Row],[Quantity]],Table1[Quantity])</f>
        <v>29</v>
      </c>
      <c r="N38" s="5"/>
      <c r="O38" s="5"/>
      <c r="P38" s="5"/>
      <c r="Q38" s="5"/>
      <c r="R38" s="5"/>
      <c r="S38" s="5"/>
      <c r="T38" s="5"/>
      <c r="U38" s="5">
        <v>7</v>
      </c>
    </row>
    <row r="39" spans="1:21">
      <c r="A39">
        <v>1038</v>
      </c>
      <c r="B39" t="s">
        <v>69</v>
      </c>
      <c r="C39" t="s">
        <v>14</v>
      </c>
      <c r="D39">
        <v>1</v>
      </c>
      <c r="E39">
        <v>13.57</v>
      </c>
      <c r="F39" s="1">
        <v>44964</v>
      </c>
      <c r="G39" s="1">
        <v>44965</v>
      </c>
      <c r="H39" s="1">
        <v>44966</v>
      </c>
      <c r="I39" t="s">
        <v>21</v>
      </c>
      <c r="J39">
        <v>13.57</v>
      </c>
      <c r="K39" s="5">
        <f>_xlfn.RANK.EQ(Table1[[#This Row],[Quantity]],Table1[Quantity])</f>
        <v>96</v>
      </c>
      <c r="N39" s="5"/>
      <c r="O39" s="5"/>
      <c r="P39" s="5"/>
      <c r="Q39" s="5">
        <f>_xlfn.RANK.EQ(Table1[[#This Row],[Quantity]],IF(Table1[Status]="Pending",Table1[Quantity],""))</f>
        <v>96</v>
      </c>
      <c r="R39" s="5"/>
      <c r="S39" s="5"/>
      <c r="T39" s="5"/>
      <c r="U39" s="5">
        <v>15</v>
      </c>
    </row>
    <row r="40" spans="1:21">
      <c r="A40">
        <v>1039</v>
      </c>
      <c r="B40" t="s">
        <v>70</v>
      </c>
      <c r="C40" t="s">
        <v>17</v>
      </c>
      <c r="D40">
        <v>7</v>
      </c>
      <c r="E40">
        <v>28.47</v>
      </c>
      <c r="F40" s="1">
        <v>44965</v>
      </c>
      <c r="G40" s="1">
        <v>44966</v>
      </c>
      <c r="H40" s="1">
        <v>44967</v>
      </c>
      <c r="I40" t="s">
        <v>15</v>
      </c>
      <c r="J40">
        <v>199.29</v>
      </c>
      <c r="K40" s="5">
        <f>_xlfn.RANK.EQ(Table1[[#This Row],[Quantity]],Table1[Quantity])</f>
        <v>17</v>
      </c>
      <c r="M40">
        <f>_xlfn.RANK.EQ(Table1[[#This Row],[Total Price]],IF(Table1[Status]="Shipped",Table1[Total Price],"0"))</f>
        <v>44</v>
      </c>
      <c r="N40" s="5"/>
      <c r="O40" s="5"/>
      <c r="P40" s="5">
        <f>_xlfn.RANK.EQ(Table1[[#This Row],[Total Price]],IF(Table1[Shipping Date]&lt;44986,IF(Table1[Shipping Date]&gt;44957,IF(Table1[Status]="Shipped",Table1[Total Price],""),""),""))</f>
        <v>44</v>
      </c>
      <c r="Q40" s="5"/>
      <c r="R40" s="5"/>
      <c r="S40" s="5"/>
      <c r="T40" s="5"/>
      <c r="U40" s="5">
        <v>5</v>
      </c>
    </row>
    <row r="41" spans="1:21">
      <c r="A41">
        <v>1040</v>
      </c>
      <c r="B41" t="s">
        <v>71</v>
      </c>
      <c r="C41" t="s">
        <v>20</v>
      </c>
      <c r="D41">
        <v>3</v>
      </c>
      <c r="E41">
        <v>57.22</v>
      </c>
      <c r="F41" s="1">
        <v>44966</v>
      </c>
      <c r="G41" s="1">
        <v>44967</v>
      </c>
      <c r="H41" s="1">
        <v>44968</v>
      </c>
      <c r="I41" t="s">
        <v>12</v>
      </c>
      <c r="J41">
        <v>171.66</v>
      </c>
      <c r="K41" s="5">
        <f>_xlfn.RANK.EQ(Table1[[#This Row],[Quantity]],Table1[Quantity])</f>
        <v>68</v>
      </c>
      <c r="N41" s="5"/>
      <c r="O41" s="5"/>
      <c r="P41" s="5"/>
      <c r="Q41" s="5"/>
      <c r="R41" s="5"/>
      <c r="S41" s="5"/>
      <c r="T41" s="5"/>
      <c r="U41" s="5">
        <v>13</v>
      </c>
    </row>
    <row r="42" spans="1:21">
      <c r="A42">
        <v>1041</v>
      </c>
      <c r="B42" t="s">
        <v>72</v>
      </c>
      <c r="C42" t="s">
        <v>23</v>
      </c>
      <c r="D42">
        <v>5</v>
      </c>
      <c r="E42">
        <v>45.31</v>
      </c>
      <c r="F42" s="1">
        <v>44967</v>
      </c>
      <c r="G42" s="1">
        <v>44968</v>
      </c>
      <c r="H42" s="1">
        <v>44969</v>
      </c>
      <c r="I42" t="s">
        <v>21</v>
      </c>
      <c r="J42">
        <v>226.55</v>
      </c>
      <c r="K42" s="5">
        <f>_xlfn.RANK.EQ(Table1[[#This Row],[Quantity]],Table1[Quantity])</f>
        <v>42</v>
      </c>
      <c r="N42" s="5"/>
      <c r="O42" s="5"/>
      <c r="P42" s="5"/>
      <c r="Q42" s="5">
        <f>_xlfn.RANK.EQ(Table1[[#This Row],[Quantity]],IF(Table1[Status]="Pending",Table1[Quantity],""))</f>
        <v>42</v>
      </c>
      <c r="R42" s="5"/>
      <c r="S42" s="5"/>
      <c r="T42" s="5"/>
      <c r="U42" s="5">
        <v>9</v>
      </c>
    </row>
    <row r="43" spans="1:21">
      <c r="A43">
        <v>1042</v>
      </c>
      <c r="B43" t="s">
        <v>73</v>
      </c>
      <c r="C43" t="s">
        <v>25</v>
      </c>
      <c r="D43">
        <v>6</v>
      </c>
      <c r="E43">
        <v>23.19</v>
      </c>
      <c r="F43" s="1">
        <v>44968</v>
      </c>
      <c r="G43" s="1">
        <v>44969</v>
      </c>
      <c r="H43" s="1">
        <v>44970</v>
      </c>
      <c r="I43" t="s">
        <v>15</v>
      </c>
      <c r="J43">
        <v>139.13999999999999</v>
      </c>
      <c r="K43" s="5">
        <f>_xlfn.RANK.EQ(Table1[[#This Row],[Quantity]],Table1[Quantity])</f>
        <v>29</v>
      </c>
      <c r="M43">
        <f>_xlfn.RANK.EQ(Table1[[#This Row],[Total Price]],IF(Table1[Status]="Shipped",Table1[Total Price],"0"))</f>
        <v>62</v>
      </c>
      <c r="N43" s="5"/>
      <c r="O43" s="5"/>
      <c r="P43" s="5">
        <f>_xlfn.RANK.EQ(Table1[[#This Row],[Total Price]],IF(Table1[Shipping Date]&lt;44986,IF(Table1[Shipping Date]&gt;44957,IF(Table1[Status]="Shipped",Table1[Total Price],""),""),""))</f>
        <v>62</v>
      </c>
      <c r="Q43" s="5"/>
      <c r="R43" s="5"/>
      <c r="S43" s="5"/>
      <c r="T43" s="5"/>
      <c r="U43" s="5">
        <v>3</v>
      </c>
    </row>
    <row r="44" spans="1:21">
      <c r="A44">
        <v>1043</v>
      </c>
      <c r="B44" t="s">
        <v>74</v>
      </c>
      <c r="C44" t="s">
        <v>27</v>
      </c>
      <c r="D44">
        <v>4</v>
      </c>
      <c r="E44">
        <v>67.89</v>
      </c>
      <c r="F44" s="1">
        <v>44969</v>
      </c>
      <c r="G44" s="1">
        <v>44970</v>
      </c>
      <c r="H44" s="1">
        <v>44971</v>
      </c>
      <c r="I44" t="s">
        <v>12</v>
      </c>
      <c r="J44">
        <v>271.56</v>
      </c>
      <c r="K44" s="5">
        <f>_xlfn.RANK.EQ(Table1[[#This Row],[Quantity]],Table1[Quantity])</f>
        <v>56</v>
      </c>
      <c r="N44" s="5"/>
      <c r="O44" s="5"/>
      <c r="P44" s="5"/>
      <c r="Q44" s="5"/>
      <c r="R44" s="5"/>
      <c r="S44" s="5"/>
      <c r="T44" s="5"/>
      <c r="U44" s="5">
        <v>1</v>
      </c>
    </row>
    <row r="45" spans="1:21">
      <c r="A45">
        <v>1044</v>
      </c>
      <c r="B45" t="s">
        <v>75</v>
      </c>
      <c r="C45" t="s">
        <v>29</v>
      </c>
      <c r="D45">
        <v>2</v>
      </c>
      <c r="E45">
        <v>31.72</v>
      </c>
      <c r="F45" s="1">
        <v>44970</v>
      </c>
      <c r="G45" s="1">
        <v>44971</v>
      </c>
      <c r="H45" s="1">
        <v>44972</v>
      </c>
      <c r="I45" t="s">
        <v>21</v>
      </c>
      <c r="J45">
        <v>63.44</v>
      </c>
      <c r="K45" s="5">
        <f>_xlfn.RANK.EQ(Table1[[#This Row],[Quantity]],Table1[Quantity])</f>
        <v>82</v>
      </c>
      <c r="N45" s="5"/>
      <c r="O45" s="5">
        <f>_xlfn.RANK.EQ(Table1[[#This Row],[Price per Unit]],IF(OR(Table1[Product]="Product 16",Table1[Product]="Product 17",Table1[Product]="Product 18",Table1[Product]="Product 19",Table1[Product]="Product 20"),Table1[Price per Unit],""))</f>
        <v>63</v>
      </c>
      <c r="P45" s="5"/>
      <c r="Q45" s="5">
        <f>_xlfn.RANK.EQ(Table1[[#This Row],[Quantity]],IF(Table1[Status]="Pending",Table1[Quantity],""))</f>
        <v>82</v>
      </c>
      <c r="R45" s="5"/>
      <c r="S45" s="5"/>
      <c r="T45" s="5"/>
      <c r="U45" s="5">
        <v>18</v>
      </c>
    </row>
    <row r="46" spans="1:21">
      <c r="A46">
        <v>1045</v>
      </c>
      <c r="B46" t="s">
        <v>76</v>
      </c>
      <c r="C46" t="s">
        <v>31</v>
      </c>
      <c r="D46">
        <v>9</v>
      </c>
      <c r="E46">
        <v>47.82</v>
      </c>
      <c r="F46" s="1">
        <v>44971</v>
      </c>
      <c r="G46" s="1">
        <v>44972</v>
      </c>
      <c r="H46" s="1">
        <v>44973</v>
      </c>
      <c r="I46" t="s">
        <v>15</v>
      </c>
      <c r="J46">
        <v>430.38</v>
      </c>
      <c r="K46" s="5">
        <f>_xlfn.RANK.EQ(Table1[[#This Row],[Quantity]],Table1[Quantity])</f>
        <v>1</v>
      </c>
      <c r="M46">
        <f>_xlfn.RANK.EQ(Table1[[#This Row],[Total Price]],IF(Table1[Status]="Shipped",Table1[Total Price],"0"))</f>
        <v>6</v>
      </c>
      <c r="N46" s="5"/>
      <c r="O46" s="5"/>
      <c r="P46" s="5">
        <f>_xlfn.RANK.EQ(Table1[[#This Row],[Total Price]],IF(Table1[Shipping Date]&lt;44986,IF(Table1[Shipping Date]&gt;44957,IF(Table1[Status]="Shipped",Table1[Total Price],""),""),""))</f>
        <v>6</v>
      </c>
      <c r="Q46" s="5"/>
      <c r="R46" s="5"/>
      <c r="S46" s="5"/>
      <c r="T46" s="5"/>
      <c r="U46" s="5">
        <v>12</v>
      </c>
    </row>
    <row r="47" spans="1:21">
      <c r="A47">
        <v>1046</v>
      </c>
      <c r="B47" t="s">
        <v>77</v>
      </c>
      <c r="C47" t="s">
        <v>33</v>
      </c>
      <c r="D47">
        <v>6</v>
      </c>
      <c r="E47">
        <v>19.440000000000001</v>
      </c>
      <c r="F47" s="1">
        <v>44972</v>
      </c>
      <c r="G47" s="1">
        <v>44973</v>
      </c>
      <c r="H47" s="1">
        <v>44974</v>
      </c>
      <c r="I47" t="s">
        <v>12</v>
      </c>
      <c r="J47">
        <v>116.64</v>
      </c>
      <c r="K47" s="5">
        <f>_xlfn.RANK.EQ(Table1[[#This Row],[Quantity]],Table1[Quantity])</f>
        <v>29</v>
      </c>
      <c r="N47" s="5"/>
      <c r="O47" s="5"/>
      <c r="P47" s="5"/>
      <c r="Q47" s="5"/>
      <c r="R47" s="5"/>
      <c r="S47" s="5"/>
      <c r="T47" s="5"/>
      <c r="U47" s="5">
        <v>4</v>
      </c>
    </row>
    <row r="48" spans="1:21">
      <c r="A48">
        <v>1047</v>
      </c>
      <c r="B48" t="s">
        <v>78</v>
      </c>
      <c r="C48" t="s">
        <v>35</v>
      </c>
      <c r="D48">
        <v>3</v>
      </c>
      <c r="E48">
        <v>42.89</v>
      </c>
      <c r="F48" s="1">
        <v>44973</v>
      </c>
      <c r="G48" s="1">
        <v>44974</v>
      </c>
      <c r="H48" s="1">
        <v>44975</v>
      </c>
      <c r="I48" t="s">
        <v>21</v>
      </c>
      <c r="J48">
        <v>128.66999999999999</v>
      </c>
      <c r="K48" s="5">
        <f>_xlfn.RANK.EQ(Table1[[#This Row],[Quantity]],Table1[Quantity])</f>
        <v>68</v>
      </c>
      <c r="N48" s="5"/>
      <c r="O48" s="5">
        <f>_xlfn.RANK.EQ(Table1[[#This Row],[Price per Unit]],IF(OR(Table1[Product]="Product 16",Table1[Product]="Product 17",Table1[Product]="Product 18",Table1[Product]="Product 19",Table1[Product]="Product 20"),Table1[Price per Unit],""))</f>
        <v>46</v>
      </c>
      <c r="P48" s="5"/>
      <c r="Q48" s="5">
        <f>_xlfn.RANK.EQ(Table1[[#This Row],[Quantity]],IF(Table1[Status]="Pending",Table1[Quantity],""))</f>
        <v>68</v>
      </c>
      <c r="R48" s="5"/>
      <c r="S48" s="5"/>
      <c r="T48" s="5"/>
      <c r="U48" s="5">
        <v>16</v>
      </c>
    </row>
    <row r="49" spans="1:21">
      <c r="A49">
        <v>1048</v>
      </c>
      <c r="B49" t="s">
        <v>79</v>
      </c>
      <c r="C49" t="s">
        <v>37</v>
      </c>
      <c r="D49">
        <v>8</v>
      </c>
      <c r="E49">
        <v>53.12</v>
      </c>
      <c r="F49" s="1">
        <v>44974</v>
      </c>
      <c r="G49" s="1">
        <v>44975</v>
      </c>
      <c r="H49" s="1">
        <v>44976</v>
      </c>
      <c r="I49" t="s">
        <v>15</v>
      </c>
      <c r="J49">
        <v>424.96</v>
      </c>
      <c r="K49" s="5">
        <f>_xlfn.RANK.EQ(Table1[[#This Row],[Quantity]],Table1[Quantity])</f>
        <v>9</v>
      </c>
      <c r="M49">
        <f>_xlfn.RANK.EQ(Table1[[#This Row],[Total Price]],IF(Table1[Status]="Shipped",Table1[Total Price],"0"))</f>
        <v>8</v>
      </c>
      <c r="N49" s="5"/>
      <c r="O49" s="5"/>
      <c r="P49" s="5">
        <f>_xlfn.RANK.EQ(Table1[[#This Row],[Total Price]],IF(Table1[Shipping Date]&lt;44986,IF(Table1[Shipping Date]&gt;44957,IF(Table1[Status]="Shipped",Table1[Total Price],""),""),""))</f>
        <v>8</v>
      </c>
      <c r="Q49" s="5"/>
      <c r="R49" s="5"/>
      <c r="S49" s="5"/>
      <c r="T49" s="5"/>
      <c r="U49" s="5">
        <v>6</v>
      </c>
    </row>
    <row r="50" spans="1:21">
      <c r="A50">
        <v>1049</v>
      </c>
      <c r="B50" t="s">
        <v>80</v>
      </c>
      <c r="C50" t="s">
        <v>39</v>
      </c>
      <c r="D50">
        <v>2</v>
      </c>
      <c r="E50">
        <v>78.94</v>
      </c>
      <c r="F50" s="1">
        <v>44975</v>
      </c>
      <c r="G50" s="1">
        <v>44976</v>
      </c>
      <c r="H50" s="1">
        <v>44977</v>
      </c>
      <c r="I50" t="s">
        <v>12</v>
      </c>
      <c r="J50">
        <v>157.88</v>
      </c>
      <c r="K50" s="5">
        <f>_xlfn.RANK.EQ(Table1[[#This Row],[Quantity]],Table1[Quantity])</f>
        <v>82</v>
      </c>
      <c r="N50" s="5"/>
      <c r="O50" s="5"/>
      <c r="P50" s="5"/>
      <c r="Q50" s="5"/>
      <c r="R50" s="5"/>
      <c r="S50" s="5"/>
      <c r="T50" s="5"/>
      <c r="U50" s="5">
        <v>10</v>
      </c>
    </row>
    <row r="51" spans="1:21">
      <c r="A51">
        <v>1050</v>
      </c>
      <c r="B51" t="s">
        <v>81</v>
      </c>
      <c r="C51" t="s">
        <v>41</v>
      </c>
      <c r="D51">
        <v>4</v>
      </c>
      <c r="E51">
        <v>26.17</v>
      </c>
      <c r="F51" s="1">
        <v>44976</v>
      </c>
      <c r="G51" s="1">
        <v>44977</v>
      </c>
      <c r="H51" s="1">
        <v>44978</v>
      </c>
      <c r="I51" t="s">
        <v>21</v>
      </c>
      <c r="J51">
        <v>104.68</v>
      </c>
      <c r="K51" s="5">
        <f>_xlfn.RANK.EQ(Table1[[#This Row],[Quantity]],Table1[Quantity])</f>
        <v>56</v>
      </c>
      <c r="N51" s="5"/>
      <c r="O51" s="5"/>
      <c r="P51" s="5"/>
      <c r="Q51" s="5">
        <f>_xlfn.RANK.EQ(Table1[[#This Row],[Quantity]],IF(Table1[Status]="Pending",Table1[Quantity],""))</f>
        <v>56</v>
      </c>
      <c r="R51" s="5"/>
      <c r="S51" s="5"/>
      <c r="T51" s="5"/>
      <c r="U51" s="5">
        <v>11</v>
      </c>
    </row>
    <row r="52" spans="1:21">
      <c r="A52">
        <v>1051</v>
      </c>
      <c r="B52" t="s">
        <v>82</v>
      </c>
      <c r="C52" t="s">
        <v>43</v>
      </c>
      <c r="D52">
        <v>6</v>
      </c>
      <c r="E52">
        <v>44.21</v>
      </c>
      <c r="F52" s="1">
        <v>44977</v>
      </c>
      <c r="G52" s="1">
        <v>44978</v>
      </c>
      <c r="H52" s="1">
        <v>44979</v>
      </c>
      <c r="I52" t="s">
        <v>15</v>
      </c>
      <c r="J52">
        <v>265.26</v>
      </c>
      <c r="K52" s="5">
        <f>_xlfn.RANK.EQ(Table1[[#This Row],[Quantity]],Table1[Quantity])</f>
        <v>29</v>
      </c>
      <c r="M52">
        <f>_xlfn.RANK.EQ(Table1[[#This Row],[Total Price]],IF(Table1[Status]="Shipped",Table1[Total Price],"0"))</f>
        <v>31</v>
      </c>
      <c r="N52" s="5"/>
      <c r="O52" s="5">
        <f>_xlfn.RANK.EQ(Table1[[#This Row],[Price per Unit]],IF(OR(Table1[Product]="Product 16",Table1[Product]="Product 17",Table1[Product]="Product 18",Table1[Product]="Product 19",Table1[Product]="Product 20"),Table1[Price per Unit],""))</f>
        <v>43</v>
      </c>
      <c r="P52" s="5">
        <f>_xlfn.RANK.EQ(Table1[[#This Row],[Total Price]],IF(Table1[Shipping Date]&lt;44986,IF(Table1[Shipping Date]&gt;44957,IF(Table1[Status]="Shipped",Table1[Total Price],""),""),""))</f>
        <v>31</v>
      </c>
      <c r="Q52" s="5"/>
      <c r="R52" s="5"/>
      <c r="S52" s="5"/>
      <c r="T52" s="5"/>
      <c r="U52" s="5">
        <v>19</v>
      </c>
    </row>
    <row r="53" spans="1:21">
      <c r="A53">
        <v>1052</v>
      </c>
      <c r="B53" t="s">
        <v>83</v>
      </c>
      <c r="C53" t="s">
        <v>45</v>
      </c>
      <c r="D53">
        <v>3</v>
      </c>
      <c r="E53">
        <v>12.36</v>
      </c>
      <c r="F53" s="1">
        <v>44978</v>
      </c>
      <c r="G53" s="1">
        <v>44979</v>
      </c>
      <c r="H53" s="1">
        <v>44980</v>
      </c>
      <c r="I53" t="s">
        <v>12</v>
      </c>
      <c r="J53">
        <v>37.08</v>
      </c>
      <c r="K53" s="5">
        <f>_xlfn.RANK.EQ(Table1[[#This Row],[Quantity]],Table1[Quantity])</f>
        <v>68</v>
      </c>
      <c r="N53" s="5"/>
      <c r="O53" s="5"/>
      <c r="P53" s="5"/>
      <c r="Q53" s="5"/>
      <c r="R53" s="5"/>
      <c r="S53" s="5"/>
      <c r="T53" s="5"/>
      <c r="U53" s="5">
        <v>8</v>
      </c>
    </row>
    <row r="54" spans="1:21">
      <c r="A54">
        <v>1053</v>
      </c>
      <c r="B54" t="s">
        <v>84</v>
      </c>
      <c r="C54" t="s">
        <v>47</v>
      </c>
      <c r="D54">
        <v>7</v>
      </c>
      <c r="E54">
        <v>50.72</v>
      </c>
      <c r="F54" s="1">
        <v>44979</v>
      </c>
      <c r="G54" s="1">
        <v>44980</v>
      </c>
      <c r="H54" s="1">
        <v>44981</v>
      </c>
      <c r="I54" t="s">
        <v>21</v>
      </c>
      <c r="J54">
        <v>355.04</v>
      </c>
      <c r="K54" s="5">
        <f>_xlfn.RANK.EQ(Table1[[#This Row],[Quantity]],Table1[Quantity])</f>
        <v>17</v>
      </c>
      <c r="N54" s="5"/>
      <c r="O54" s="5"/>
      <c r="P54" s="5"/>
      <c r="Q54" s="5">
        <f>_xlfn.RANK.EQ(Table1[[#This Row],[Quantity]],IF(Table1[Status]="Pending",Table1[Quantity],""))</f>
        <v>17</v>
      </c>
      <c r="R54" s="5"/>
      <c r="S54" s="5"/>
      <c r="T54" s="5"/>
      <c r="U54" s="5">
        <v>14</v>
      </c>
    </row>
    <row r="55" spans="1:21">
      <c r="A55">
        <v>1054</v>
      </c>
      <c r="B55" t="s">
        <v>85</v>
      </c>
      <c r="C55" t="s">
        <v>49</v>
      </c>
      <c r="D55">
        <v>5</v>
      </c>
      <c r="E55">
        <v>39.409999999999997</v>
      </c>
      <c r="F55" s="1">
        <v>44980</v>
      </c>
      <c r="G55" s="1">
        <v>44981</v>
      </c>
      <c r="H55" s="1">
        <v>44982</v>
      </c>
      <c r="I55" t="s">
        <v>15</v>
      </c>
      <c r="J55">
        <v>197.05</v>
      </c>
      <c r="K55" s="5">
        <f>_xlfn.RANK.EQ(Table1[[#This Row],[Quantity]],Table1[Quantity])</f>
        <v>42</v>
      </c>
      <c r="M55">
        <f>_xlfn.RANK.EQ(Table1[[#This Row],[Total Price]],IF(Table1[Status]="Shipped",Table1[Total Price],"0"))</f>
        <v>47</v>
      </c>
      <c r="N55" s="5"/>
      <c r="O55" s="5"/>
      <c r="P55" s="5">
        <f>_xlfn.RANK.EQ(Table1[[#This Row],[Total Price]],IF(Table1[Shipping Date]&lt;44986,IF(Table1[Shipping Date]&gt;44957,IF(Table1[Status]="Shipped",Table1[Total Price],""),""),""))</f>
        <v>47</v>
      </c>
      <c r="Q55" s="5"/>
      <c r="R55" s="5"/>
      <c r="S55" s="5"/>
      <c r="T55" s="5"/>
      <c r="U55" s="5">
        <v>2</v>
      </c>
    </row>
    <row r="56" spans="1:21">
      <c r="A56">
        <v>1055</v>
      </c>
      <c r="B56" t="s">
        <v>86</v>
      </c>
      <c r="C56" t="s">
        <v>11</v>
      </c>
      <c r="D56">
        <v>2</v>
      </c>
      <c r="E56">
        <v>25.16</v>
      </c>
      <c r="F56" s="1">
        <v>44981</v>
      </c>
      <c r="G56" s="1">
        <v>44982</v>
      </c>
      <c r="H56" s="1">
        <v>44983</v>
      </c>
      <c r="I56" t="s">
        <v>12</v>
      </c>
      <c r="J56">
        <v>50.32</v>
      </c>
      <c r="K56" s="5">
        <f>_xlfn.RANK.EQ(Table1[[#This Row],[Quantity]],Table1[Quantity])</f>
        <v>82</v>
      </c>
      <c r="N56" s="5"/>
      <c r="O56" s="5"/>
      <c r="P56" s="5"/>
      <c r="Q56" s="5"/>
      <c r="R56" s="5"/>
      <c r="S56" s="5"/>
      <c r="T56" s="5"/>
      <c r="U56" s="5">
        <v>7</v>
      </c>
    </row>
    <row r="57" spans="1:21">
      <c r="A57">
        <v>1056</v>
      </c>
      <c r="B57" t="s">
        <v>87</v>
      </c>
      <c r="C57" t="s">
        <v>14</v>
      </c>
      <c r="D57">
        <v>4</v>
      </c>
      <c r="E57">
        <v>65.290000000000006</v>
      </c>
      <c r="F57" s="1">
        <v>44982</v>
      </c>
      <c r="G57" s="1">
        <v>44983</v>
      </c>
      <c r="H57" s="1">
        <v>44984</v>
      </c>
      <c r="I57" t="s">
        <v>21</v>
      </c>
      <c r="J57">
        <v>261.16000000000003</v>
      </c>
      <c r="K57" s="5">
        <f>_xlfn.RANK.EQ(Table1[[#This Row],[Quantity]],Table1[Quantity])</f>
        <v>56</v>
      </c>
      <c r="N57" s="5"/>
      <c r="O57" s="5"/>
      <c r="P57" s="5"/>
      <c r="Q57" s="5">
        <f>_xlfn.RANK.EQ(Table1[[#This Row],[Quantity]],IF(Table1[Status]="Pending",Table1[Quantity],""))</f>
        <v>56</v>
      </c>
      <c r="R57" s="5"/>
      <c r="S57" s="5"/>
      <c r="T57" s="5"/>
      <c r="U57" s="5">
        <v>15</v>
      </c>
    </row>
    <row r="58" spans="1:21">
      <c r="A58">
        <v>1057</v>
      </c>
      <c r="B58" t="s">
        <v>88</v>
      </c>
      <c r="C58" t="s">
        <v>17</v>
      </c>
      <c r="D58">
        <v>9</v>
      </c>
      <c r="E58">
        <v>31.48</v>
      </c>
      <c r="F58" s="1">
        <v>44983</v>
      </c>
      <c r="G58" s="1">
        <v>44984</v>
      </c>
      <c r="H58" s="1">
        <v>44985</v>
      </c>
      <c r="I58" t="s">
        <v>15</v>
      </c>
      <c r="J58">
        <v>283.32</v>
      </c>
      <c r="K58" s="5">
        <f>_xlfn.RANK.EQ(Table1[[#This Row],[Quantity]],Table1[Quantity])</f>
        <v>1</v>
      </c>
      <c r="M58">
        <f>_xlfn.RANK.EQ(Table1[[#This Row],[Total Price]],IF(Table1[Status]="Shipped",Table1[Total Price],"0"))</f>
        <v>24</v>
      </c>
      <c r="N58" s="5"/>
      <c r="O58" s="5"/>
      <c r="P58" s="5">
        <f>_xlfn.RANK.EQ(Table1[[#This Row],[Total Price]],IF(Table1[Shipping Date]&lt;44986,IF(Table1[Shipping Date]&gt;44957,IF(Table1[Status]="Shipped",Table1[Total Price],""),""),""))</f>
        <v>24</v>
      </c>
      <c r="Q58" s="5"/>
      <c r="R58" s="5"/>
      <c r="S58" s="5"/>
      <c r="T58" s="5"/>
      <c r="U58" s="5">
        <v>5</v>
      </c>
    </row>
    <row r="59" spans="1:21">
      <c r="A59">
        <v>1058</v>
      </c>
      <c r="B59" t="s">
        <v>89</v>
      </c>
      <c r="C59" t="s">
        <v>20</v>
      </c>
      <c r="D59">
        <v>1</v>
      </c>
      <c r="E59">
        <v>43.91</v>
      </c>
      <c r="F59" s="1">
        <v>44984</v>
      </c>
      <c r="G59" s="1">
        <v>44985</v>
      </c>
      <c r="H59" s="1">
        <v>44986</v>
      </c>
      <c r="I59" t="s">
        <v>12</v>
      </c>
      <c r="J59">
        <v>43.91</v>
      </c>
      <c r="K59" s="5">
        <f>_xlfn.RANK.EQ(Table1[[#This Row],[Quantity]],Table1[Quantity])</f>
        <v>96</v>
      </c>
      <c r="N59" s="5"/>
      <c r="O59" s="5"/>
      <c r="P59" s="5"/>
      <c r="Q59" s="5"/>
      <c r="R59" s="5"/>
      <c r="S59" s="5"/>
      <c r="T59" s="5"/>
      <c r="U59" s="5">
        <v>13</v>
      </c>
    </row>
    <row r="60" spans="1:21">
      <c r="A60">
        <v>1059</v>
      </c>
      <c r="B60" t="s">
        <v>90</v>
      </c>
      <c r="C60" t="s">
        <v>23</v>
      </c>
      <c r="D60">
        <v>5</v>
      </c>
      <c r="E60">
        <v>25.16</v>
      </c>
      <c r="F60" s="1">
        <v>44985</v>
      </c>
      <c r="G60" s="1">
        <v>44986</v>
      </c>
      <c r="H60" s="1">
        <v>44987</v>
      </c>
      <c r="I60" t="s">
        <v>21</v>
      </c>
      <c r="J60">
        <v>310.75</v>
      </c>
      <c r="K60" s="5">
        <f>_xlfn.RANK.EQ(Table1[[#This Row],[Quantity]],Table1[Quantity])</f>
        <v>42</v>
      </c>
      <c r="N60" s="5"/>
      <c r="O60" s="5"/>
      <c r="P60" s="5"/>
      <c r="Q60" s="5">
        <f>_xlfn.RANK.EQ(Table1[[#This Row],[Quantity]],IF(Table1[Status]="Pending",Table1[Quantity],""))</f>
        <v>42</v>
      </c>
      <c r="R60" s="5"/>
      <c r="S60" s="5"/>
      <c r="T60" s="5"/>
      <c r="U60" s="5">
        <v>9</v>
      </c>
    </row>
    <row r="61" spans="1:21">
      <c r="A61">
        <v>1060</v>
      </c>
      <c r="B61" t="s">
        <v>91</v>
      </c>
      <c r="C61" t="s">
        <v>25</v>
      </c>
      <c r="D61">
        <v>3</v>
      </c>
      <c r="E61">
        <v>29.78</v>
      </c>
      <c r="F61" s="1">
        <v>44986</v>
      </c>
      <c r="G61" s="1">
        <v>44987</v>
      </c>
      <c r="H61" s="1">
        <v>44988</v>
      </c>
      <c r="I61" t="s">
        <v>15</v>
      </c>
      <c r="J61">
        <v>89.34</v>
      </c>
      <c r="K61" s="5">
        <f>_xlfn.RANK.EQ(Table1[[#This Row],[Quantity]],Table1[Quantity])</f>
        <v>68</v>
      </c>
      <c r="M61">
        <f>_xlfn.RANK.EQ(Table1[[#This Row],[Total Price]],IF(Table1[Status]="Shipped",Table1[Total Price],"0"))</f>
        <v>77</v>
      </c>
      <c r="N61" s="5"/>
      <c r="O61" s="5"/>
      <c r="P61" s="5"/>
      <c r="Q61" s="5"/>
      <c r="R61" s="5"/>
      <c r="S61" s="5"/>
      <c r="T61" s="5">
        <f>_xlfn.RANK.EQ(Table1[[#This Row],[Quantity]],IF(Table1[Order Date]&lt;45017,IF(Table1[Order Date]&gt;44985,Table1[Quantity],""),""))</f>
        <v>68</v>
      </c>
      <c r="U61" s="5">
        <v>3</v>
      </c>
    </row>
    <row r="62" spans="1:21">
      <c r="A62">
        <v>1061</v>
      </c>
      <c r="B62" t="s">
        <v>92</v>
      </c>
      <c r="C62" t="s">
        <v>27</v>
      </c>
      <c r="D62">
        <v>6</v>
      </c>
      <c r="E62">
        <v>44.58</v>
      </c>
      <c r="F62" s="1">
        <v>44987</v>
      </c>
      <c r="G62" s="1">
        <v>44988</v>
      </c>
      <c r="H62" s="1">
        <v>44989</v>
      </c>
      <c r="I62" t="s">
        <v>12</v>
      </c>
      <c r="J62">
        <v>267.48</v>
      </c>
      <c r="K62" s="5">
        <f>_xlfn.RANK.EQ(Table1[[#This Row],[Quantity]],Table1[Quantity])</f>
        <v>29</v>
      </c>
      <c r="N62" s="5"/>
      <c r="O62" s="5"/>
      <c r="P62" s="5"/>
      <c r="Q62" s="5"/>
      <c r="R62" s="5"/>
      <c r="S62" s="5"/>
      <c r="T62" s="5">
        <f>_xlfn.RANK.EQ(Table1[[#This Row],[Quantity]],IF(Table1[Order Date]&lt;45017,IF(Table1[Order Date]&gt;44985,Table1[Quantity],""),""))</f>
        <v>29</v>
      </c>
      <c r="U62" s="5">
        <v>1</v>
      </c>
    </row>
    <row r="63" spans="1:21">
      <c r="A63">
        <v>1062</v>
      </c>
      <c r="B63" t="s">
        <v>93</v>
      </c>
      <c r="C63" t="s">
        <v>29</v>
      </c>
      <c r="D63">
        <v>4</v>
      </c>
      <c r="E63">
        <v>51.24</v>
      </c>
      <c r="F63" s="1">
        <v>44988</v>
      </c>
      <c r="G63" s="1">
        <v>44989</v>
      </c>
      <c r="H63" s="1">
        <v>44990</v>
      </c>
      <c r="I63" t="s">
        <v>21</v>
      </c>
      <c r="J63">
        <v>204.96</v>
      </c>
      <c r="K63" s="5">
        <f>_xlfn.RANK.EQ(Table1[[#This Row],[Quantity]],Table1[Quantity])</f>
        <v>56</v>
      </c>
      <c r="N63" s="5"/>
      <c r="O63" s="5">
        <f>_xlfn.RANK.EQ(Table1[[#This Row],[Price per Unit]],IF(OR(Table1[Product]="Product 16",Table1[Product]="Product 17",Table1[Product]="Product 18",Table1[Product]="Product 19",Table1[Product]="Product 20"),Table1[Price per Unit],""))</f>
        <v>29</v>
      </c>
      <c r="P63" s="5"/>
      <c r="Q63" s="5">
        <f>_xlfn.RANK.EQ(Table1[[#This Row],[Quantity]],IF(Table1[Status]="Pending",Table1[Quantity],""))</f>
        <v>56</v>
      </c>
      <c r="R63" s="5"/>
      <c r="S63" s="5"/>
      <c r="T63" s="5">
        <f>_xlfn.RANK.EQ(Table1[[#This Row],[Quantity]],IF(Table1[Order Date]&lt;45017,IF(Table1[Order Date]&gt;44985,Table1[Quantity],""),""))</f>
        <v>56</v>
      </c>
      <c r="U63" s="5">
        <v>18</v>
      </c>
    </row>
    <row r="64" spans="1:21">
      <c r="A64">
        <v>1063</v>
      </c>
      <c r="B64" t="s">
        <v>94</v>
      </c>
      <c r="C64" t="s">
        <v>31</v>
      </c>
      <c r="D64">
        <v>8</v>
      </c>
      <c r="E64">
        <v>20.59</v>
      </c>
      <c r="F64" s="1">
        <v>44989</v>
      </c>
      <c r="G64" s="1">
        <v>44990</v>
      </c>
      <c r="H64" s="1">
        <v>44991</v>
      </c>
      <c r="I64" t="s">
        <v>15</v>
      </c>
      <c r="J64">
        <v>164.72</v>
      </c>
      <c r="K64" s="5">
        <f>_xlfn.RANK.EQ(Table1[[#This Row],[Quantity]],Table1[Quantity])</f>
        <v>9</v>
      </c>
      <c r="M64">
        <f>_xlfn.RANK.EQ(Table1[[#This Row],[Total Price]],IF(Table1[Status]="Shipped",Table1[Total Price],"0"))</f>
        <v>51</v>
      </c>
      <c r="N64" s="5"/>
      <c r="O64" s="5"/>
      <c r="P64" s="5"/>
      <c r="Q64" s="5"/>
      <c r="R64" s="5"/>
      <c r="S64" s="5"/>
      <c r="T64" s="5">
        <f>_xlfn.RANK.EQ(Table1[[#This Row],[Quantity]],IF(Table1[Order Date]&lt;45017,IF(Table1[Order Date]&gt;44985,Table1[Quantity],""),""))</f>
        <v>9</v>
      </c>
      <c r="U64" s="5">
        <v>12</v>
      </c>
    </row>
    <row r="65" spans="1:21">
      <c r="A65">
        <v>1064</v>
      </c>
      <c r="B65" t="s">
        <v>95</v>
      </c>
      <c r="C65" t="s">
        <v>33</v>
      </c>
      <c r="D65">
        <v>7</v>
      </c>
      <c r="E65">
        <v>61.29</v>
      </c>
      <c r="F65" s="1">
        <v>44990</v>
      </c>
      <c r="G65" s="1">
        <v>44991</v>
      </c>
      <c r="H65" s="1">
        <v>44992</v>
      </c>
      <c r="I65" t="s">
        <v>12</v>
      </c>
      <c r="J65">
        <v>429.03</v>
      </c>
      <c r="K65" s="5">
        <f>_xlfn.RANK.EQ(Table1[[#This Row],[Quantity]],Table1[Quantity])</f>
        <v>17</v>
      </c>
      <c r="N65" s="5"/>
      <c r="O65" s="5"/>
      <c r="P65" s="5"/>
      <c r="Q65" s="5"/>
      <c r="R65" s="5"/>
      <c r="S65" s="5"/>
      <c r="T65" s="5">
        <f>_xlfn.RANK.EQ(Table1[[#This Row],[Quantity]],IF(Table1[Order Date]&lt;45017,IF(Table1[Order Date]&gt;44985,Table1[Quantity],""),""))</f>
        <v>17</v>
      </c>
      <c r="U65" s="5">
        <v>4</v>
      </c>
    </row>
    <row r="66" spans="1:21">
      <c r="A66">
        <v>1065</v>
      </c>
      <c r="B66" t="s">
        <v>96</v>
      </c>
      <c r="C66" t="s">
        <v>35</v>
      </c>
      <c r="D66">
        <v>5</v>
      </c>
      <c r="E66">
        <v>27.43</v>
      </c>
      <c r="F66" s="1">
        <v>44991</v>
      </c>
      <c r="G66" s="1">
        <v>44992</v>
      </c>
      <c r="H66" s="1">
        <v>44993</v>
      </c>
      <c r="I66" t="s">
        <v>21</v>
      </c>
      <c r="J66">
        <v>137.15</v>
      </c>
      <c r="K66" s="5">
        <f>_xlfn.RANK.EQ(Table1[[#This Row],[Quantity]],Table1[Quantity])</f>
        <v>42</v>
      </c>
      <c r="N66" s="5"/>
      <c r="O66" s="5">
        <f>_xlfn.RANK.EQ(Table1[[#This Row],[Price per Unit]],IF(OR(Table1[Product]="Product 16",Table1[Product]="Product 17",Table1[Product]="Product 18",Table1[Product]="Product 19",Table1[Product]="Product 20"),Table1[Price per Unit],""))</f>
        <v>70</v>
      </c>
      <c r="P66" s="5"/>
      <c r="Q66" s="5">
        <f>_xlfn.RANK.EQ(Table1[[#This Row],[Quantity]],IF(Table1[Status]="Pending",Table1[Quantity],""))</f>
        <v>42</v>
      </c>
      <c r="R66" s="5"/>
      <c r="S66" s="5"/>
      <c r="T66" s="5">
        <f>_xlfn.RANK.EQ(Table1[[#This Row],[Quantity]],IF(Table1[Order Date]&lt;45017,IF(Table1[Order Date]&gt;44985,Table1[Quantity],""),""))</f>
        <v>42</v>
      </c>
      <c r="U66" s="5">
        <v>16</v>
      </c>
    </row>
    <row r="67" spans="1:21">
      <c r="A67">
        <v>1066</v>
      </c>
      <c r="B67" t="s">
        <v>97</v>
      </c>
      <c r="C67" t="s">
        <v>37</v>
      </c>
      <c r="D67">
        <v>3</v>
      </c>
      <c r="E67">
        <v>39.67</v>
      </c>
      <c r="F67" s="1">
        <v>44992</v>
      </c>
      <c r="G67" s="1">
        <v>44993</v>
      </c>
      <c r="H67" s="1">
        <v>44994</v>
      </c>
      <c r="I67" t="s">
        <v>15</v>
      </c>
      <c r="J67">
        <v>119.01</v>
      </c>
      <c r="K67" s="5">
        <f>_xlfn.RANK.EQ(Table1[[#This Row],[Quantity]],Table1[Quantity])</f>
        <v>68</v>
      </c>
      <c r="M67">
        <f>_xlfn.RANK.EQ(Table1[[#This Row],[Total Price]],IF(Table1[Status]="Shipped",Table1[Total Price],"0"))</f>
        <v>66</v>
      </c>
      <c r="N67" s="5"/>
      <c r="O67" s="5"/>
      <c r="P67" s="5"/>
      <c r="Q67" s="5"/>
      <c r="R67" s="5"/>
      <c r="S67" s="5"/>
      <c r="T67" s="5">
        <f>_xlfn.RANK.EQ(Table1[[#This Row],[Quantity]],IF(Table1[Order Date]&lt;45017,IF(Table1[Order Date]&gt;44985,Table1[Quantity],""),""))</f>
        <v>68</v>
      </c>
      <c r="U67" s="5">
        <v>6</v>
      </c>
    </row>
    <row r="68" spans="1:21">
      <c r="A68">
        <v>1067</v>
      </c>
      <c r="B68" t="s">
        <v>98</v>
      </c>
      <c r="C68" t="s">
        <v>39</v>
      </c>
      <c r="D68">
        <v>4</v>
      </c>
      <c r="E68">
        <v>52.78</v>
      </c>
      <c r="F68" s="1">
        <v>44993</v>
      </c>
      <c r="G68" s="1">
        <v>44994</v>
      </c>
      <c r="H68" s="1">
        <v>44995</v>
      </c>
      <c r="I68" t="s">
        <v>12</v>
      </c>
      <c r="J68">
        <v>211.12</v>
      </c>
      <c r="K68" s="5">
        <f>_xlfn.RANK.EQ(Table1[[#This Row],[Quantity]],Table1[Quantity])</f>
        <v>56</v>
      </c>
      <c r="N68" s="5"/>
      <c r="O68" s="5"/>
      <c r="P68" s="5"/>
      <c r="Q68" s="5"/>
      <c r="R68" s="5"/>
      <c r="S68" s="5"/>
      <c r="T68" s="5">
        <f>_xlfn.RANK.EQ(Table1[[#This Row],[Quantity]],IF(Table1[Order Date]&lt;45017,IF(Table1[Order Date]&gt;44985,Table1[Quantity],""),""))</f>
        <v>56</v>
      </c>
      <c r="U68" s="5">
        <v>10</v>
      </c>
    </row>
    <row r="69" spans="1:21">
      <c r="A69">
        <v>1068</v>
      </c>
      <c r="B69" t="s">
        <v>99</v>
      </c>
      <c r="C69" t="s">
        <v>41</v>
      </c>
      <c r="D69">
        <v>6</v>
      </c>
      <c r="E69">
        <v>24.56</v>
      </c>
      <c r="F69" s="1">
        <v>44994</v>
      </c>
      <c r="G69" s="1">
        <v>44995</v>
      </c>
      <c r="H69" s="1">
        <v>44996</v>
      </c>
      <c r="I69" t="s">
        <v>21</v>
      </c>
      <c r="J69">
        <v>147.36000000000001</v>
      </c>
      <c r="K69" s="5">
        <f>_xlfn.RANK.EQ(Table1[[#This Row],[Quantity]],Table1[Quantity])</f>
        <v>29</v>
      </c>
      <c r="N69" s="5"/>
      <c r="O69" s="5"/>
      <c r="P69" s="5"/>
      <c r="Q69" s="5">
        <f>_xlfn.RANK.EQ(Table1[[#This Row],[Quantity]],IF(Table1[Status]="Pending",Table1[Quantity],""))</f>
        <v>29</v>
      </c>
      <c r="R69" s="5"/>
      <c r="S69" s="5"/>
      <c r="T69" s="5">
        <f>_xlfn.RANK.EQ(Table1[[#This Row],[Quantity]],IF(Table1[Order Date]&lt;45017,IF(Table1[Order Date]&gt;44985,Table1[Quantity],""),""))</f>
        <v>29</v>
      </c>
      <c r="U69" s="5">
        <v>11</v>
      </c>
    </row>
    <row r="70" spans="1:21">
      <c r="A70">
        <v>1069</v>
      </c>
      <c r="B70" t="s">
        <v>100</v>
      </c>
      <c r="C70" t="s">
        <v>43</v>
      </c>
      <c r="D70">
        <v>3</v>
      </c>
      <c r="E70">
        <v>37.909999999999997</v>
      </c>
      <c r="F70" s="1">
        <v>44995</v>
      </c>
      <c r="G70" s="1">
        <v>44996</v>
      </c>
      <c r="H70" s="1">
        <v>44997</v>
      </c>
      <c r="I70" t="s">
        <v>15</v>
      </c>
      <c r="J70">
        <v>113.73</v>
      </c>
      <c r="K70" s="5">
        <f>_xlfn.RANK.EQ(Table1[[#This Row],[Quantity]],Table1[Quantity])</f>
        <v>68</v>
      </c>
      <c r="M70">
        <f>_xlfn.RANK.EQ(Table1[[#This Row],[Total Price]],IF(Table1[Status]="Shipped",Table1[Total Price],"0"))</f>
        <v>69</v>
      </c>
      <c r="N70" s="5"/>
      <c r="O70" s="5">
        <f>_xlfn.RANK.EQ(Table1[[#This Row],[Price per Unit]],IF(OR(Table1[Product]="Product 16",Table1[Product]="Product 17",Table1[Product]="Product 18",Table1[Product]="Product 19",Table1[Product]="Product 20"),Table1[Price per Unit],""))</f>
        <v>53</v>
      </c>
      <c r="P70" s="5"/>
      <c r="Q70" s="5"/>
      <c r="R70" s="5"/>
      <c r="S70" s="5"/>
      <c r="T70" s="5">
        <f>_xlfn.RANK.EQ(Table1[[#This Row],[Quantity]],IF(Table1[Order Date]&lt;45017,IF(Table1[Order Date]&gt;44985,Table1[Quantity],""),""))</f>
        <v>68</v>
      </c>
      <c r="U70" s="5">
        <v>19</v>
      </c>
    </row>
    <row r="71" spans="1:21">
      <c r="A71">
        <v>1070</v>
      </c>
      <c r="B71" t="s">
        <v>101</v>
      </c>
      <c r="C71" t="s">
        <v>45</v>
      </c>
      <c r="D71">
        <v>7</v>
      </c>
      <c r="E71">
        <v>19.25</v>
      </c>
      <c r="F71" s="1">
        <v>44996</v>
      </c>
      <c r="G71" s="1">
        <v>44997</v>
      </c>
      <c r="H71" s="1">
        <v>44998</v>
      </c>
      <c r="I71" t="s">
        <v>12</v>
      </c>
      <c r="J71">
        <v>134.75</v>
      </c>
      <c r="K71" s="5">
        <f>_xlfn.RANK.EQ(Table1[[#This Row],[Quantity]],Table1[Quantity])</f>
        <v>17</v>
      </c>
      <c r="N71" s="5"/>
      <c r="O71" s="5"/>
      <c r="P71" s="5"/>
      <c r="Q71" s="5"/>
      <c r="R71" s="5"/>
      <c r="S71" s="5"/>
      <c r="T71" s="5">
        <f>_xlfn.RANK.EQ(Table1[[#This Row],[Quantity]],IF(Table1[Order Date]&lt;45017,IF(Table1[Order Date]&gt;44985,Table1[Quantity],""),""))</f>
        <v>17</v>
      </c>
      <c r="U71" s="5">
        <v>8</v>
      </c>
    </row>
    <row r="72" spans="1:21">
      <c r="A72">
        <v>1071</v>
      </c>
      <c r="B72" t="s">
        <v>102</v>
      </c>
      <c r="C72" t="s">
        <v>47</v>
      </c>
      <c r="D72">
        <v>2</v>
      </c>
      <c r="E72">
        <v>33.479999999999997</v>
      </c>
      <c r="F72" s="1">
        <v>44997</v>
      </c>
      <c r="G72" s="1">
        <v>44998</v>
      </c>
      <c r="H72" s="1">
        <v>44999</v>
      </c>
      <c r="I72" t="s">
        <v>21</v>
      </c>
      <c r="J72">
        <v>66.959999999999994</v>
      </c>
      <c r="K72" s="5">
        <f>_xlfn.RANK.EQ(Table1[[#This Row],[Quantity]],Table1[Quantity])</f>
        <v>82</v>
      </c>
      <c r="N72" s="5"/>
      <c r="O72" s="5"/>
      <c r="P72" s="5"/>
      <c r="Q72" s="5">
        <f>_xlfn.RANK.EQ(Table1[[#This Row],[Quantity]],IF(Table1[Status]="Pending",Table1[Quantity],""))</f>
        <v>82</v>
      </c>
      <c r="R72" s="5"/>
      <c r="S72" s="5"/>
      <c r="T72" s="5">
        <f>_xlfn.RANK.EQ(Table1[[#This Row],[Quantity]],IF(Table1[Order Date]&lt;45017,IF(Table1[Order Date]&gt;44985,Table1[Quantity],""),""))</f>
        <v>82</v>
      </c>
      <c r="U72" s="5">
        <v>14</v>
      </c>
    </row>
    <row r="73" spans="1:21">
      <c r="A73">
        <v>1072</v>
      </c>
      <c r="B73" t="s">
        <v>103</v>
      </c>
      <c r="C73" t="s">
        <v>49</v>
      </c>
      <c r="D73">
        <v>5</v>
      </c>
      <c r="E73">
        <v>66.290000000000006</v>
      </c>
      <c r="F73" s="1">
        <v>44998</v>
      </c>
      <c r="G73" s="1">
        <v>44999</v>
      </c>
      <c r="H73" s="1">
        <v>45000</v>
      </c>
      <c r="I73" t="s">
        <v>15</v>
      </c>
      <c r="J73">
        <v>331.45</v>
      </c>
      <c r="K73" s="5">
        <f>_xlfn.RANK.EQ(Table1[[#This Row],[Quantity]],Table1[Quantity])</f>
        <v>42</v>
      </c>
      <c r="M73">
        <f>_xlfn.RANK.EQ(Table1[[#This Row],[Total Price]],IF(Table1[Status]="Shipped",Table1[Total Price],"0"))</f>
        <v>18</v>
      </c>
      <c r="N73" s="5"/>
      <c r="O73" s="5"/>
      <c r="P73" s="5"/>
      <c r="Q73" s="5"/>
      <c r="R73" s="5"/>
      <c r="S73" s="5"/>
      <c r="T73" s="5">
        <f>_xlfn.RANK.EQ(Table1[[#This Row],[Quantity]],IF(Table1[Order Date]&lt;45017,IF(Table1[Order Date]&gt;44985,Table1[Quantity],""),""))</f>
        <v>42</v>
      </c>
      <c r="U73" s="5">
        <v>2</v>
      </c>
    </row>
    <row r="74" spans="1:21">
      <c r="A74">
        <v>1073</v>
      </c>
      <c r="B74" t="s">
        <v>104</v>
      </c>
      <c r="C74" t="s">
        <v>11</v>
      </c>
      <c r="D74">
        <v>6</v>
      </c>
      <c r="E74">
        <v>41.76</v>
      </c>
      <c r="F74" s="1">
        <v>44999</v>
      </c>
      <c r="G74" s="1">
        <v>45000</v>
      </c>
      <c r="H74" s="1">
        <v>45001</v>
      </c>
      <c r="I74" t="s">
        <v>12</v>
      </c>
      <c r="J74">
        <v>250.56</v>
      </c>
      <c r="K74" s="5">
        <f>_xlfn.RANK.EQ(Table1[[#This Row],[Quantity]],Table1[Quantity])</f>
        <v>29</v>
      </c>
      <c r="N74" s="5"/>
      <c r="O74" s="5"/>
      <c r="P74" s="5"/>
      <c r="Q74" s="5"/>
      <c r="R74" s="5"/>
      <c r="S74" s="5"/>
      <c r="T74" s="5">
        <f>_xlfn.RANK.EQ(Table1[[#This Row],[Quantity]],IF(Table1[Order Date]&lt;45017,IF(Table1[Order Date]&gt;44985,Table1[Quantity],""),""))</f>
        <v>29</v>
      </c>
      <c r="U74" s="5">
        <v>7</v>
      </c>
    </row>
    <row r="75" spans="1:21">
      <c r="A75">
        <v>1074</v>
      </c>
      <c r="B75" t="s">
        <v>105</v>
      </c>
      <c r="C75" t="s">
        <v>14</v>
      </c>
      <c r="D75">
        <v>9</v>
      </c>
      <c r="E75">
        <v>48.63</v>
      </c>
      <c r="F75" s="1">
        <v>45000</v>
      </c>
      <c r="G75" s="1">
        <v>45001</v>
      </c>
      <c r="H75" s="1">
        <v>45002</v>
      </c>
      <c r="I75" t="s">
        <v>21</v>
      </c>
      <c r="J75">
        <v>437.67</v>
      </c>
      <c r="K75" s="5">
        <f>_xlfn.RANK.EQ(Table1[[#This Row],[Quantity]],Table1[Quantity])</f>
        <v>1</v>
      </c>
      <c r="N75" s="5"/>
      <c r="O75" s="5"/>
      <c r="P75" s="5"/>
      <c r="Q75" s="5">
        <f>_xlfn.RANK.EQ(Table1[[#This Row],[Quantity]],IF(Table1[Status]="Pending",Table1[Quantity],""))</f>
        <v>1</v>
      </c>
      <c r="R75" s="5"/>
      <c r="S75" s="5"/>
      <c r="T75" s="5">
        <f>_xlfn.RANK.EQ(Table1[[#This Row],[Quantity]],IF(Table1[Order Date]&lt;45017,IF(Table1[Order Date]&gt;44985,Table1[Quantity],""),""))</f>
        <v>1</v>
      </c>
      <c r="U75" s="5">
        <v>15</v>
      </c>
    </row>
    <row r="76" spans="1:21">
      <c r="A76">
        <v>1075</v>
      </c>
      <c r="B76" t="s">
        <v>106</v>
      </c>
      <c r="C76" t="s">
        <v>17</v>
      </c>
      <c r="D76">
        <v>3</v>
      </c>
      <c r="E76">
        <v>19.95</v>
      </c>
      <c r="F76" s="1">
        <v>45001</v>
      </c>
      <c r="G76" s="1">
        <v>45002</v>
      </c>
      <c r="H76" s="1">
        <v>45003</v>
      </c>
      <c r="I76" t="s">
        <v>15</v>
      </c>
      <c r="J76">
        <v>59.85</v>
      </c>
      <c r="K76" s="5">
        <f>_xlfn.RANK.EQ(Table1[[#This Row],[Quantity]],Table1[Quantity])</f>
        <v>68</v>
      </c>
      <c r="M76">
        <f>_xlfn.RANK.EQ(Table1[[#This Row],[Total Price]],IF(Table1[Status]="Shipped",Table1[Total Price],"0"))</f>
        <v>89</v>
      </c>
      <c r="N76" s="5"/>
      <c r="O76" s="5"/>
      <c r="P76" s="5"/>
      <c r="Q76" s="5"/>
      <c r="R76" s="5"/>
      <c r="S76" s="5"/>
      <c r="T76" s="5">
        <f>_xlfn.RANK.EQ(Table1[[#This Row],[Quantity]],IF(Table1[Order Date]&lt;45017,IF(Table1[Order Date]&gt;44985,Table1[Quantity],""),""))</f>
        <v>68</v>
      </c>
      <c r="U76" s="5">
        <v>5</v>
      </c>
    </row>
    <row r="77" spans="1:21">
      <c r="A77">
        <v>1076</v>
      </c>
      <c r="B77" t="s">
        <v>107</v>
      </c>
      <c r="C77" t="s">
        <v>20</v>
      </c>
      <c r="D77">
        <v>2</v>
      </c>
      <c r="E77">
        <v>37.520000000000003</v>
      </c>
      <c r="F77" s="1">
        <v>45002</v>
      </c>
      <c r="G77" s="1">
        <v>45003</v>
      </c>
      <c r="H77" s="1">
        <v>45004</v>
      </c>
      <c r="I77" t="s">
        <v>12</v>
      </c>
      <c r="J77">
        <v>75.040000000000006</v>
      </c>
      <c r="K77" s="5">
        <f>_xlfn.RANK.EQ(Table1[[#This Row],[Quantity]],Table1[Quantity])</f>
        <v>82</v>
      </c>
      <c r="N77" s="5"/>
      <c r="O77" s="5"/>
      <c r="P77" s="5"/>
      <c r="Q77" s="5"/>
      <c r="R77" s="5"/>
      <c r="S77" s="5"/>
      <c r="T77" s="5">
        <f>_xlfn.RANK.EQ(Table1[[#This Row],[Quantity]],IF(Table1[Order Date]&lt;45017,IF(Table1[Order Date]&gt;44985,Table1[Quantity],""),""))</f>
        <v>82</v>
      </c>
      <c r="U77" s="5">
        <v>13</v>
      </c>
    </row>
    <row r="78" spans="1:21">
      <c r="A78">
        <v>1077</v>
      </c>
      <c r="B78" t="s">
        <v>108</v>
      </c>
      <c r="C78" t="s">
        <v>23</v>
      </c>
      <c r="D78">
        <v>8</v>
      </c>
      <c r="E78">
        <v>42.29</v>
      </c>
      <c r="F78" s="1">
        <v>45003</v>
      </c>
      <c r="G78" s="1">
        <v>45004</v>
      </c>
      <c r="H78" s="1">
        <v>45005</v>
      </c>
      <c r="I78" t="s">
        <v>21</v>
      </c>
      <c r="J78">
        <v>338.32</v>
      </c>
      <c r="K78" s="5">
        <f>_xlfn.RANK.EQ(Table1[[#This Row],[Quantity]],Table1[Quantity])</f>
        <v>9</v>
      </c>
      <c r="N78" s="5"/>
      <c r="O78" s="5"/>
      <c r="P78" s="5"/>
      <c r="Q78" s="5">
        <f>_xlfn.RANK.EQ(Table1[[#This Row],[Quantity]],IF(Table1[Status]="Pending",Table1[Quantity],""))</f>
        <v>9</v>
      </c>
      <c r="R78" s="5"/>
      <c r="S78" s="5"/>
      <c r="T78" s="5">
        <f>_xlfn.RANK.EQ(Table1[[#This Row],[Quantity]],IF(Table1[Order Date]&lt;45017,IF(Table1[Order Date]&gt;44985,Table1[Quantity],""),""))</f>
        <v>9</v>
      </c>
      <c r="U78" s="5">
        <v>9</v>
      </c>
    </row>
    <row r="79" spans="1:21">
      <c r="A79">
        <v>1078</v>
      </c>
      <c r="B79" t="s">
        <v>109</v>
      </c>
      <c r="C79" t="s">
        <v>25</v>
      </c>
      <c r="D79">
        <v>5</v>
      </c>
      <c r="E79">
        <v>57.71</v>
      </c>
      <c r="F79" s="1">
        <v>45004</v>
      </c>
      <c r="G79" s="1">
        <v>45005</v>
      </c>
      <c r="H79" s="1">
        <v>45006</v>
      </c>
      <c r="I79" t="s">
        <v>15</v>
      </c>
      <c r="J79">
        <v>59.85</v>
      </c>
      <c r="K79" s="5">
        <f>_xlfn.RANK.EQ(Table1[[#This Row],[Quantity]],Table1[Quantity])</f>
        <v>42</v>
      </c>
      <c r="M79">
        <f>_xlfn.RANK.EQ(Table1[[#This Row],[Total Price]],IF(Table1[Status]="Shipped",Table1[Total Price],"0"))</f>
        <v>89</v>
      </c>
      <c r="N79" s="5"/>
      <c r="O79" s="5"/>
      <c r="P79" s="5"/>
      <c r="Q79" s="5"/>
      <c r="R79" s="5"/>
      <c r="S79" s="5"/>
      <c r="T79" s="5">
        <f>_xlfn.RANK.EQ(Table1[[#This Row],[Quantity]],IF(Table1[Order Date]&lt;45017,IF(Table1[Order Date]&gt;44985,Table1[Quantity],""),""))</f>
        <v>42</v>
      </c>
      <c r="U79" s="5">
        <v>3</v>
      </c>
    </row>
    <row r="80" spans="1:21">
      <c r="A80">
        <v>1079</v>
      </c>
      <c r="B80" t="s">
        <v>110</v>
      </c>
      <c r="C80" t="s">
        <v>27</v>
      </c>
      <c r="D80">
        <v>7</v>
      </c>
      <c r="E80">
        <v>45.88</v>
      </c>
      <c r="F80" s="1">
        <v>45005</v>
      </c>
      <c r="G80" s="1">
        <v>45006</v>
      </c>
      <c r="H80" s="1">
        <v>45007</v>
      </c>
      <c r="I80" t="s">
        <v>12</v>
      </c>
      <c r="J80">
        <v>321.16000000000003</v>
      </c>
      <c r="K80" s="5">
        <f>_xlfn.RANK.EQ(Table1[[#This Row],[Quantity]],Table1[Quantity])</f>
        <v>17</v>
      </c>
      <c r="N80" s="5"/>
      <c r="O80" s="5"/>
      <c r="P80" s="5"/>
      <c r="Q80" s="5"/>
      <c r="R80" s="5"/>
      <c r="S80" s="5"/>
      <c r="T80" s="5">
        <f>_xlfn.RANK.EQ(Table1[[#This Row],[Quantity]],IF(Table1[Order Date]&lt;45017,IF(Table1[Order Date]&gt;44985,Table1[Quantity],""),""))</f>
        <v>17</v>
      </c>
      <c r="U80" s="5">
        <v>1</v>
      </c>
    </row>
    <row r="81" spans="1:21">
      <c r="A81">
        <v>1080</v>
      </c>
      <c r="B81" t="s">
        <v>111</v>
      </c>
      <c r="C81" t="s">
        <v>29</v>
      </c>
      <c r="D81">
        <v>2</v>
      </c>
      <c r="E81">
        <v>32.159999999999997</v>
      </c>
      <c r="F81" s="1">
        <v>45006</v>
      </c>
      <c r="G81" s="1">
        <v>45007</v>
      </c>
      <c r="H81" s="1">
        <v>45008</v>
      </c>
      <c r="I81" t="s">
        <v>21</v>
      </c>
      <c r="J81">
        <v>64.319999999999993</v>
      </c>
      <c r="K81" s="5">
        <f>_xlfn.RANK.EQ(Table1[[#This Row],[Quantity]],Table1[Quantity])</f>
        <v>82</v>
      </c>
      <c r="N81" s="5"/>
      <c r="O81" s="5">
        <f>_xlfn.RANK.EQ(Table1[[#This Row],[Price per Unit]],IF(OR(Table1[Product]="Product 16",Table1[Product]="Product 17",Table1[Product]="Product 18",Table1[Product]="Product 19",Table1[Product]="Product 20"),Table1[Price per Unit],""))</f>
        <v>62</v>
      </c>
      <c r="P81" s="5"/>
      <c r="Q81" s="5">
        <f>_xlfn.RANK.EQ(Table1[[#This Row],[Quantity]],IF(Table1[Status]="Pending",Table1[Quantity],""))</f>
        <v>82</v>
      </c>
      <c r="R81" s="5"/>
      <c r="S81" s="5"/>
      <c r="T81" s="5">
        <f>_xlfn.RANK.EQ(Table1[[#This Row],[Quantity]],IF(Table1[Order Date]&lt;45017,IF(Table1[Order Date]&gt;44985,Table1[Quantity],""),""))</f>
        <v>82</v>
      </c>
      <c r="U81" s="5">
        <v>18</v>
      </c>
    </row>
    <row r="82" spans="1:21">
      <c r="A82">
        <v>1081</v>
      </c>
      <c r="B82" t="s">
        <v>112</v>
      </c>
      <c r="C82" t="s">
        <v>31</v>
      </c>
      <c r="D82">
        <v>6</v>
      </c>
      <c r="E82">
        <v>29.92</v>
      </c>
      <c r="F82" s="1">
        <v>45007</v>
      </c>
      <c r="G82" s="1">
        <v>45008</v>
      </c>
      <c r="H82" s="1">
        <v>45009</v>
      </c>
      <c r="I82" t="s">
        <v>15</v>
      </c>
      <c r="J82">
        <v>179.52</v>
      </c>
      <c r="K82" s="5">
        <f>_xlfn.RANK.EQ(Table1[[#This Row],[Quantity]],Table1[Quantity])</f>
        <v>29</v>
      </c>
      <c r="M82">
        <f>_xlfn.RANK.EQ(Table1[[#This Row],[Total Price]],IF(Table1[Status]="Shipped",Table1[Total Price],"0"))</f>
        <v>49</v>
      </c>
      <c r="N82" s="5">
        <f>_xlfn.RANK.EQ(Table1[[#This Row],[Quantity]],IF(Table1[Order ID]&gt;1080,IF(Table1[Order ID]&lt;1101,Table1[Quantity],""),""))</f>
        <v>29</v>
      </c>
      <c r="O82" s="5"/>
      <c r="P82" s="5"/>
      <c r="Q82" s="5"/>
      <c r="R82" s="5"/>
      <c r="S82" s="5"/>
      <c r="T82" s="5">
        <f>_xlfn.RANK.EQ(Table1[[#This Row],[Quantity]],IF(Table1[Order Date]&lt;45017,IF(Table1[Order Date]&gt;44985,Table1[Quantity],""),""))</f>
        <v>29</v>
      </c>
      <c r="U82" s="5">
        <v>12</v>
      </c>
    </row>
    <row r="83" spans="1:21">
      <c r="A83">
        <v>1082</v>
      </c>
      <c r="B83" t="s">
        <v>113</v>
      </c>
      <c r="C83" t="s">
        <v>33</v>
      </c>
      <c r="D83">
        <v>1</v>
      </c>
      <c r="E83">
        <v>12.63</v>
      </c>
      <c r="F83" s="1">
        <v>45008</v>
      </c>
      <c r="G83" s="1">
        <v>45009</v>
      </c>
      <c r="H83" s="1">
        <v>45010</v>
      </c>
      <c r="I83" t="s">
        <v>12</v>
      </c>
      <c r="J83">
        <v>12.63</v>
      </c>
      <c r="K83" s="5">
        <f>_xlfn.RANK.EQ(Table1[[#This Row],[Quantity]],Table1[Quantity])</f>
        <v>96</v>
      </c>
      <c r="N83" s="5">
        <f>_xlfn.RANK.EQ(Table1[[#This Row],[Quantity]],IF(Table1[Order ID]&gt;1080,IF(Table1[Order ID]&lt;1101,Table1[Quantity],""),""))</f>
        <v>96</v>
      </c>
      <c r="O83" s="5"/>
      <c r="P83" s="5"/>
      <c r="Q83" s="5"/>
      <c r="R83" s="5"/>
      <c r="S83" s="5"/>
      <c r="T83" s="5">
        <f>_xlfn.RANK.EQ(Table1[[#This Row],[Quantity]],IF(Table1[Order Date]&lt;45017,IF(Table1[Order Date]&gt;44985,Table1[Quantity],""),""))</f>
        <v>96</v>
      </c>
      <c r="U83" s="5">
        <v>4</v>
      </c>
    </row>
    <row r="84" spans="1:21">
      <c r="A84">
        <v>1083</v>
      </c>
      <c r="B84" t="s">
        <v>114</v>
      </c>
      <c r="C84" t="s">
        <v>35</v>
      </c>
      <c r="D84">
        <v>8</v>
      </c>
      <c r="E84">
        <v>45.15</v>
      </c>
      <c r="F84" s="1">
        <v>45009</v>
      </c>
      <c r="G84" s="1">
        <v>45010</v>
      </c>
      <c r="H84" s="1">
        <v>45011</v>
      </c>
      <c r="I84" t="s">
        <v>21</v>
      </c>
      <c r="J84">
        <v>361.2</v>
      </c>
      <c r="K84" s="5">
        <f>_xlfn.RANK.EQ(Table1[[#This Row],[Quantity]],Table1[Quantity])</f>
        <v>9</v>
      </c>
      <c r="N84" s="5">
        <f>_xlfn.RANK.EQ(Table1[[#This Row],[Quantity]],IF(Table1[Order ID]&gt;1080,IF(Table1[Order ID]&lt;1101,Table1[Quantity],""),""))</f>
        <v>9</v>
      </c>
      <c r="O84" s="5">
        <f>_xlfn.RANK.EQ(Table1[[#This Row],[Price per Unit]],IF(OR(Table1[Product]="Product 16",Table1[Product]="Product 17",Table1[Product]="Product 18",Table1[Product]="Product 19",Table1[Product]="Product 20"),Table1[Price per Unit],""))</f>
        <v>40</v>
      </c>
      <c r="P84" s="5"/>
      <c r="Q84" s="5">
        <f>_xlfn.RANK.EQ(Table1[[#This Row],[Quantity]],IF(Table1[Status]="Pending",Table1[Quantity],""))</f>
        <v>9</v>
      </c>
      <c r="R84" s="5"/>
      <c r="S84" s="5"/>
      <c r="T84" s="5">
        <f>_xlfn.RANK.EQ(Table1[[#This Row],[Quantity]],IF(Table1[Order Date]&lt;45017,IF(Table1[Order Date]&gt;44985,Table1[Quantity],""),""))</f>
        <v>9</v>
      </c>
      <c r="U84" s="5">
        <v>16</v>
      </c>
    </row>
    <row r="85" spans="1:21">
      <c r="A85">
        <v>1084</v>
      </c>
      <c r="B85" t="s">
        <v>115</v>
      </c>
      <c r="C85" t="s">
        <v>37</v>
      </c>
      <c r="D85">
        <v>9</v>
      </c>
      <c r="E85">
        <v>55.37</v>
      </c>
      <c r="F85" s="1">
        <v>45010</v>
      </c>
      <c r="G85" s="1">
        <v>45011</v>
      </c>
      <c r="H85" s="1">
        <v>45012</v>
      </c>
      <c r="I85" t="s">
        <v>15</v>
      </c>
      <c r="J85">
        <v>498.33</v>
      </c>
      <c r="K85" s="5">
        <f>_xlfn.RANK.EQ(Table1[[#This Row],[Quantity]],Table1[Quantity])</f>
        <v>1</v>
      </c>
      <c r="M85">
        <f>_xlfn.RANK.EQ(Table1[[#This Row],[Total Price]],IF(Table1[Status]="Shipped",Table1[Total Price],"0"))</f>
        <v>3</v>
      </c>
      <c r="N85" s="5">
        <f>_xlfn.RANK.EQ(Table1[[#This Row],[Quantity]],IF(Table1[Order ID]&gt;1080,IF(Table1[Order ID]&lt;1101,Table1[Quantity],""),""))</f>
        <v>1</v>
      </c>
      <c r="O85" s="5"/>
      <c r="P85" s="5"/>
      <c r="Q85" s="5"/>
      <c r="R85" s="5"/>
      <c r="S85" s="5"/>
      <c r="T85" s="5">
        <f>_xlfn.RANK.EQ(Table1[[#This Row],[Quantity]],IF(Table1[Order Date]&lt;45017,IF(Table1[Order Date]&gt;44985,Table1[Quantity],""),""))</f>
        <v>1</v>
      </c>
      <c r="U85" s="5">
        <v>6</v>
      </c>
    </row>
    <row r="86" spans="1:21">
      <c r="A86">
        <v>1085</v>
      </c>
      <c r="B86" t="s">
        <v>116</v>
      </c>
      <c r="C86" t="s">
        <v>39</v>
      </c>
      <c r="D86">
        <v>4</v>
      </c>
      <c r="E86">
        <v>68.92</v>
      </c>
      <c r="F86" s="1">
        <v>45011</v>
      </c>
      <c r="G86" s="1">
        <v>45012</v>
      </c>
      <c r="H86" s="1">
        <v>45013</v>
      </c>
      <c r="I86" t="s">
        <v>12</v>
      </c>
      <c r="J86">
        <v>275.68</v>
      </c>
      <c r="K86" s="5">
        <f>_xlfn.RANK.EQ(Table1[[#This Row],[Quantity]],Table1[Quantity])</f>
        <v>56</v>
      </c>
      <c r="N86" s="5">
        <f>_xlfn.RANK.EQ(Table1[[#This Row],[Quantity]],IF(Table1[Order ID]&gt;1080,IF(Table1[Order ID]&lt;1101,Table1[Quantity],""),""))</f>
        <v>56</v>
      </c>
      <c r="O86" s="5"/>
      <c r="P86" s="5"/>
      <c r="Q86" s="5"/>
      <c r="R86" s="5"/>
      <c r="S86" s="5"/>
      <c r="T86" s="5">
        <f>_xlfn.RANK.EQ(Table1[[#This Row],[Quantity]],IF(Table1[Order Date]&lt;45017,IF(Table1[Order Date]&gt;44985,Table1[Quantity],""),""))</f>
        <v>56</v>
      </c>
      <c r="U86" s="5">
        <v>10</v>
      </c>
    </row>
    <row r="87" spans="1:21">
      <c r="A87">
        <v>1086</v>
      </c>
      <c r="B87" t="s">
        <v>117</v>
      </c>
      <c r="C87" t="s">
        <v>41</v>
      </c>
      <c r="D87">
        <v>3</v>
      </c>
      <c r="E87">
        <v>34.67</v>
      </c>
      <c r="F87" s="1">
        <v>45012</v>
      </c>
      <c r="G87" s="1">
        <v>45013</v>
      </c>
      <c r="H87" s="1">
        <v>45014</v>
      </c>
      <c r="I87" t="s">
        <v>21</v>
      </c>
      <c r="J87">
        <v>104.01</v>
      </c>
      <c r="K87" s="5">
        <f>_xlfn.RANK.EQ(Table1[[#This Row],[Quantity]],Table1[Quantity])</f>
        <v>68</v>
      </c>
      <c r="N87" s="5">
        <f>_xlfn.RANK.EQ(Table1[[#This Row],[Quantity]],IF(Table1[Order ID]&gt;1080,IF(Table1[Order ID]&lt;1101,Table1[Quantity],""),""))</f>
        <v>68</v>
      </c>
      <c r="O87" s="5"/>
      <c r="P87" s="5"/>
      <c r="Q87" s="5">
        <f>_xlfn.RANK.EQ(Table1[[#This Row],[Quantity]],IF(Table1[Status]="Pending",Table1[Quantity],""))</f>
        <v>68</v>
      </c>
      <c r="R87" s="5"/>
      <c r="S87" s="5"/>
      <c r="T87" s="5">
        <f>_xlfn.RANK.EQ(Table1[[#This Row],[Quantity]],IF(Table1[Order Date]&lt;45017,IF(Table1[Order Date]&gt;44985,Table1[Quantity],""),""))</f>
        <v>68</v>
      </c>
      <c r="U87" s="5">
        <v>11</v>
      </c>
    </row>
    <row r="88" spans="1:21">
      <c r="A88">
        <v>1087</v>
      </c>
      <c r="B88" t="s">
        <v>118</v>
      </c>
      <c r="C88" t="s">
        <v>43</v>
      </c>
      <c r="D88">
        <v>2</v>
      </c>
      <c r="E88">
        <v>46.11</v>
      </c>
      <c r="F88" s="1">
        <v>45013</v>
      </c>
      <c r="G88" s="1">
        <v>45014</v>
      </c>
      <c r="H88" s="1">
        <v>45015</v>
      </c>
      <c r="I88" t="s">
        <v>15</v>
      </c>
      <c r="J88">
        <v>92.22</v>
      </c>
      <c r="K88" s="5">
        <f>_xlfn.RANK.EQ(Table1[[#This Row],[Quantity]],Table1[Quantity])</f>
        <v>82</v>
      </c>
      <c r="M88">
        <f>_xlfn.RANK.EQ(Table1[[#This Row],[Total Price]],IF(Table1[Status]="Shipped",Table1[Total Price],"0"))</f>
        <v>74</v>
      </c>
      <c r="N88" s="5">
        <f>_xlfn.RANK.EQ(Table1[[#This Row],[Quantity]],IF(Table1[Order ID]&gt;1080,IF(Table1[Order ID]&lt;1101,Table1[Quantity],""),""))</f>
        <v>82</v>
      </c>
      <c r="O88" s="5">
        <f>_xlfn.RANK.EQ(Table1[[#This Row],[Price per Unit]],IF(OR(Table1[Product]="Product 16",Table1[Product]="Product 17",Table1[Product]="Product 18",Table1[Product]="Product 19",Table1[Product]="Product 20"),Table1[Price per Unit],""))</f>
        <v>36</v>
      </c>
      <c r="P88" s="5"/>
      <c r="Q88" s="5"/>
      <c r="R88" s="5"/>
      <c r="S88" s="5"/>
      <c r="T88" s="5">
        <f>_xlfn.RANK.EQ(Table1[[#This Row],[Quantity]],IF(Table1[Order Date]&lt;45017,IF(Table1[Order Date]&gt;44985,Table1[Quantity],""),""))</f>
        <v>82</v>
      </c>
      <c r="U88" s="5">
        <v>19</v>
      </c>
    </row>
    <row r="89" spans="1:21">
      <c r="A89">
        <v>1088</v>
      </c>
      <c r="B89" t="s">
        <v>119</v>
      </c>
      <c r="C89" t="s">
        <v>45</v>
      </c>
      <c r="D89">
        <v>7</v>
      </c>
      <c r="E89">
        <v>22.43</v>
      </c>
      <c r="F89" s="1">
        <v>45014</v>
      </c>
      <c r="G89" s="1">
        <v>45015</v>
      </c>
      <c r="H89" s="1">
        <v>45016</v>
      </c>
      <c r="I89" t="s">
        <v>12</v>
      </c>
      <c r="J89">
        <v>157.01</v>
      </c>
      <c r="K89" s="5">
        <f>_xlfn.RANK.EQ(Table1[[#This Row],[Quantity]],Table1[Quantity])</f>
        <v>17</v>
      </c>
      <c r="N89" s="5">
        <f>_xlfn.RANK.EQ(Table1[[#This Row],[Quantity]],IF(Table1[Order ID]&gt;1080,IF(Table1[Order ID]&lt;1101,Table1[Quantity],""),""))</f>
        <v>17</v>
      </c>
      <c r="O89" s="5"/>
      <c r="P89" s="5"/>
      <c r="Q89" s="5"/>
      <c r="R89" s="5"/>
      <c r="S89" s="5"/>
      <c r="T89" s="5">
        <f>_xlfn.RANK.EQ(Table1[[#This Row],[Quantity]],IF(Table1[Order Date]&lt;45017,IF(Table1[Order Date]&gt;44985,Table1[Quantity],""),""))</f>
        <v>17</v>
      </c>
      <c r="U89" s="5">
        <v>8</v>
      </c>
    </row>
    <row r="90" spans="1:21">
      <c r="A90">
        <v>1089</v>
      </c>
      <c r="B90" t="s">
        <v>120</v>
      </c>
      <c r="C90" t="s">
        <v>47</v>
      </c>
      <c r="D90">
        <v>4</v>
      </c>
      <c r="E90">
        <v>61.76</v>
      </c>
      <c r="F90" s="1">
        <v>45015</v>
      </c>
      <c r="G90" s="1">
        <v>45016</v>
      </c>
      <c r="H90" s="1">
        <v>45017</v>
      </c>
      <c r="I90" t="s">
        <v>21</v>
      </c>
      <c r="J90">
        <v>247.04</v>
      </c>
      <c r="K90" s="5">
        <f>_xlfn.RANK.EQ(Table1[[#This Row],[Quantity]],Table1[Quantity])</f>
        <v>56</v>
      </c>
      <c r="N90" s="5">
        <f>_xlfn.RANK.EQ(Table1[[#This Row],[Quantity]],IF(Table1[Order ID]&gt;1080,IF(Table1[Order ID]&lt;1101,Table1[Quantity],""),""))</f>
        <v>56</v>
      </c>
      <c r="O90" s="5"/>
      <c r="P90" s="5"/>
      <c r="Q90" s="5">
        <f>_xlfn.RANK.EQ(Table1[[#This Row],[Quantity]],IF(Table1[Status]="Pending",Table1[Quantity],""))</f>
        <v>56</v>
      </c>
      <c r="R90" s="5"/>
      <c r="S90" s="5"/>
      <c r="T90" s="5">
        <f>_xlfn.RANK.EQ(Table1[[#This Row],[Quantity]],IF(Table1[Order Date]&lt;45017,IF(Table1[Order Date]&gt;44985,Table1[Quantity],""),""))</f>
        <v>56</v>
      </c>
      <c r="U90" s="5">
        <v>14</v>
      </c>
    </row>
    <row r="91" spans="1:21">
      <c r="A91">
        <v>1090</v>
      </c>
      <c r="B91" t="s">
        <v>121</v>
      </c>
      <c r="C91" t="s">
        <v>49</v>
      </c>
      <c r="D91">
        <v>5</v>
      </c>
      <c r="E91">
        <v>39.479999999999997</v>
      </c>
      <c r="F91" s="1">
        <v>45016</v>
      </c>
      <c r="G91" s="1">
        <v>45017</v>
      </c>
      <c r="H91" s="1">
        <v>45018</v>
      </c>
      <c r="I91" t="s">
        <v>15</v>
      </c>
      <c r="J91">
        <v>197.4</v>
      </c>
      <c r="K91" s="5">
        <f>_xlfn.RANK.EQ(Table1[[#This Row],[Quantity]],Table1[Quantity])</f>
        <v>42</v>
      </c>
      <c r="M91">
        <f>_xlfn.RANK.EQ(Table1[[#This Row],[Total Price]],IF(Table1[Status]="Shipped",Table1[Total Price],"0"))</f>
        <v>46</v>
      </c>
      <c r="N91" s="5">
        <f>_xlfn.RANK.EQ(Table1[[#This Row],[Quantity]],IF(Table1[Order ID]&gt;1080,IF(Table1[Order ID]&lt;1101,Table1[Quantity],""),""))</f>
        <v>42</v>
      </c>
      <c r="O91" s="5"/>
      <c r="P91" s="5"/>
      <c r="Q91" s="5"/>
      <c r="R91" s="5"/>
      <c r="S91" s="5"/>
      <c r="T91" s="5">
        <f>_xlfn.RANK.EQ(Table1[[#This Row],[Quantity]],IF(Table1[Order Date]&lt;45017,IF(Table1[Order Date]&gt;44985,Table1[Quantity],""),""))</f>
        <v>42</v>
      </c>
      <c r="U91" s="5">
        <v>2</v>
      </c>
    </row>
    <row r="92" spans="1:21">
      <c r="A92">
        <v>1091</v>
      </c>
      <c r="B92" t="s">
        <v>122</v>
      </c>
      <c r="C92" t="s">
        <v>11</v>
      </c>
      <c r="D92">
        <v>2</v>
      </c>
      <c r="E92">
        <v>36.770000000000003</v>
      </c>
      <c r="F92" s="1">
        <v>45017</v>
      </c>
      <c r="G92" s="1">
        <v>45018</v>
      </c>
      <c r="H92" s="1">
        <v>45019</v>
      </c>
      <c r="I92" t="s">
        <v>12</v>
      </c>
      <c r="J92">
        <v>73.540000000000006</v>
      </c>
      <c r="K92" s="5">
        <f>_xlfn.RANK.EQ(Table1[[#This Row],[Quantity]],Table1[Quantity])</f>
        <v>82</v>
      </c>
      <c r="N92" s="5">
        <f>_xlfn.RANK.EQ(Table1[[#This Row],[Quantity]],IF(Table1[Order ID]&gt;1080,IF(Table1[Order ID]&lt;1101,Table1[Quantity],""),""))</f>
        <v>82</v>
      </c>
      <c r="O92" s="5"/>
      <c r="P92" s="5"/>
      <c r="Q92" s="5"/>
      <c r="R92" s="5"/>
      <c r="S92" s="5"/>
      <c r="T92" s="5"/>
      <c r="U92" s="5">
        <v>7</v>
      </c>
    </row>
    <row r="93" spans="1:21">
      <c r="A93">
        <v>1092</v>
      </c>
      <c r="B93" t="s">
        <v>123</v>
      </c>
      <c r="C93" t="s">
        <v>14</v>
      </c>
      <c r="D93">
        <v>9</v>
      </c>
      <c r="E93">
        <v>22.12</v>
      </c>
      <c r="F93" s="1">
        <v>45018</v>
      </c>
      <c r="G93" s="1">
        <v>45019</v>
      </c>
      <c r="H93" s="1">
        <v>45020</v>
      </c>
      <c r="I93" t="s">
        <v>21</v>
      </c>
      <c r="J93">
        <v>199.08</v>
      </c>
      <c r="K93" s="5">
        <f>_xlfn.RANK.EQ(Table1[[#This Row],[Quantity]],Table1[Quantity])</f>
        <v>1</v>
      </c>
      <c r="N93" s="5">
        <f>_xlfn.RANK.EQ(Table1[[#This Row],[Quantity]],IF(Table1[Order ID]&gt;1080,IF(Table1[Order ID]&lt;1101,Table1[Quantity],""),""))</f>
        <v>1</v>
      </c>
      <c r="O93" s="5"/>
      <c r="P93" s="5"/>
      <c r="Q93" s="5">
        <f>_xlfn.RANK.EQ(Table1[[#This Row],[Quantity]],IF(Table1[Status]="Pending",Table1[Quantity],""))</f>
        <v>1</v>
      </c>
      <c r="R93" s="5"/>
      <c r="S93" s="5"/>
      <c r="T93" s="5"/>
      <c r="U93" s="5">
        <v>15</v>
      </c>
    </row>
    <row r="94" spans="1:21">
      <c r="A94">
        <v>1093</v>
      </c>
      <c r="B94" t="s">
        <v>124</v>
      </c>
      <c r="C94" t="s">
        <v>17</v>
      </c>
      <c r="D94">
        <v>7</v>
      </c>
      <c r="E94">
        <v>49.87</v>
      </c>
      <c r="F94" s="1">
        <v>45019</v>
      </c>
      <c r="G94" s="1">
        <v>45020</v>
      </c>
      <c r="H94" s="1">
        <v>45021</v>
      </c>
      <c r="I94" t="s">
        <v>15</v>
      </c>
      <c r="J94">
        <v>349.09</v>
      </c>
      <c r="K94" s="5">
        <f>_xlfn.RANK.EQ(Table1[[#This Row],[Quantity]],Table1[Quantity])</f>
        <v>17</v>
      </c>
      <c r="M94">
        <f>_xlfn.RANK.EQ(Table1[[#This Row],[Total Price]],IF(Table1[Status]="Shipped",Table1[Total Price],"0"))</f>
        <v>14</v>
      </c>
      <c r="N94" s="5">
        <f>_xlfn.RANK.EQ(Table1[[#This Row],[Quantity]],IF(Table1[Order ID]&gt;1080,IF(Table1[Order ID]&lt;1101,Table1[Quantity],""),""))</f>
        <v>17</v>
      </c>
      <c r="O94" s="5"/>
      <c r="P94" s="5"/>
      <c r="Q94" s="5"/>
      <c r="R94" s="5"/>
      <c r="S94" s="5"/>
      <c r="T94" s="5"/>
      <c r="U94" s="5">
        <v>5</v>
      </c>
    </row>
    <row r="95" spans="1:21">
      <c r="A95">
        <v>1094</v>
      </c>
      <c r="B95" t="s">
        <v>125</v>
      </c>
      <c r="C95" t="s">
        <v>20</v>
      </c>
      <c r="D95">
        <v>6</v>
      </c>
      <c r="E95">
        <v>33.979999999999997</v>
      </c>
      <c r="F95" s="1">
        <v>45020</v>
      </c>
      <c r="G95" s="1">
        <v>45021</v>
      </c>
      <c r="H95" s="1">
        <v>45022</v>
      </c>
      <c r="I95" t="s">
        <v>12</v>
      </c>
      <c r="J95">
        <v>203.88</v>
      </c>
      <c r="K95" s="5">
        <f>_xlfn.RANK.EQ(Table1[[#This Row],[Quantity]],Table1[Quantity])</f>
        <v>29</v>
      </c>
      <c r="N95" s="5">
        <f>_xlfn.RANK.EQ(Table1[[#This Row],[Quantity]],IF(Table1[Order ID]&gt;1080,IF(Table1[Order ID]&lt;1101,Table1[Quantity],""),""))</f>
        <v>29</v>
      </c>
      <c r="O95" s="5"/>
      <c r="P95" s="5"/>
      <c r="Q95" s="5"/>
      <c r="R95" s="5"/>
      <c r="S95" s="5"/>
      <c r="T95" s="5"/>
      <c r="U95" s="5">
        <v>13</v>
      </c>
    </row>
    <row r="96" spans="1:21">
      <c r="A96">
        <v>1095</v>
      </c>
      <c r="B96" t="s">
        <v>126</v>
      </c>
      <c r="C96" t="s">
        <v>23</v>
      </c>
      <c r="D96">
        <v>3</v>
      </c>
      <c r="E96">
        <v>66.84</v>
      </c>
      <c r="F96" s="1">
        <v>45021</v>
      </c>
      <c r="G96" s="1">
        <v>45022</v>
      </c>
      <c r="H96" s="1">
        <v>45023</v>
      </c>
      <c r="I96" t="s">
        <v>21</v>
      </c>
      <c r="J96">
        <v>200.52</v>
      </c>
      <c r="K96" s="5">
        <f>_xlfn.RANK.EQ(Table1[[#This Row],[Quantity]],Table1[Quantity])</f>
        <v>68</v>
      </c>
      <c r="N96" s="5">
        <f>_xlfn.RANK.EQ(Table1[[#This Row],[Quantity]],IF(Table1[Order ID]&gt;1080,IF(Table1[Order ID]&lt;1101,Table1[Quantity],""),""))</f>
        <v>68</v>
      </c>
      <c r="O96" s="5"/>
      <c r="P96" s="5"/>
      <c r="Q96" s="5">
        <f>_xlfn.RANK.EQ(Table1[[#This Row],[Quantity]],IF(Table1[Status]="Pending",Table1[Quantity],""))</f>
        <v>68</v>
      </c>
      <c r="R96" s="5"/>
      <c r="S96" s="5"/>
      <c r="T96" s="5"/>
      <c r="U96" s="5">
        <v>9</v>
      </c>
    </row>
    <row r="97" spans="1:21">
      <c r="A97">
        <v>1096</v>
      </c>
      <c r="B97" t="s">
        <v>127</v>
      </c>
      <c r="C97" t="s">
        <v>25</v>
      </c>
      <c r="D97">
        <v>5</v>
      </c>
      <c r="E97">
        <v>23.77</v>
      </c>
      <c r="F97" s="1">
        <v>45022</v>
      </c>
      <c r="G97" s="1">
        <v>45023</v>
      </c>
      <c r="H97" s="1">
        <v>45024</v>
      </c>
      <c r="I97" t="s">
        <v>15</v>
      </c>
      <c r="J97">
        <v>118.85</v>
      </c>
      <c r="K97" s="5">
        <f>_xlfn.RANK.EQ(Table1[[#This Row],[Quantity]],Table1[Quantity])</f>
        <v>42</v>
      </c>
      <c r="M97">
        <f>_xlfn.RANK.EQ(Table1[[#This Row],[Total Price]],IF(Table1[Status]="Shipped",Table1[Total Price],"0"))</f>
        <v>67</v>
      </c>
      <c r="N97" s="5">
        <f>_xlfn.RANK.EQ(Table1[[#This Row],[Quantity]],IF(Table1[Order ID]&gt;1080,IF(Table1[Order ID]&lt;1101,Table1[Quantity],""),""))</f>
        <v>42</v>
      </c>
      <c r="O97" s="5"/>
      <c r="P97" s="5"/>
      <c r="Q97" s="5"/>
      <c r="R97" s="5"/>
      <c r="S97" s="5"/>
      <c r="T97" s="5"/>
      <c r="U97" s="5">
        <v>3</v>
      </c>
    </row>
    <row r="98" spans="1:21">
      <c r="A98">
        <v>1097</v>
      </c>
      <c r="B98" t="s">
        <v>128</v>
      </c>
      <c r="C98" t="s">
        <v>27</v>
      </c>
      <c r="D98">
        <v>8</v>
      </c>
      <c r="E98">
        <v>17.59</v>
      </c>
      <c r="F98" s="1">
        <v>45023</v>
      </c>
      <c r="G98" s="1">
        <v>45024</v>
      </c>
      <c r="H98" s="1">
        <v>45025</v>
      </c>
      <c r="I98" t="s">
        <v>12</v>
      </c>
      <c r="J98">
        <v>140.72</v>
      </c>
      <c r="K98" s="5">
        <f>_xlfn.RANK.EQ(Table1[[#This Row],[Quantity]],Table1[Quantity])</f>
        <v>9</v>
      </c>
      <c r="N98" s="5">
        <f>_xlfn.RANK.EQ(Table1[[#This Row],[Quantity]],IF(Table1[Order ID]&gt;1080,IF(Table1[Order ID]&lt;1101,Table1[Quantity],""),""))</f>
        <v>9</v>
      </c>
      <c r="O98" s="5"/>
      <c r="P98" s="5"/>
      <c r="Q98" s="5"/>
      <c r="R98" s="5"/>
      <c r="S98" s="5"/>
      <c r="T98" s="5"/>
      <c r="U98" s="5">
        <v>1</v>
      </c>
    </row>
    <row r="99" spans="1:21">
      <c r="A99">
        <v>1098</v>
      </c>
      <c r="B99" t="s">
        <v>129</v>
      </c>
      <c r="C99" t="s">
        <v>29</v>
      </c>
      <c r="D99">
        <v>4</v>
      </c>
      <c r="E99">
        <v>72.16</v>
      </c>
      <c r="F99" s="1">
        <v>45024</v>
      </c>
      <c r="G99" s="1">
        <v>45025</v>
      </c>
      <c r="H99" s="1">
        <v>45026</v>
      </c>
      <c r="I99" t="s">
        <v>21</v>
      </c>
      <c r="J99">
        <v>288.64</v>
      </c>
      <c r="K99" s="5">
        <f>_xlfn.RANK.EQ(Table1[[#This Row],[Quantity]],Table1[Quantity])</f>
        <v>56</v>
      </c>
      <c r="N99" s="5">
        <f>_xlfn.RANK.EQ(Table1[[#This Row],[Quantity]],IF(Table1[Order ID]&gt;1080,IF(Table1[Order ID]&lt;1101,Table1[Quantity],""),""))</f>
        <v>56</v>
      </c>
      <c r="O99" s="5">
        <f>_xlfn.RANK.EQ(Table1[[#This Row],[Price per Unit]],IF(OR(Table1[Product]="Product 16",Table1[Product]="Product 17",Table1[Product]="Product 18",Table1[Product]="Product 19",Table1[Product]="Product 20"),Table1[Price per Unit],""))</f>
        <v>6</v>
      </c>
      <c r="P99" s="5"/>
      <c r="Q99" s="5">
        <f>_xlfn.RANK.EQ(Table1[[#This Row],[Quantity]],IF(Table1[Status]="Pending",Table1[Quantity],""))</f>
        <v>56</v>
      </c>
      <c r="R99" s="5"/>
      <c r="S99" s="5"/>
      <c r="T99" s="5"/>
      <c r="U99" s="5">
        <v>18</v>
      </c>
    </row>
    <row r="100" spans="1:21">
      <c r="A100">
        <v>1099</v>
      </c>
      <c r="B100" t="s">
        <v>130</v>
      </c>
      <c r="C100" t="s">
        <v>31</v>
      </c>
      <c r="D100">
        <v>7</v>
      </c>
      <c r="E100">
        <v>21.29</v>
      </c>
      <c r="F100" s="1">
        <v>45025</v>
      </c>
      <c r="G100" s="1">
        <v>45026</v>
      </c>
      <c r="H100" s="1">
        <v>45027</v>
      </c>
      <c r="I100" t="s">
        <v>15</v>
      </c>
      <c r="J100">
        <v>149.03</v>
      </c>
      <c r="K100" s="5">
        <f>_xlfn.RANK.EQ(Table1[[#This Row],[Quantity]],Table1[Quantity])</f>
        <v>17</v>
      </c>
      <c r="M100">
        <f>_xlfn.RANK.EQ(Table1[[#This Row],[Total Price]],IF(Table1[Status]="Shipped",Table1[Total Price],"0"))</f>
        <v>54</v>
      </c>
      <c r="N100" s="5">
        <f>_xlfn.RANK.EQ(Table1[[#This Row],[Quantity]],IF(Table1[Order ID]&gt;1080,IF(Table1[Order ID]&lt;1101,Table1[Quantity],""),""))</f>
        <v>17</v>
      </c>
      <c r="O100" s="5"/>
      <c r="P100" s="5"/>
      <c r="Q100" s="5"/>
      <c r="R100" s="5"/>
      <c r="S100" s="5"/>
      <c r="T100" s="5"/>
      <c r="U100" s="5">
        <v>12</v>
      </c>
    </row>
    <row r="101" spans="1:21">
      <c r="A101">
        <v>1100</v>
      </c>
      <c r="B101" t="s">
        <v>131</v>
      </c>
      <c r="C101" t="s">
        <v>33</v>
      </c>
      <c r="D101">
        <v>2</v>
      </c>
      <c r="E101">
        <v>44.77</v>
      </c>
      <c r="F101" s="1">
        <v>45026</v>
      </c>
      <c r="G101" s="1">
        <v>45027</v>
      </c>
      <c r="H101" s="1">
        <v>45028</v>
      </c>
      <c r="I101" t="s">
        <v>12</v>
      </c>
      <c r="J101">
        <v>89.54</v>
      </c>
      <c r="K101" s="5">
        <f>_xlfn.RANK.EQ(Table1[[#This Row],[Quantity]],Table1[Quantity])</f>
        <v>82</v>
      </c>
      <c r="N101" s="5">
        <f>_xlfn.RANK.EQ(Table1[[#This Row],[Quantity]],IF(Table1[Order ID]&gt;1080,IF(Table1[Order ID]&lt;1101,Table1[Quantity],""),""))</f>
        <v>82</v>
      </c>
      <c r="O101" s="5"/>
      <c r="P101" s="5"/>
      <c r="Q101" s="5"/>
      <c r="R101" s="5"/>
      <c r="S101" s="5"/>
      <c r="T101" s="5"/>
      <c r="U101" s="5">
        <v>4</v>
      </c>
    </row>
  </sheetData>
  <phoneticPr fontId="1" type="noConversion"/>
  <conditionalFormatting sqref="H1:H1048576">
    <cfRule type="expression" dxfId="15" priority="2">
      <formula>TRUE</formula>
    </cfRule>
  </conditionalFormatting>
  <conditionalFormatting sqref="I1:I1048576">
    <cfRule type="expression" dxfId="14" priority="1">
      <formula>FALSE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3812-74EE-4EB8-B992-C339FB2AB4FD}">
  <dimension ref="B1:G119"/>
  <sheetViews>
    <sheetView topLeftCell="A103" zoomScaleNormal="100" workbookViewId="0">
      <selection activeCell="E20" sqref="E20"/>
    </sheetView>
  </sheetViews>
  <sheetFormatPr defaultRowHeight="14.25"/>
  <cols>
    <col min="2" max="2" width="109.375" bestFit="1" customWidth="1"/>
    <col min="3" max="3" width="24.875" customWidth="1"/>
    <col min="5" max="5" width="31.625" customWidth="1"/>
    <col min="7" max="7" width="9.875" bestFit="1" customWidth="1"/>
  </cols>
  <sheetData>
    <row r="1" spans="2:3">
      <c r="B1" t="s">
        <v>132</v>
      </c>
      <c r="C1" t="s">
        <v>409</v>
      </c>
    </row>
    <row r="2" spans="2:3">
      <c r="B2" t="s">
        <v>133</v>
      </c>
      <c r="C2">
        <f>AVERAGEIFS(Table1[Quantity],Table1[Order ID],"&gt;1000",Table1[Order ID],"&lt;1011")</f>
        <v>5.2</v>
      </c>
    </row>
    <row r="3" spans="2:3">
      <c r="B3" t="s">
        <v>134</v>
      </c>
      <c r="C3">
        <f>AVERAGEIF(Table1[Order Date],"&lt; 44958",Table1[Price per Unit])</f>
        <v>42.465483870967759</v>
      </c>
    </row>
    <row r="4" spans="2:3">
      <c r="B4" t="s">
        <v>135</v>
      </c>
      <c r="C4">
        <f>AVERAGEIF(Table1[Status],"Delivered",Table1[Total Price])</f>
        <v>177.24424242424243</v>
      </c>
    </row>
    <row r="5" spans="2:3">
      <c r="B5" t="s">
        <v>136</v>
      </c>
      <c r="C5">
        <f>AVERAGEIFS(Table1[Quantity],Table1[Order ID],"&gt;1000",Table1[Order ID],"&lt;1011")</f>
        <v>5.2</v>
      </c>
    </row>
    <row r="6" spans="2:3">
      <c r="B6" t="s">
        <v>137</v>
      </c>
      <c r="C6">
        <f t="array" ref="C6">AVERAGE(IF(Table1[Product]="Product 6",Table1[Price per Unit],""),IF(Table1[Product]="Product 7",Table1[Price per Unit],""),IF(Table1[Product]="Product 8",Table1[Price per Unit],""),IF(Table1[Product]="Product 9",Table1[Price per Unit],""),IF(Table1[Product]="Product 10",Table1[Price per Unit],""))</f>
        <v>40.12222222222222</v>
      </c>
    </row>
    <row r="7" spans="2:3">
      <c r="B7" t="s">
        <v>138</v>
      </c>
      <c r="C7">
        <f>AVERAGEIFS(Table1[Total Price],Table1[Shipping Date],"&gt;44958",Table1[Shipping Date],"&lt;44986",Table1[Status], "Shipped")</f>
        <v>263.36777777777775</v>
      </c>
    </row>
    <row r="8" spans="2:3">
      <c r="B8" t="s">
        <v>139</v>
      </c>
      <c r="C8">
        <f>AVERAGEIF(Table1[Status],"Pending",Table1[Quantity])</f>
        <v>4.419354838709677</v>
      </c>
    </row>
    <row r="9" spans="2:3">
      <c r="B9" t="s">
        <v>140</v>
      </c>
      <c r="C9">
        <f>AVERAGEIFS(Table1[Price per Unit],Table1[Order ID],"&gt;1010",Table1[Order ID],"&lt;1020")</f>
        <v>40.383333333333333</v>
      </c>
    </row>
    <row r="10" spans="2:3">
      <c r="B10" t="s">
        <v>141</v>
      </c>
      <c r="C10">
        <f>AVERAGEIF(Table1[Status],"Cancelled",Table1[Total Price])</f>
        <v>108.57249999999999</v>
      </c>
    </row>
    <row r="11" spans="2:3">
      <c r="B11" t="s">
        <v>142</v>
      </c>
      <c r="C11">
        <f>AVERAGEIFS(Table1[Quantity],Table1[Order Date],"&gt;45006",Table1[Order Date],"&lt;45017")</f>
        <v>4.9000000000000004</v>
      </c>
    </row>
    <row r="12" spans="2:3" s="4" customFormat="1"/>
    <row r="13" spans="2:3">
      <c r="B13" t="s">
        <v>143</v>
      </c>
    </row>
    <row r="14" spans="2:3">
      <c r="B14" t="s">
        <v>144</v>
      </c>
      <c r="C14">
        <f>MEDIAN(Table1[Quantity])</f>
        <v>5</v>
      </c>
    </row>
    <row r="15" spans="2:3">
      <c r="B15" t="s">
        <v>145</v>
      </c>
      <c r="C15" s="3">
        <f t="array" ref="C15">MEDIAN(IF(Table1[Status]="Shipped",Table1[Price per Unit],"NA"))</f>
        <v>36.575000000000003</v>
      </c>
    </row>
    <row r="16" spans="2:3">
      <c r="B16" t="s">
        <v>146</v>
      </c>
      <c r="C16">
        <f t="array" ref="C16">MEDIAN(IF(Table1[Order ID]&lt;1021,Table1[Total Price],"NA"))</f>
        <v>171.91</v>
      </c>
    </row>
    <row r="17" spans="2:3">
      <c r="B17" t="s">
        <v>147</v>
      </c>
      <c r="C17">
        <f t="array" ref="C17">MEDIAN(IF(Table1[Order ID]&gt;1020,IF(Table1[Order ID]&lt;1031,Table1[Quantity],"NA"),"NA"))</f>
        <v>5</v>
      </c>
    </row>
    <row r="18" spans="2:3">
      <c r="B18" t="s">
        <v>148</v>
      </c>
      <c r="C18">
        <f t="array" ref="C18">MEDIAN(IF(Table1[Product]="Product 6",Table1[Price per Unit],""),IF(Table1[Product]="Product 7",Table1[Price per Unit],""),IF(Table1[Product]="Product 8",Table1[Price per Unit],""),IF(Table1[Product]="Product 9",Table1[Price per Unit],""),IF(Table1[Product]="Product 10",Table1[Price per Unit],""))</f>
        <v>41.76</v>
      </c>
    </row>
    <row r="19" spans="2:3">
      <c r="B19" t="s">
        <v>149</v>
      </c>
      <c r="C19">
        <f t="array" ref="C19">MEDIAN(IF(Table1[Order Date]&lt;44958,Table1[Total Price],""))</f>
        <v>148.66</v>
      </c>
    </row>
    <row r="20" spans="2:3">
      <c r="B20" t="s">
        <v>150</v>
      </c>
      <c r="C20">
        <f t="array" ref="C20">MEDIAN(IF(Table1[Status]="Delivered",Table1[Quantity],"NA"))</f>
        <v>4</v>
      </c>
    </row>
    <row r="21" spans="2:3">
      <c r="B21" t="s">
        <v>151</v>
      </c>
      <c r="C21">
        <f t="array" ref="C21">MEDIAN(IF(Table1[Order ID]&gt;1030,IF(Table1[Order ID]&lt;1041,Table1[Price per Unit],"NA"),"NA"))</f>
        <v>40.129999999999995</v>
      </c>
    </row>
    <row r="22" spans="2:3">
      <c r="B22" t="s">
        <v>152</v>
      </c>
      <c r="C22">
        <f t="array" ref="C22">MEDIAN(IF(Table1[Status]="Pending",Table1[Total Price],""))</f>
        <v>200.52</v>
      </c>
    </row>
    <row r="23" spans="2:3">
      <c r="B23" t="s">
        <v>153</v>
      </c>
      <c r="C23">
        <f t="array" ref="C23">MEDIAN(IF(Table1[Order Date]&lt;44986,IF(Table1[Order Date]&gt;44958,Table1[Quantity],""),""))</f>
        <v>5</v>
      </c>
    </row>
    <row r="24" spans="2:3" s="4" customFormat="1"/>
    <row r="25" spans="2:3">
      <c r="B25" t="s">
        <v>154</v>
      </c>
    </row>
    <row r="26" spans="2:3">
      <c r="B26" t="s">
        <v>155</v>
      </c>
      <c r="C26">
        <f>_xlfn.MODE.MULT(Table1[Quantity])</f>
        <v>5</v>
      </c>
    </row>
    <row r="27" spans="2:3">
      <c r="B27" t="s">
        <v>156</v>
      </c>
      <c r="C27">
        <f>MODE(_xlfn.IFS(Table1[Order Date]&lt;44958,Table1[Price per Unit]))</f>
        <v>22.48</v>
      </c>
    </row>
    <row r="28" spans="2:3">
      <c r="B28" t="s">
        <v>157</v>
      </c>
      <c r="C28">
        <f t="array" ref="C28">_xlfn.MODE.MULT(IF(Table1[Status]="Delivered",Table1[Total Price],""))</f>
        <v>62.35</v>
      </c>
    </row>
    <row r="29" spans="2:3">
      <c r="B29" t="s">
        <v>158</v>
      </c>
      <c r="C29">
        <f t="array" ref="C29">_xlfn.MODE.SNGL(IF(Table1[Order ID]&gt;1040,IF(Table1[Order ID]&lt;1051,Table1[Quantity],"NA"),"NA"))</f>
        <v>6</v>
      </c>
    </row>
    <row r="30" spans="2:3">
      <c r="B30" t="s">
        <v>159</v>
      </c>
      <c r="C30">
        <f t="array" ref="C30">_xlfn.MODE.MULT(IF(Table1[Product]="Product 11",Table1[Price per Unit],""),IF(Table1[Product]="Product 12",Table1[Price per Unit],""),IF(Table1[Product]="Product 13",Table1[Price per Unit],""),IF(Table1[Product]="Product 14",Table1[Price per Unit],""),IF(Table1[Product]="Product 15",Table1[Price per Unit],""))</f>
        <v>19.45</v>
      </c>
    </row>
    <row r="31" spans="2:3">
      <c r="B31" t="s">
        <v>160</v>
      </c>
      <c r="C31">
        <f t="array" ref="C31">_xlfn.MODE.MULT(IF(Table1[Shipping Date]&lt;45027,IF(Table1[Shipping Date]&gt;44985,IF(Table1[Status]="Shipped",Table1[Total Price],""),""),""))</f>
        <v>59.85</v>
      </c>
    </row>
    <row r="32" spans="2:3">
      <c r="B32" t="s">
        <v>161</v>
      </c>
      <c r="C32">
        <f t="array" ref="C32">_xlfn.MODE.MULT(IF(Table1[Status]="Shipped",Table1[Quantity],"NA"))</f>
        <v>5</v>
      </c>
    </row>
    <row r="33" spans="2:7">
      <c r="B33" t="s">
        <v>162</v>
      </c>
      <c r="C33">
        <f t="array" ref="C33">_xlfn.MODE.SNGL(IF(Table1[Order ID]&gt;1050,IF(Table1[Order ID]&lt;1061,Table1[Price per Unit],""),""))</f>
        <v>25.16</v>
      </c>
    </row>
    <row r="34" spans="2:7">
      <c r="B34" t="s">
        <v>163</v>
      </c>
      <c r="C34">
        <f t="array" ref="C34">_xlfn.MODE.MULT(IF(Table1[Status]="Cancelled",Table1[Total Price],""))</f>
        <v>143.01</v>
      </c>
    </row>
    <row r="35" spans="2:7">
      <c r="B35" t="s">
        <v>164</v>
      </c>
      <c r="C35">
        <f t="array" ref="C35">_xlfn.MODE.MULT(IF(Table1[Order Date]&lt;45027,IF(Table1[Order Date]&gt;45016,Table1[Quantity],""),""))</f>
        <v>2</v>
      </c>
    </row>
    <row r="36" spans="2:7" s="4" customFormat="1"/>
    <row r="37" spans="2:7">
      <c r="B37" t="s">
        <v>165</v>
      </c>
    </row>
    <row r="38" spans="2:7">
      <c r="B38" t="s">
        <v>166</v>
      </c>
      <c r="C38">
        <f>_xlfn.PERCENTILE.INC(Table1[Quantity],0.9)</f>
        <v>8</v>
      </c>
      <c r="G38" s="2"/>
    </row>
    <row r="39" spans="2:7">
      <c r="B39" t="s">
        <v>167</v>
      </c>
      <c r="C39">
        <f>_xlfn.PERCENTILE.INC(IF(Table1[Order Date]&lt;44986,IF(Table1[Order Date]&gt;44958,Table1[Price per Unit],""),""),0.75)</f>
        <v>53.144999999999996</v>
      </c>
      <c r="G39" s="1"/>
    </row>
    <row r="40" spans="2:7">
      <c r="B40" t="s">
        <v>168</v>
      </c>
      <c r="C40">
        <f t="array" ref="C40">PERCENTILE(IF(Table1[Status]="Pending",Table1[Total Price],""),0.5)</f>
        <v>200.52</v>
      </c>
      <c r="G40" s="1"/>
    </row>
    <row r="41" spans="2:7">
      <c r="B41" t="s">
        <v>169</v>
      </c>
      <c r="C41">
        <f t="array" ref="C41">_xlfn.PERCENTILE.INC(IF(Table1[Order ID]&gt;1060,IF(Table1[Order ID]&lt;1071,Table1[Quantity],""),""),0.25)</f>
        <v>4</v>
      </c>
    </row>
    <row r="42" spans="2:7">
      <c r="B42" t="s">
        <v>170</v>
      </c>
      <c r="C42">
        <f t="array" ref="C42">_xlfn.PERCENTILE.INC(IF(OR(Table1[Product]="Product 16",Table1[Product]="Product 17",Table1[Product]="Product 18",Table1[Product]="Product 19",Table1[Product]="Product 20"),Table1[Price per Unit],""),0.8)</f>
        <v>57.317999999999998</v>
      </c>
    </row>
    <row r="43" spans="2:7">
      <c r="B43" t="s">
        <v>171</v>
      </c>
      <c r="C43">
        <f t="array" ref="C43">_xlfn.PERCENTILE.INC(IF(Table1[Shipping Date]&lt;44958,IF(Table1[Shipping Date]&gt;44926,IF(Table1[Status]="Shipped",Table1[Total Price],""),""),""),0.6)</f>
        <v>249.464</v>
      </c>
    </row>
    <row r="44" spans="2:7">
      <c r="B44" t="s">
        <v>172</v>
      </c>
      <c r="C44">
        <f t="array" ref="C44">_xlfn.PERCENTILE.INC((IF(Table1[Status]="Cancelled",Table1[Quantity],"")),0.3)</f>
        <v>5.6999999999999993</v>
      </c>
    </row>
    <row r="45" spans="2:7">
      <c r="B45" t="s">
        <v>173</v>
      </c>
      <c r="C45">
        <f t="array" ref="C45">_xlfn.PERCENTILE.INC(IF(Table1[Order ID]&gt;1070,IF(Table1[Order ID]&lt;1081,Table1[Price per Unit],""),""),0.4)</f>
        <v>40.064</v>
      </c>
    </row>
    <row r="46" spans="2:7">
      <c r="B46" t="s">
        <v>174</v>
      </c>
      <c r="C46">
        <f t="array" ref="C46">PERCENTILE(IF(Table1[Status]="Cancelled",Table1[Total Price],""),0.95)</f>
        <v>143.01</v>
      </c>
    </row>
    <row r="47" spans="2:7">
      <c r="B47" t="s">
        <v>175</v>
      </c>
      <c r="C47">
        <f t="array" ref="C47">_xlfn.PERCENTILE.INC(IF(Table1[Order Date]&lt;45001,IF(Table1[Order Date]&gt;44985,Table1[Quantity],""),""),0.85)</f>
        <v>7</v>
      </c>
    </row>
    <row r="48" spans="2:7" s="4" customFormat="1"/>
    <row r="49" spans="2:5">
      <c r="B49" t="s">
        <v>176</v>
      </c>
    </row>
    <row r="50" spans="2:5">
      <c r="B50" t="s">
        <v>177</v>
      </c>
      <c r="C50">
        <f>AVERAGE(Table1[Quantity])</f>
        <v>4.91</v>
      </c>
    </row>
    <row r="51" spans="2:5">
      <c r="B51" t="s">
        <v>178</v>
      </c>
      <c r="C51">
        <f>AVERAGEIFS(Table1[Price per Unit],Table1[Order Date],"&lt;45017",Table1[Order Date],"&gt;44985")</f>
        <v>40.360967741935482</v>
      </c>
      <c r="E51" s="1"/>
    </row>
    <row r="52" spans="2:5">
      <c r="B52" t="s">
        <v>179</v>
      </c>
      <c r="C52">
        <f>AVERAGEIF(Table1[Status],"Shipped",Table1[Total Price])</f>
        <v>229.90531250000004</v>
      </c>
      <c r="E52" s="1"/>
    </row>
    <row r="53" spans="2:5">
      <c r="B53" t="s">
        <v>180</v>
      </c>
      <c r="C53">
        <f>AVERAGEIFS(Table1[Quantity],Table1[Order ID],"&gt;1080",Table1[Order ID],"&lt;1091")</f>
        <v>4.9000000000000004</v>
      </c>
    </row>
    <row r="54" spans="2:5">
      <c r="B54" t="s">
        <v>181</v>
      </c>
      <c r="C54">
        <f t="array" ref="C54">AVERAGE(IF(Table1[Product]="Product 6",Table1[Price per Unit],""),IF(Table1[Product]="Product 7",Table1[Price per Unit],""),IF(Table1[Product]="Product 8",Table1[Price per Unit],""),IF(Table1[Product]="Product 9",Table1[Price per Unit],""),IF(Table1[Product]="Product 10",Table1[Price per Unit],""))</f>
        <v>40.12222222222222</v>
      </c>
    </row>
    <row r="55" spans="2:5">
      <c r="B55" t="s">
        <v>182</v>
      </c>
      <c r="C55">
        <f>AVERAGEIFS(Table1[Total Price],Table1[Shipping Date],"&gt;44958",Table1[Shipping Date],"&lt;44986",Table1[Status], "Shipped")</f>
        <v>263.36777777777775</v>
      </c>
    </row>
    <row r="56" spans="2:5">
      <c r="B56" t="s">
        <v>183</v>
      </c>
      <c r="C56">
        <f>AVERAGEIF(Table1[Status],"Pending",Table1[Quantity])</f>
        <v>4.419354838709677</v>
      </c>
    </row>
    <row r="57" spans="2:5">
      <c r="B57" t="s">
        <v>184</v>
      </c>
      <c r="C57">
        <f>AVERAGEIFS(Table1[Price per Unit],Table1[Order ID],"&gt;1090",Table1[Order ID],"&lt;1101")</f>
        <v>38.916000000000004</v>
      </c>
    </row>
    <row r="58" spans="2:5">
      <c r="B58" t="s">
        <v>185</v>
      </c>
      <c r="C58">
        <f>AVERAGEIF(Table1[Status],"Cancelled",Table1[Total Price])</f>
        <v>108.57249999999999</v>
      </c>
    </row>
    <row r="59" spans="2:5">
      <c r="B59" t="s">
        <v>411</v>
      </c>
      <c r="C59">
        <f t="array" ref="C59">AVERAGEIFS(Table1[Quantity],Table1[Order Date],"&gt;45016",Table1[Order Date],"&lt;45027")</f>
        <v>5.3</v>
      </c>
    </row>
    <row r="60" spans="2:5" s="4" customFormat="1"/>
    <row r="61" spans="2:5">
      <c r="B61" t="s">
        <v>186</v>
      </c>
    </row>
    <row r="62" spans="2:5">
      <c r="B62" t="s">
        <v>187</v>
      </c>
      <c r="C62">
        <f>LARGE(Table1[Quantity],1)</f>
        <v>9</v>
      </c>
    </row>
    <row r="63" spans="2:5">
      <c r="B63" t="s">
        <v>188</v>
      </c>
      <c r="C63">
        <f t="array" ref="C63">LARGE(IF(Table1[Order Date]&lt;44958,Table1[Price per Unit],""),2)</f>
        <v>83.94</v>
      </c>
    </row>
    <row r="64" spans="2:5">
      <c r="B64" t="s">
        <v>189</v>
      </c>
      <c r="C64">
        <f t="array" ref="C64">LARGE(IF(Table1[Status]="Delivered",Table1[Total Price],""),3)</f>
        <v>345.44</v>
      </c>
      <c r="E64" s="1"/>
    </row>
    <row r="65" spans="2:5">
      <c r="B65" t="s">
        <v>190</v>
      </c>
      <c r="C65">
        <f t="array" ref="C65">LARGE(IF(Table1[Order ID]&gt;1000,IF(Table1[Order ID]&lt;1031,Table1[Quantity],""),""),4)</f>
        <v>8</v>
      </c>
      <c r="E65" s="1"/>
    </row>
    <row r="66" spans="2:5">
      <c r="B66" t="s">
        <v>191</v>
      </c>
      <c r="C66">
        <f t="array" ref="C66">LARGE(IF(OR(Table1[Product]="Product 6",Table1[Product]="Product 7",Table1[Product]="Product 8",Table1[Product]="Product 9",Table1[Product]="Product 10"),Table1[Price per Unit],""),5)</f>
        <v>74.33</v>
      </c>
    </row>
    <row r="67" spans="2:5">
      <c r="B67" t="s">
        <v>192</v>
      </c>
      <c r="C67">
        <f t="array" ref="C67">LARGE(IF(Table1[Shipping Date]&lt;44986,IF(Table1[Shipping Date]&gt;44957,IF(Table1[Status]="Shipped",Table1[Total Price],""),""),""),6)</f>
        <v>199.29</v>
      </c>
    </row>
    <row r="68" spans="2:5">
      <c r="B68" t="s">
        <v>193</v>
      </c>
      <c r="C68">
        <f t="array" ref="C68">LARGE(IF(Table1[Status]="Shipped",Table1[Quantity],""),7)</f>
        <v>8</v>
      </c>
    </row>
    <row r="69" spans="2:5">
      <c r="B69" t="s">
        <v>194</v>
      </c>
      <c r="C69">
        <f t="array" ref="C69">LARGE(IF(Table1[Order ID]&gt;1020,IF(Table1[Order ID]&lt;1041,Table1[Price per Unit],""),""),8)</f>
        <v>49.53</v>
      </c>
    </row>
    <row r="70" spans="2:5">
      <c r="B70" t="s">
        <v>410</v>
      </c>
      <c r="C70">
        <f t="array" ref="C70">LARGE(IF(Table1[Status]="Cancelled",Table1[Total Price],""),3)</f>
        <v>89.92</v>
      </c>
    </row>
    <row r="71" spans="2:5">
      <c r="B71" t="s">
        <v>195</v>
      </c>
      <c r="C71">
        <f>LARGE(IF(Table1[Order Date]&lt;45017,IF(Table1[Order Date]&gt;44985,Table1[Price per Unit],""),""),10)</f>
        <v>67.89</v>
      </c>
    </row>
    <row r="72" spans="2:5" s="4" customFormat="1"/>
    <row r="73" spans="2:5">
      <c r="B73" t="s">
        <v>196</v>
      </c>
    </row>
    <row r="74" spans="2:5">
      <c r="B74" t="s">
        <v>197</v>
      </c>
      <c r="C74">
        <f>SMALL(Table1[Quantity],1)</f>
        <v>1</v>
      </c>
    </row>
    <row r="75" spans="2:5">
      <c r="B75" t="s">
        <v>198</v>
      </c>
      <c r="C75">
        <f t="array" ref="C75">SMALL(IF(Table1[Order Date]&lt;44986,IF(Table1[Order Date]&gt;44957,Table1[Price per Unit],""),""),2)</f>
        <v>13.57</v>
      </c>
    </row>
    <row r="76" spans="2:5">
      <c r="B76" t="s">
        <v>199</v>
      </c>
      <c r="C76">
        <f t="array" ref="C76">SMALL(IF(Table1[Status]="Pending",Table1[Total Price],""),3)</f>
        <v>51.26</v>
      </c>
    </row>
    <row r="77" spans="2:5">
      <c r="B77" t="s">
        <v>200</v>
      </c>
      <c r="C77">
        <f t="array" ref="C77">SMALL(IF(Table1[Order ID]&gt;1040,IF(Table1[Order ID]&lt;1061,Table1[Quantity],""),""),4)</f>
        <v>2</v>
      </c>
    </row>
    <row r="78" spans="2:5">
      <c r="B78" t="s">
        <v>201</v>
      </c>
      <c r="C78">
        <f t="array" ref="C78">SMALL(IF(OR(Table1[Product]="Product 11",Table1[Product]="Product 12",Table1[Product]="Product 13",Table1[Product]="Product 14",Table1[Product]="Product 15"),Table1[Price per Unit],""),5)</f>
        <v>13.57</v>
      </c>
    </row>
    <row r="79" spans="2:5">
      <c r="B79" t="s">
        <v>202</v>
      </c>
      <c r="C79">
        <f t="array" ref="C79">SMALL(IF(Table1[Shipping Date]&lt;45017,IF(Table1[Shipping Date]&gt;44985,IF(Table1[Status]="Shipped",Table1[Total Price],""),""),""),6)</f>
        <v>119.01</v>
      </c>
    </row>
    <row r="80" spans="2:5">
      <c r="B80" t="s">
        <v>412</v>
      </c>
      <c r="C80">
        <f t="array" ref="C80">SMALL(IF(Table1[Status]="Cancelled",Table1[Quantity],""),2)</f>
        <v>6</v>
      </c>
    </row>
    <row r="81" spans="2:5">
      <c r="B81" t="s">
        <v>203</v>
      </c>
      <c r="C81">
        <f t="array" ref="C81">SMALL(IF(Table1[Order ID]&gt;1060,IF(Table1[Order ID]&lt;1081,Table1[Price per Unit],""),""),8)</f>
        <v>37.520000000000003</v>
      </c>
    </row>
    <row r="82" spans="2:5">
      <c r="B82" t="s">
        <v>204</v>
      </c>
      <c r="C82">
        <f t="array" ref="C82">SMALL(IF(Table1[Status]="Delivered",Table1[Total Price],""),9)</f>
        <v>73.540000000000006</v>
      </c>
    </row>
    <row r="83" spans="2:5">
      <c r="B83" t="s">
        <v>205</v>
      </c>
      <c r="C83">
        <f t="array" ref="C83">SMALL(IF(Table1[Order Date]&lt;45046,IF(Table1[Order Date]&gt;45016,Table1[Price per Unit],""),""),10)</f>
        <v>72.16</v>
      </c>
    </row>
    <row r="84" spans="2:5" s="4" customFormat="1"/>
    <row r="85" spans="2:5">
      <c r="B85" t="s">
        <v>206</v>
      </c>
    </row>
    <row r="86" spans="2:5">
      <c r="B86" t="s">
        <v>207</v>
      </c>
      <c r="C86" s="16" t="s">
        <v>414</v>
      </c>
    </row>
    <row r="87" spans="2:5">
      <c r="B87" t="s">
        <v>208</v>
      </c>
      <c r="C87" s="16"/>
      <c r="E87" s="2"/>
    </row>
    <row r="88" spans="2:5">
      <c r="B88" t="s">
        <v>209</v>
      </c>
      <c r="C88" s="16"/>
      <c r="E88" s="2"/>
    </row>
    <row r="89" spans="2:5">
      <c r="B89" t="s">
        <v>210</v>
      </c>
      <c r="C89" s="16"/>
      <c r="E89" s="1"/>
    </row>
    <row r="90" spans="2:5">
      <c r="B90" t="s">
        <v>211</v>
      </c>
      <c r="C90" s="16"/>
      <c r="E90" s="1"/>
    </row>
    <row r="91" spans="2:5">
      <c r="B91" t="s">
        <v>212</v>
      </c>
      <c r="C91" s="16"/>
    </row>
    <row r="92" spans="2:5">
      <c r="B92" t="s">
        <v>213</v>
      </c>
      <c r="C92" s="16"/>
    </row>
    <row r="93" spans="2:5">
      <c r="B93" t="s">
        <v>214</v>
      </c>
      <c r="C93" s="16"/>
    </row>
    <row r="94" spans="2:5">
      <c r="B94" t="s">
        <v>215</v>
      </c>
      <c r="C94" s="16"/>
    </row>
    <row r="95" spans="2:5">
      <c r="B95" t="s">
        <v>216</v>
      </c>
      <c r="C95" s="16"/>
    </row>
    <row r="96" spans="2:5" s="4" customFormat="1"/>
    <row r="97" spans="2:3">
      <c r="B97" t="s">
        <v>217</v>
      </c>
    </row>
    <row r="98" spans="2:3">
      <c r="B98" t="s">
        <v>218</v>
      </c>
      <c r="C98">
        <f>MAX(Table1[Quantity])</f>
        <v>9</v>
      </c>
    </row>
    <row r="99" spans="2:3">
      <c r="B99" t="s">
        <v>219</v>
      </c>
      <c r="C99">
        <f t="array" ref="C99">_xlfn.MAXIFS(Table1[Price per Unit],Table1[Order Date],"&lt;45017",Table1[Order Date],"&gt;44985")</f>
        <v>68.92</v>
      </c>
    </row>
    <row r="100" spans="2:3">
      <c r="B100" t="s">
        <v>220</v>
      </c>
      <c r="C100">
        <f t="array" ref="C100">_xlfn.MAXIFS(Table1[Total Price],Table1[Status],"Delivered")</f>
        <v>429.03</v>
      </c>
    </row>
    <row r="101" spans="2:3">
      <c r="B101" t="s">
        <v>221</v>
      </c>
      <c r="C101">
        <f t="array" ref="C101">_xlfn.MAXIFS(Table1[Quantity],Table1[Order ID],"&gt;1020",Table1[Order ID],"&lt;1041")</f>
        <v>9</v>
      </c>
    </row>
    <row r="102" spans="2:3">
      <c r="B102" t="s">
        <v>222</v>
      </c>
      <c r="C102">
        <f t="array" ref="C102">MAX(IF(Table1[Product]="Product 1",Table1[Price per Unit],""),IF(Table1[Product]="Product 2",Table1[Price per Unit],""),IF(Table1[Product]="Product 3",Table1[Price per Unit],""),IF(Table1[Product]="Product 4",Table1[Price per Unit],""),IF(Table1[Product]="Product 5",Table1[Price per Unit],""))</f>
        <v>88.95</v>
      </c>
    </row>
    <row r="103" spans="2:3">
      <c r="B103" t="s">
        <v>223</v>
      </c>
      <c r="C103">
        <f t="array" ref="C103">_xlfn.MAXIFS(Table1[Total Price],Table1[Shipping Date],"&lt;44985",Table1[Status], "Shipped")</f>
        <v>547.61</v>
      </c>
    </row>
    <row r="104" spans="2:3">
      <c r="B104" t="s">
        <v>224</v>
      </c>
      <c r="C104">
        <f t="array" ref="C104">_xlfn.MAXIFS(Table1[Quantity],Table1[Status],"Pending")</f>
        <v>9</v>
      </c>
    </row>
    <row r="105" spans="2:3">
      <c r="B105" t="s">
        <v>225</v>
      </c>
      <c r="C105">
        <f t="array" ref="C105">_xlfn.MAXIFS(Table1[Price per Unit],Table1[Order ID],"&gt;1040",Table1[Order ID],"&lt;1061")</f>
        <v>78.94</v>
      </c>
    </row>
    <row r="106" spans="2:3">
      <c r="B106" t="s">
        <v>226</v>
      </c>
      <c r="C106">
        <f t="array" ref="C106">_xlfn.MAXIFS(Table1[Total Price],Table1[Status],"Cancelled")</f>
        <v>143.01</v>
      </c>
    </row>
    <row r="107" spans="2:3">
      <c r="B107" t="s">
        <v>227</v>
      </c>
      <c r="C107">
        <f t="array" ref="C107">_xlfn.MAXIFS(Table1[Quantity],Table1[Order Date],"&gt;45016",Table1[Order Date],"&lt;45046")</f>
        <v>9</v>
      </c>
    </row>
    <row r="108" spans="2:3" s="4" customFormat="1"/>
    <row r="109" spans="2:3">
      <c r="B109" t="s">
        <v>228</v>
      </c>
    </row>
    <row r="110" spans="2:3">
      <c r="B110" t="s">
        <v>229</v>
      </c>
      <c r="C110">
        <f>MIN(Table1[Quantity])</f>
        <v>1</v>
      </c>
    </row>
    <row r="111" spans="2:3">
      <c r="B111" t="s">
        <v>230</v>
      </c>
      <c r="C111">
        <f t="array" ref="C111">_xlfn.MAXIFS(Table1[Price per Unit],Table1[Order Date],"&lt;45986",Table1[Order Date],"&gt;44957")</f>
        <v>78.94</v>
      </c>
    </row>
    <row r="112" spans="2:3">
      <c r="B112" t="s">
        <v>231</v>
      </c>
      <c r="C112">
        <f t="array" ref="C112">_xlfn.MINIFS(Table1[Total Price],Table1[Status],"Pending")</f>
        <v>13.57</v>
      </c>
    </row>
    <row r="113" spans="2:3">
      <c r="B113" t="s">
        <v>232</v>
      </c>
      <c r="C113">
        <f t="array" ref="C113">_xlfn.MINIFS(Table1[Quantity],Table1[Order ID],"&gt;1060",Table1[Order ID],"&lt;1081")</f>
        <v>2</v>
      </c>
    </row>
    <row r="114" spans="2:3">
      <c r="B114" t="s">
        <v>233</v>
      </c>
      <c r="C114">
        <f t="array" ref="C114">MIN(IF(Table1[Product]="Product 6",Table1[Price per Unit],""),IF(Table1[Product]="Product 7",Table1[Price per Unit],""),IF(Table1[Product]="Product 8",Table1[Price per Unit],""),IF(Table1[Product]="Product 9",Table1[Price per Unit],""),IF(Table1[Product]="Product 10",Table1[Price per Unit],""))</f>
        <v>12.36</v>
      </c>
    </row>
    <row r="115" spans="2:3">
      <c r="B115" t="s">
        <v>234</v>
      </c>
      <c r="C115">
        <f>_xlfn.MAXIFS(Table1[Total Price],Table1[Shipping Date],"&lt;45017",Table1[Shipping Date],"&gt;44958",Table1[Status], "Shipped")</f>
        <v>498.33</v>
      </c>
    </row>
    <row r="116" spans="2:3">
      <c r="B116" t="s">
        <v>235</v>
      </c>
      <c r="C116">
        <f>_xlfn.MINIFS(Table1[Quantity],Table1[Status],"Cancelled")</f>
        <v>3</v>
      </c>
    </row>
    <row r="117" spans="2:3">
      <c r="B117" t="s">
        <v>236</v>
      </c>
      <c r="C117">
        <f>_xlfn.MINIFS(Table1[Price per Unit],Table1[Order ID],"&gt;1080",Table1[Order ID],"&lt;1101")</f>
        <v>12.63</v>
      </c>
    </row>
    <row r="118" spans="2:3">
      <c r="B118" t="s">
        <v>237</v>
      </c>
      <c r="C118">
        <f>_xlfn.MINIFS(Table1[Total Price],Table1[Status],"Delivered")</f>
        <v>12.63</v>
      </c>
    </row>
    <row r="119" spans="2:3">
      <c r="B119" t="s">
        <v>238</v>
      </c>
      <c r="C119">
        <f>_xlfn.MINIFS(Table1[Quantity],Table1[Order Date],"&lt;44958")</f>
        <v>1</v>
      </c>
    </row>
  </sheetData>
  <mergeCells count="1">
    <mergeCell ref="C86:C9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2C4D-2A79-4543-801F-06AF4CB73674}">
  <dimension ref="A1:Q111"/>
  <sheetViews>
    <sheetView zoomScaleNormal="100" workbookViewId="0">
      <selection activeCell="P39" sqref="P39"/>
    </sheetView>
  </sheetViews>
  <sheetFormatPr defaultRowHeight="14.25"/>
  <cols>
    <col min="14" max="14" width="9" customWidth="1"/>
    <col min="16" max="16" width="12.5" bestFit="1" customWidth="1"/>
    <col min="17" max="17" width="103.75" bestFit="1" customWidth="1"/>
  </cols>
  <sheetData>
    <row r="1" spans="1:17" s="9" customFormat="1"/>
    <row r="2" spans="1:17">
      <c r="B2" t="s">
        <v>239</v>
      </c>
    </row>
    <row r="3" spans="1:17">
      <c r="B3" t="s">
        <v>240</v>
      </c>
      <c r="P3" s="10" t="str">
        <f>IF(dataset!D2&gt;5,"High","Low")</f>
        <v>Low</v>
      </c>
      <c r="Q3" s="11" t="s">
        <v>424</v>
      </c>
    </row>
    <row r="4" spans="1:17">
      <c r="B4" t="s">
        <v>241</v>
      </c>
      <c r="P4" s="10" t="str">
        <f>IF(dataset!J2&gt;500,"Expensive","Affordable")</f>
        <v>Affordable</v>
      </c>
      <c r="Q4" s="10" t="s">
        <v>429</v>
      </c>
    </row>
    <row r="5" spans="1:17">
      <c r="B5" t="s">
        <v>242</v>
      </c>
      <c r="P5" s="10" t="str">
        <f>IF(OR(dataset!I2="Shipped",dataset!I2="Delivered"),"Shipped","")</f>
        <v>Shipped</v>
      </c>
      <c r="Q5" s="11" t="s">
        <v>427</v>
      </c>
    </row>
    <row r="6" spans="1:17">
      <c r="B6" t="s">
        <v>243</v>
      </c>
      <c r="P6" s="10" t="str">
        <f>IF(dataset!E2&gt;50,"Premium","Standard")</f>
        <v>Standard</v>
      </c>
      <c r="Q6" s="11" t="s">
        <v>425</v>
      </c>
    </row>
    <row r="7" spans="1:17">
      <c r="B7" t="s">
        <v>244</v>
      </c>
      <c r="P7" s="10" t="str">
        <f>IF(dataset!F2&lt;44958,"Early","Late")</f>
        <v>Early</v>
      </c>
      <c r="Q7" s="11" t="s">
        <v>426</v>
      </c>
    </row>
    <row r="8" spans="1:17">
      <c r="B8" t="s">
        <v>245</v>
      </c>
      <c r="P8" t="str">
        <f>IF(ISEVEN(dataset!U2),"Even","Odd")</f>
        <v>Odd</v>
      </c>
      <c r="Q8" t="s">
        <v>434</v>
      </c>
    </row>
    <row r="9" spans="1:17">
      <c r="B9" t="s">
        <v>246</v>
      </c>
      <c r="P9" s="10" t="str">
        <f>IF(dataset!D2&lt;3,"Low","")</f>
        <v/>
      </c>
      <c r="Q9" s="11" t="s">
        <v>428</v>
      </c>
    </row>
    <row r="10" spans="1:17">
      <c r="B10" s="17" t="s">
        <v>247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P10" s="10" t="str">
        <f>IF(dataset!J2&gt;=300,"Eligible for Discount","Not Eligible")</f>
        <v>Not Eligible</v>
      </c>
      <c r="Q10" s="11" t="s">
        <v>430</v>
      </c>
    </row>
    <row r="11" spans="1:17">
      <c r="B11" t="s">
        <v>248</v>
      </c>
      <c r="P11" s="10" t="str">
        <f>IF(dataset!F2&lt;44958,"January Order","Other")</f>
        <v>January Order</v>
      </c>
      <c r="Q11" s="11" t="s">
        <v>431</v>
      </c>
    </row>
    <row r="12" spans="1:17">
      <c r="B12" t="s">
        <v>249</v>
      </c>
      <c r="P12" s="10" t="str">
        <f>IF(OR(dataset!I2="Pending",dataset!I2="Cancelled"),"Urgent","")</f>
        <v/>
      </c>
      <c r="Q12" s="11" t="s">
        <v>432</v>
      </c>
    </row>
    <row r="13" spans="1:17" s="8" customFormat="1" ht="14.25" customHeight="1">
      <c r="A13" s="18" t="s">
        <v>444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</row>
    <row r="14" spans="1:17">
      <c r="B14" t="s">
        <v>250</v>
      </c>
    </row>
    <row r="15" spans="1:17">
      <c r="B15" t="s">
        <v>251</v>
      </c>
      <c r="P15">
        <f>IFERROR(dataset!E2/dataset!D2,"NA")</f>
        <v>12.244999999999999</v>
      </c>
      <c r="Q15" s="13" t="s">
        <v>435</v>
      </c>
    </row>
    <row r="16" spans="1:17">
      <c r="B16" t="s">
        <v>252</v>
      </c>
      <c r="P16">
        <f>IFERROR(dataset!D2*dataset!E2,"Data Error")</f>
        <v>195.92</v>
      </c>
      <c r="Q16" s="13" t="s">
        <v>436</v>
      </c>
    </row>
    <row r="17" spans="2:17">
      <c r="B17" t="s">
        <v>253</v>
      </c>
      <c r="P17">
        <f>IFERROR(dataset!G2-dataset!H2,"NA")</f>
        <v>-1</v>
      </c>
      <c r="Q17" s="13" t="s">
        <v>437</v>
      </c>
    </row>
    <row r="18" spans="2:17">
      <c r="B18" t="s">
        <v>254</v>
      </c>
      <c r="P18">
        <f>IFERROR(VLOOKUP(dataset!A2,Table1[[Order ID]:[Price per Unit]],5,0),"Price not found")</f>
        <v>48.98</v>
      </c>
      <c r="Q18" s="13" t="s">
        <v>438</v>
      </c>
    </row>
    <row r="19" spans="2:17">
      <c r="B19" t="s">
        <v>255</v>
      </c>
      <c r="P19" t="str">
        <f>IFERROR(IF(dataset!J2&gt;=300,"Eligible for Discount","Not Eligible"),"NA")</f>
        <v>Not Eligible</v>
      </c>
      <c r="Q19" t="s">
        <v>505</v>
      </c>
    </row>
    <row r="20" spans="2:17">
      <c r="B20" t="s">
        <v>256</v>
      </c>
      <c r="P20">
        <f>IFERROR(dataset!D2*dataset!E2,"Invalid Data")</f>
        <v>195.92</v>
      </c>
      <c r="Q20" s="13" t="s">
        <v>439</v>
      </c>
    </row>
    <row r="21" spans="2:17">
      <c r="B21" t="s">
        <v>257</v>
      </c>
      <c r="P21">
        <f>IFERROR(_xlfn.MODE.SNGL(Table1[Quantity]),"No Value")</f>
        <v>5</v>
      </c>
      <c r="Q21" s="13" t="s">
        <v>440</v>
      </c>
    </row>
    <row r="22" spans="2:17">
      <c r="B22" t="s">
        <v>258</v>
      </c>
      <c r="P22">
        <f>IFERROR(AVERAGE(Table1[Price per Unit]),"Not applicable")</f>
        <v>40.883900000000004</v>
      </c>
      <c r="Q22" s="13" t="s">
        <v>441</v>
      </c>
    </row>
    <row r="23" spans="2:17">
      <c r="B23" t="s">
        <v>259</v>
      </c>
      <c r="P23">
        <f>IFERROR(_xlfn.RANK.EQ(dataset!J2,Table1[Total Price]),"NA")</f>
        <v>48</v>
      </c>
      <c r="Q23" s="13" t="s">
        <v>442</v>
      </c>
    </row>
    <row r="24" spans="2:17">
      <c r="B24" t="s">
        <v>260</v>
      </c>
      <c r="P24">
        <f>IFERROR(MEDIAN(Table1[Quantity]),"Error")</f>
        <v>5</v>
      </c>
      <c r="Q24" s="13" t="s">
        <v>443</v>
      </c>
    </row>
    <row r="25" spans="2:17" s="9" customFormat="1"/>
    <row r="26" spans="2:17">
      <c r="B26" t="s">
        <v>261</v>
      </c>
    </row>
    <row r="27" spans="2:17">
      <c r="B27" t="s">
        <v>262</v>
      </c>
      <c r="P27" t="b">
        <f>AND(Table1[Quantity]&gt;5,Table1[Total Price]&gt;300)</f>
        <v>0</v>
      </c>
      <c r="Q27" s="13" t="s">
        <v>445</v>
      </c>
    </row>
    <row r="28" spans="2:17">
      <c r="B28" t="s">
        <v>263</v>
      </c>
      <c r="P28" t="b">
        <f>AND(Table1[Order Date]&lt;44958,Table1[Status]="Delivered")</f>
        <v>0</v>
      </c>
      <c r="Q28" s="13" t="s">
        <v>446</v>
      </c>
    </row>
    <row r="29" spans="2:17">
      <c r="B29" t="s">
        <v>264</v>
      </c>
      <c r="P29" t="b">
        <f>AND(Table1[Price per Unit]&gt;20,Table1[Price per Unit]&lt;50,Table1[Quantity]&lt;10)</f>
        <v>0</v>
      </c>
      <c r="Q29" s="13" t="s">
        <v>447</v>
      </c>
    </row>
    <row r="30" spans="2:17">
      <c r="B30" t="s">
        <v>265</v>
      </c>
      <c r="P30" t="b">
        <f>AND(Table1[Total Price]&gt;500,Table1[Status]="Shipped")</f>
        <v>0</v>
      </c>
      <c r="Q30" s="13" t="s">
        <v>448</v>
      </c>
    </row>
    <row r="31" spans="2:17">
      <c r="B31" t="s">
        <v>266</v>
      </c>
      <c r="P31" t="b">
        <f>AND(Table1[Shipping Date]-Table1[Order Date]&lt;4,NOT(Table1[Status]="Cancelled"))</f>
        <v>1</v>
      </c>
      <c r="Q31" s="13" t="s">
        <v>449</v>
      </c>
    </row>
    <row r="32" spans="2:17">
      <c r="B32" t="s">
        <v>267</v>
      </c>
      <c r="P32" t="b">
        <f>AND(Table1[Delivery Date]-Table1[Shipping Date]&gt;0,Table1[Quantity]&gt;3)</f>
        <v>1</v>
      </c>
      <c r="Q32" s="13" t="s">
        <v>450</v>
      </c>
    </row>
    <row r="33" spans="2:17">
      <c r="B33" t="s">
        <v>268</v>
      </c>
      <c r="P33" t="b">
        <f>AND(Table1[Price per Unit]&gt;AVERAGE(Table1[Price per Unit]),Table1[Total Price]&lt;MEDIAN(Table1[Total Price]))</f>
        <v>0</v>
      </c>
      <c r="Q33" s="13" t="s">
        <v>451</v>
      </c>
    </row>
    <row r="34" spans="2:17">
      <c r="B34" t="s">
        <v>269</v>
      </c>
      <c r="P34" t="b">
        <f>AND(Table1[Quantity]&gt;7,Table1[Status]="Pending")</f>
        <v>0</v>
      </c>
      <c r="Q34" s="13" t="s">
        <v>452</v>
      </c>
    </row>
    <row r="35" spans="2:17">
      <c r="B35" t="s">
        <v>270</v>
      </c>
      <c r="P35" t="str">
        <f>IF(AND(OR(WEEKDAY(Table1[Order Date])=1,WEEKDAY(Table1[Order Date])=7),Table1[Total Price]&gt;200),"Special","")</f>
        <v/>
      </c>
      <c r="Q35" s="13" t="s">
        <v>453</v>
      </c>
    </row>
    <row r="36" spans="2:17">
      <c r="B36" t="s">
        <v>271</v>
      </c>
      <c r="P36" t="b">
        <f>AND(Table1[Customer Name]="A*",Table1[Product ID no.s]=1)</f>
        <v>0</v>
      </c>
      <c r="Q36" t="s">
        <v>454</v>
      </c>
    </row>
    <row r="37" spans="2:17" s="9" customFormat="1"/>
    <row r="38" spans="2:17">
      <c r="B38" t="s">
        <v>272</v>
      </c>
    </row>
    <row r="39" spans="2:17">
      <c r="B39" t="s">
        <v>273</v>
      </c>
      <c r="Q39" s="15"/>
    </row>
    <row r="40" spans="2:17">
      <c r="B40" t="s">
        <v>274</v>
      </c>
      <c r="Q40" s="15"/>
    </row>
    <row r="41" spans="2:17">
      <c r="B41" t="s">
        <v>275</v>
      </c>
      <c r="Q41" s="15"/>
    </row>
    <row r="42" spans="2:17">
      <c r="B42" t="s">
        <v>276</v>
      </c>
      <c r="Q42" s="15"/>
    </row>
    <row r="43" spans="2:17">
      <c r="B43" t="s">
        <v>277</v>
      </c>
      <c r="Q43" s="15"/>
    </row>
    <row r="44" spans="2:17">
      <c r="B44" t="s">
        <v>278</v>
      </c>
      <c r="P44" s="2"/>
      <c r="Q44" s="15"/>
    </row>
    <row r="45" spans="2:17">
      <c r="B45" t="s">
        <v>279</v>
      </c>
      <c r="P45" s="2"/>
      <c r="Q45" s="15"/>
    </row>
    <row r="46" spans="2:17">
      <c r="B46" t="s">
        <v>280</v>
      </c>
      <c r="Q46" s="15"/>
    </row>
    <row r="47" spans="2:17">
      <c r="B47" t="s">
        <v>281</v>
      </c>
      <c r="Q47" s="15"/>
    </row>
    <row r="48" spans="2:17">
      <c r="B48" t="s">
        <v>282</v>
      </c>
      <c r="Q48" s="15"/>
    </row>
    <row r="49" spans="2:17" s="9" customFormat="1"/>
    <row r="50" spans="2:17">
      <c r="B50" t="s">
        <v>283</v>
      </c>
    </row>
    <row r="51" spans="2:17">
      <c r="B51" t="s">
        <v>284</v>
      </c>
      <c r="P51" t="b">
        <f>OR(Table1[Quantity]&gt;5,Table1[Total Price]&gt;300)</f>
        <v>0</v>
      </c>
      <c r="Q51" t="s">
        <v>455</v>
      </c>
    </row>
    <row r="52" spans="2:17">
      <c r="B52" t="s">
        <v>285</v>
      </c>
      <c r="P52" t="b">
        <f>OR(Table1[Order Date]&lt;44958,Table1[Status]="Delivered")</f>
        <v>0</v>
      </c>
      <c r="Q52" t="s">
        <v>456</v>
      </c>
    </row>
    <row r="53" spans="2:17">
      <c r="B53" t="s">
        <v>286</v>
      </c>
      <c r="P53" t="b">
        <f>OR(Table1[Price per Unit]&gt;50,Table1[Quantity]&lt;3)</f>
        <v>0</v>
      </c>
      <c r="Q53" t="s">
        <v>457</v>
      </c>
    </row>
    <row r="54" spans="2:17">
      <c r="B54" t="s">
        <v>287</v>
      </c>
      <c r="P54" t="b">
        <f>OR(Table1[Total Price]&gt;500,Table1[Status]="Shipped")</f>
        <v>0</v>
      </c>
      <c r="Q54" t="s">
        <v>458</v>
      </c>
    </row>
    <row r="55" spans="2:17">
      <c r="B55" t="s">
        <v>288</v>
      </c>
      <c r="P55" t="b">
        <f>OR(Table1[Shipping Date]&lt;44958,Table1[Delivery Date]&gt;44986)</f>
        <v>0</v>
      </c>
      <c r="Q55" t="s">
        <v>459</v>
      </c>
    </row>
    <row r="56" spans="2:17">
      <c r="B56" t="s">
        <v>289</v>
      </c>
      <c r="P56" t="b">
        <f>OR(Table1[Shipping Date]-Table1[Delivery Date]&gt;0,Table1[Quantity]&gt;7)</f>
        <v>0</v>
      </c>
      <c r="Q56" t="s">
        <v>460</v>
      </c>
    </row>
    <row r="57" spans="2:17">
      <c r="B57" t="s">
        <v>290</v>
      </c>
      <c r="P57" t="b">
        <f>OR(Table1[Price per Unit]&gt;AVERAGE(Table1[Price per Unit]),Table1[Total Price]&lt;MEDIAN(Table1[Total Price]))</f>
        <v>1</v>
      </c>
      <c r="Q57" t="s">
        <v>461</v>
      </c>
    </row>
    <row r="58" spans="2:17">
      <c r="B58" t="s">
        <v>291</v>
      </c>
      <c r="P58" t="b">
        <f>OR(Table1[Quantity]&gt;7,Table1[Status]="Pending")</f>
        <v>1</v>
      </c>
      <c r="Q58" t="s">
        <v>462</v>
      </c>
    </row>
    <row r="59" spans="2:17">
      <c r="B59" t="s">
        <v>292</v>
      </c>
      <c r="P59" t="str">
        <f>IF(OR(WEEKDAY(Table1[Order Date])=1,WEEKDAY(Table1[Order Date])=7,Table1[Total Price]&gt;200),"Special","")</f>
        <v/>
      </c>
      <c r="Q59" t="s">
        <v>463</v>
      </c>
    </row>
    <row r="60" spans="2:17">
      <c r="B60" t="s">
        <v>293</v>
      </c>
      <c r="P60" t="b">
        <f>OR(Table1[Customer Name]="A*",Table1[Product ID no.s]=1)</f>
        <v>0</v>
      </c>
      <c r="Q60" t="s">
        <v>464</v>
      </c>
    </row>
    <row r="61" spans="2:17" s="9" customFormat="1"/>
    <row r="62" spans="2:17">
      <c r="B62" t="s">
        <v>294</v>
      </c>
    </row>
    <row r="63" spans="2:17">
      <c r="B63" t="s">
        <v>295</v>
      </c>
      <c r="P63" t="b">
        <f>NOT(Table1[Status]="Pending")</f>
        <v>0</v>
      </c>
      <c r="Q63" t="s">
        <v>465</v>
      </c>
    </row>
    <row r="64" spans="2:17">
      <c r="B64" t="s">
        <v>296</v>
      </c>
      <c r="P64" t="b">
        <f>NOT(Table1[Total Price]&gt;500)</f>
        <v>1</v>
      </c>
      <c r="Q64" t="s">
        <v>466</v>
      </c>
    </row>
    <row r="65" spans="2:17">
      <c r="B65" t="s">
        <v>297</v>
      </c>
      <c r="P65" t="b">
        <f>NOT(Table1[Quantity]&lt;5)</f>
        <v>1</v>
      </c>
      <c r="Q65" t="s">
        <v>467</v>
      </c>
    </row>
    <row r="66" spans="2:17">
      <c r="B66" t="s">
        <v>298</v>
      </c>
      <c r="P66" t="b">
        <f>NOT(AND(Table1[Price per Unit]&gt;20,Table1[Price per Unit]&lt;50))</f>
        <v>0</v>
      </c>
      <c r="Q66" t="s">
        <v>468</v>
      </c>
    </row>
    <row r="67" spans="2:17">
      <c r="B67" t="s">
        <v>299</v>
      </c>
      <c r="P67" t="b">
        <f>NOT(Table1[Order Date]&lt;44958)</f>
        <v>1</v>
      </c>
      <c r="Q67" t="s">
        <v>469</v>
      </c>
    </row>
    <row r="68" spans="2:17">
      <c r="B68" t="s">
        <v>300</v>
      </c>
      <c r="P68" t="b">
        <f>NOT(Table1[Product]="Product 5")</f>
        <v>1</v>
      </c>
      <c r="Q68" t="s">
        <v>470</v>
      </c>
    </row>
    <row r="69" spans="2:17">
      <c r="B69" t="s">
        <v>301</v>
      </c>
      <c r="P69" t="b">
        <f>NOT(Table1[Total Price]&lt;100)</f>
        <v>1</v>
      </c>
      <c r="Q69" t="s">
        <v>471</v>
      </c>
    </row>
    <row r="70" spans="2:17">
      <c r="B70" t="s">
        <v>302</v>
      </c>
      <c r="P70" t="b">
        <f>NOT(Table1[Shipping Date]&lt;44958)</f>
        <v>1</v>
      </c>
      <c r="Q70" t="s">
        <v>472</v>
      </c>
    </row>
    <row r="71" spans="2:17">
      <c r="B71" t="s">
        <v>303</v>
      </c>
      <c r="P71" t="b">
        <f>NOT(Table1[Delivery Date]-Table1[Shipping Date]&gt;0)</f>
        <v>0</v>
      </c>
      <c r="Q71" t="s">
        <v>474</v>
      </c>
    </row>
    <row r="72" spans="2:17">
      <c r="B72" t="s">
        <v>304</v>
      </c>
      <c r="P72" t="b">
        <f>NOT(Table1[Customer Name]="A*")</f>
        <v>1</v>
      </c>
      <c r="Q72" t="s">
        <v>473</v>
      </c>
    </row>
    <row r="73" spans="2:17" s="9" customFormat="1"/>
    <row r="74" spans="2:17">
      <c r="B74" t="s">
        <v>305</v>
      </c>
    </row>
    <row r="75" spans="2:17">
      <c r="B75" t="s">
        <v>306</v>
      </c>
      <c r="P75" t="b">
        <f>IF(TRUE(),TRUE,FALSE)</f>
        <v>1</v>
      </c>
      <c r="Q75" t="s">
        <v>485</v>
      </c>
    </row>
    <row r="76" spans="2:17">
      <c r="B76" t="s">
        <v>307</v>
      </c>
      <c r="P76" t="b">
        <f>IF(Table1[Quantity]&gt;0,TRUE,"")</f>
        <v>1</v>
      </c>
      <c r="Q76" t="s">
        <v>486</v>
      </c>
    </row>
    <row r="77" spans="2:17">
      <c r="B77" t="s">
        <v>308</v>
      </c>
      <c r="P77" t="str">
        <f>IF(TRUE(),"Valid","")</f>
        <v>Valid</v>
      </c>
      <c r="Q77" t="s">
        <v>489</v>
      </c>
    </row>
    <row r="78" spans="2:17">
      <c r="B78" t="s">
        <v>309</v>
      </c>
      <c r="P78" t="b">
        <f>IF(AND(TRUE,TRUE),TRUE,"")</f>
        <v>1</v>
      </c>
      <c r="Q78" t="s">
        <v>491</v>
      </c>
    </row>
    <row r="79" spans="2:17">
      <c r="B79" t="s">
        <v>310</v>
      </c>
      <c r="P79" t="str">
        <f>VLOOKUP(Table1[Price per Unit],Table1[[Price per Unit]:[Status]],5,TRUE)</f>
        <v>Delivered</v>
      </c>
      <c r="Q79" t="s">
        <v>494</v>
      </c>
    </row>
    <row r="80" spans="2:17">
      <c r="B80" t="s">
        <v>311</v>
      </c>
      <c r="P80" t="str">
        <f>IF(TRUE(),"Eligible","")</f>
        <v>Eligible</v>
      </c>
      <c r="Q80" t="s">
        <v>495</v>
      </c>
    </row>
    <row r="81" spans="2:17">
      <c r="B81" t="s">
        <v>312</v>
      </c>
      <c r="P81" t="b">
        <f>IF(OR(TRUE,FALSE),TRUE,"")</f>
        <v>1</v>
      </c>
      <c r="Q81" t="s">
        <v>497</v>
      </c>
    </row>
    <row r="82" spans="2:17">
      <c r="B82" t="s">
        <v>313</v>
      </c>
      <c r="P82" t="str">
        <f>IF(IFERROR(TRUE,"NA"),"Not Error","")</f>
        <v>Not Error</v>
      </c>
      <c r="Q82" t="s">
        <v>499</v>
      </c>
    </row>
    <row r="83" spans="2:17">
      <c r="B83" t="s">
        <v>314</v>
      </c>
      <c r="Q83" t="s">
        <v>501</v>
      </c>
    </row>
    <row r="84" spans="2:17">
      <c r="B84" t="s">
        <v>315</v>
      </c>
      <c r="P84" t="str">
        <f>IF(TRUE(),"Available","")</f>
        <v>Available</v>
      </c>
      <c r="Q84" t="s">
        <v>503</v>
      </c>
    </row>
    <row r="85" spans="2:17" s="9" customFormat="1"/>
    <row r="86" spans="2:17">
      <c r="B86" t="s">
        <v>316</v>
      </c>
    </row>
    <row r="87" spans="2:17">
      <c r="B87" t="s">
        <v>317</v>
      </c>
      <c r="P87" t="b">
        <f>IF(FALSE(),TRUE,FALSE)</f>
        <v>0</v>
      </c>
      <c r="Q87" t="s">
        <v>487</v>
      </c>
    </row>
    <row r="88" spans="2:17">
      <c r="B88" t="s">
        <v>318</v>
      </c>
      <c r="P88" t="b">
        <f>IF(Table1[Total Price]&lt;0,"",FALSE)</f>
        <v>0</v>
      </c>
      <c r="Q88" t="s">
        <v>488</v>
      </c>
    </row>
    <row r="89" spans="2:17">
      <c r="B89" t="s">
        <v>319</v>
      </c>
      <c r="P89" t="str">
        <f>IF(FALSE(),"","Invalid")</f>
        <v>Invalid</v>
      </c>
      <c r="Q89" t="s">
        <v>490</v>
      </c>
    </row>
    <row r="90" spans="2:17">
      <c r="B90" t="s">
        <v>320</v>
      </c>
      <c r="P90" t="b">
        <f>IF(AND(FALSE,FALSE),"",FALSE)</f>
        <v>0</v>
      </c>
      <c r="Q90" t="s">
        <v>492</v>
      </c>
    </row>
    <row r="91" spans="2:17">
      <c r="B91" t="s">
        <v>321</v>
      </c>
      <c r="P91" t="str">
        <f>VLOOKUP(Table1[Price per Unit],Table1[[Price per Unit]:[Status]],5,FALSE)</f>
        <v>Shipped</v>
      </c>
      <c r="Q91" t="s">
        <v>493</v>
      </c>
    </row>
    <row r="92" spans="2:17">
      <c r="B92" t="s">
        <v>322</v>
      </c>
      <c r="P92" t="str">
        <f>IF(FALSE(),"","Not Eligible")</f>
        <v>Not Eligible</v>
      </c>
      <c r="Q92" t="s">
        <v>496</v>
      </c>
    </row>
    <row r="93" spans="2:17">
      <c r="B93" t="s">
        <v>323</v>
      </c>
      <c r="P93" t="b">
        <f>IF(OR(FALSE,FALSE),"",FALSE)</f>
        <v>0</v>
      </c>
      <c r="Q93" t="s">
        <v>498</v>
      </c>
    </row>
    <row r="94" spans="2:17">
      <c r="B94" t="s">
        <v>324</v>
      </c>
      <c r="P94" t="str">
        <f>IF(IFERROR(FALSE,"NA"),"","Error")</f>
        <v>Error</v>
      </c>
      <c r="Q94" t="s">
        <v>500</v>
      </c>
    </row>
    <row r="95" spans="2:17">
      <c r="B95" t="s">
        <v>325</v>
      </c>
      <c r="Q95" t="s">
        <v>502</v>
      </c>
    </row>
    <row r="96" spans="2:17">
      <c r="B96" t="s">
        <v>326</v>
      </c>
      <c r="P96" t="str">
        <f>IF(FALSE(),"","Unavailable")</f>
        <v>Unavailable</v>
      </c>
      <c r="Q96" t="s">
        <v>504</v>
      </c>
    </row>
    <row r="97" spans="2:17" s="9" customFormat="1"/>
    <row r="98" spans="2:17">
      <c r="B98" t="s">
        <v>327</v>
      </c>
    </row>
    <row r="99" spans="2:17">
      <c r="B99" t="s">
        <v>328</v>
      </c>
      <c r="P99" t="b">
        <f>ISNUMBER(Table1[Quantity])</f>
        <v>1</v>
      </c>
      <c r="Q99" t="s">
        <v>475</v>
      </c>
    </row>
    <row r="100" spans="2:17">
      <c r="B100" t="s">
        <v>329</v>
      </c>
      <c r="P100" t="b">
        <f>ISTEXT(Table1[Customer Name])</f>
        <v>1</v>
      </c>
      <c r="Q100" t="s">
        <v>476</v>
      </c>
    </row>
    <row r="101" spans="2:17">
      <c r="B101" t="s">
        <v>330</v>
      </c>
      <c r="P101" t="b">
        <f>ISBLANK(Table1[Price per Unit])</f>
        <v>0</v>
      </c>
      <c r="Q101" t="s">
        <v>477</v>
      </c>
    </row>
    <row r="102" spans="2:17">
      <c r="B102" t="s">
        <v>331</v>
      </c>
      <c r="P102" t="b">
        <f t="array" ref="P102">ISERROR(Table1[Total Price])</f>
        <v>0</v>
      </c>
      <c r="Q102" t="s">
        <v>478</v>
      </c>
    </row>
    <row r="103" spans="2:17">
      <c r="B103" t="s">
        <v>332</v>
      </c>
      <c r="P103" t="b">
        <f t="array" ref="P103">ISNONTEXT(Table1[Order Date])</f>
        <v>1</v>
      </c>
      <c r="Q103" t="s">
        <v>479</v>
      </c>
    </row>
    <row r="104" spans="2:17">
      <c r="B104" t="s">
        <v>333</v>
      </c>
      <c r="P104" t="b">
        <f>ISODD(dataset!D2)</f>
        <v>0</v>
      </c>
      <c r="Q104" t="s">
        <v>480</v>
      </c>
    </row>
    <row r="105" spans="2:17">
      <c r="B105" t="s">
        <v>334</v>
      </c>
      <c r="P105" t="b">
        <f>ISEVEN(dataset!U2)</f>
        <v>0</v>
      </c>
      <c r="Q105" t="s">
        <v>481</v>
      </c>
    </row>
    <row r="106" spans="2:17">
      <c r="B106" t="s">
        <v>335</v>
      </c>
      <c r="P106" t="b">
        <f>ISLOGICAL(Table1[Order Date])</f>
        <v>0</v>
      </c>
      <c r="Q106" t="s">
        <v>482</v>
      </c>
    </row>
    <row r="107" spans="2:17">
      <c r="B107" t="s">
        <v>336</v>
      </c>
      <c r="P107" t="b">
        <f>_xlfn.ISFORMULA(Table1[Total Price])</f>
        <v>0</v>
      </c>
      <c r="Q107" t="s">
        <v>483</v>
      </c>
    </row>
    <row r="108" spans="2:17">
      <c r="B108" t="s">
        <v>337</v>
      </c>
      <c r="P108" t="b">
        <f>ISREF(Table1[Customer Name])</f>
        <v>1</v>
      </c>
      <c r="Q108" t="s">
        <v>484</v>
      </c>
    </row>
    <row r="109" spans="2:17" s="9" customFormat="1"/>
    <row r="110" spans="2:17" s="7" customFormat="1"/>
    <row r="111" spans="2:17" s="12" customFormat="1"/>
  </sheetData>
  <mergeCells count="2">
    <mergeCell ref="B10:N10"/>
    <mergeCell ref="A13:Q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C97C-5170-4DCB-B328-EDA9211B4F00}">
  <dimension ref="B1:D71"/>
  <sheetViews>
    <sheetView tabSelected="1" zoomScale="85" zoomScaleNormal="85" workbookViewId="0">
      <selection activeCell="D2" sqref="D2"/>
    </sheetView>
  </sheetViews>
  <sheetFormatPr defaultRowHeight="14.25"/>
  <cols>
    <col min="2" max="2" width="166.125" bestFit="1" customWidth="1"/>
    <col min="4" max="4" width="70.75" bestFit="1" customWidth="1"/>
  </cols>
  <sheetData>
    <row r="1" spans="2:4">
      <c r="B1" t="s">
        <v>338</v>
      </c>
      <c r="D1" t="s">
        <v>507</v>
      </c>
    </row>
    <row r="2" spans="2:4">
      <c r="B2" t="s">
        <v>339</v>
      </c>
      <c r="D2" t="s">
        <v>506</v>
      </c>
    </row>
    <row r="3" spans="2:4">
      <c r="B3" t="s">
        <v>340</v>
      </c>
      <c r="D3" t="s">
        <v>506</v>
      </c>
    </row>
    <row r="4" spans="2:4">
      <c r="B4" t="s">
        <v>341</v>
      </c>
      <c r="D4" t="s">
        <v>506</v>
      </c>
    </row>
    <row r="5" spans="2:4">
      <c r="B5" t="s">
        <v>342</v>
      </c>
      <c r="D5" t="s">
        <v>506</v>
      </c>
    </row>
    <row r="6" spans="2:4">
      <c r="B6" t="s">
        <v>343</v>
      </c>
      <c r="D6" t="s">
        <v>506</v>
      </c>
    </row>
    <row r="7" spans="2:4">
      <c r="B7" t="s">
        <v>344</v>
      </c>
      <c r="D7" t="s">
        <v>506</v>
      </c>
    </row>
    <row r="8" spans="2:4">
      <c r="B8" t="s">
        <v>345</v>
      </c>
      <c r="D8" t="s">
        <v>506</v>
      </c>
    </row>
    <row r="9" spans="2:4">
      <c r="B9" t="s">
        <v>346</v>
      </c>
      <c r="D9" t="s">
        <v>506</v>
      </c>
    </row>
    <row r="10" spans="2:4">
      <c r="B10" t="s">
        <v>347</v>
      </c>
      <c r="D10" t="s">
        <v>506</v>
      </c>
    </row>
    <row r="11" spans="2:4">
      <c r="B11" t="s">
        <v>348</v>
      </c>
      <c r="D11" t="s">
        <v>506</v>
      </c>
    </row>
    <row r="12" spans="2:4">
      <c r="B12" t="s">
        <v>349</v>
      </c>
      <c r="D12" t="s">
        <v>506</v>
      </c>
    </row>
    <row r="13" spans="2:4">
      <c r="B13" t="s">
        <v>350</v>
      </c>
      <c r="D13" t="s">
        <v>506</v>
      </c>
    </row>
    <row r="14" spans="2:4">
      <c r="B14" t="s">
        <v>351</v>
      </c>
      <c r="D14" t="s">
        <v>506</v>
      </c>
    </row>
    <row r="15" spans="2:4">
      <c r="B15" t="s">
        <v>352</v>
      </c>
      <c r="D15" t="s">
        <v>506</v>
      </c>
    </row>
    <row r="16" spans="2:4">
      <c r="B16" t="s">
        <v>353</v>
      </c>
      <c r="D16" t="s">
        <v>506</v>
      </c>
    </row>
    <row r="17" spans="2:4">
      <c r="B17" t="s">
        <v>354</v>
      </c>
      <c r="D17" t="s">
        <v>506</v>
      </c>
    </row>
    <row r="18" spans="2:4">
      <c r="B18" t="s">
        <v>355</v>
      </c>
      <c r="D18" t="s">
        <v>506</v>
      </c>
    </row>
    <row r="19" spans="2:4">
      <c r="B19" t="s">
        <v>356</v>
      </c>
      <c r="D19" t="s">
        <v>506</v>
      </c>
    </row>
    <row r="20" spans="2:4">
      <c r="B20" t="s">
        <v>357</v>
      </c>
      <c r="D20" t="s">
        <v>506</v>
      </c>
    </row>
    <row r="21" spans="2:4">
      <c r="B21" t="s">
        <v>358</v>
      </c>
      <c r="D21" t="s">
        <v>506</v>
      </c>
    </row>
    <row r="22" spans="2:4">
      <c r="B22" t="s">
        <v>359</v>
      </c>
      <c r="D22" t="s">
        <v>506</v>
      </c>
    </row>
    <row r="23" spans="2:4">
      <c r="B23" t="s">
        <v>360</v>
      </c>
      <c r="D23" t="s">
        <v>506</v>
      </c>
    </row>
    <row r="24" spans="2:4">
      <c r="B24" t="s">
        <v>361</v>
      </c>
      <c r="D24" t="s">
        <v>506</v>
      </c>
    </row>
    <row r="25" spans="2:4">
      <c r="B25" t="s">
        <v>362</v>
      </c>
      <c r="D25" t="s">
        <v>506</v>
      </c>
    </row>
    <row r="26" spans="2:4">
      <c r="B26" t="s">
        <v>363</v>
      </c>
      <c r="D26" t="s">
        <v>506</v>
      </c>
    </row>
    <row r="27" spans="2:4">
      <c r="B27" t="s">
        <v>364</v>
      </c>
      <c r="D27" t="s">
        <v>506</v>
      </c>
    </row>
    <row r="28" spans="2:4">
      <c r="B28" t="s">
        <v>365</v>
      </c>
      <c r="D28" t="s">
        <v>506</v>
      </c>
    </row>
    <row r="29" spans="2:4">
      <c r="B29" t="s">
        <v>366</v>
      </c>
      <c r="D29" t="s">
        <v>506</v>
      </c>
    </row>
    <row r="30" spans="2:4">
      <c r="B30" t="s">
        <v>367</v>
      </c>
      <c r="D30" t="s">
        <v>506</v>
      </c>
    </row>
    <row r="31" spans="2:4">
      <c r="B31" t="s">
        <v>368</v>
      </c>
      <c r="D31" t="s">
        <v>506</v>
      </c>
    </row>
    <row r="32" spans="2:4">
      <c r="B32" t="s">
        <v>369</v>
      </c>
      <c r="D32" t="s">
        <v>506</v>
      </c>
    </row>
    <row r="33" spans="2:4">
      <c r="B33" t="s">
        <v>370</v>
      </c>
      <c r="D33" t="s">
        <v>506</v>
      </c>
    </row>
    <row r="34" spans="2:4">
      <c r="B34" t="s">
        <v>371</v>
      </c>
      <c r="D34" t="s">
        <v>506</v>
      </c>
    </row>
    <row r="35" spans="2:4">
      <c r="B35" t="s">
        <v>372</v>
      </c>
      <c r="D35" t="s">
        <v>506</v>
      </c>
    </row>
    <row r="36" spans="2:4">
      <c r="B36" t="s">
        <v>373</v>
      </c>
      <c r="D36" t="s">
        <v>506</v>
      </c>
    </row>
    <row r="37" spans="2:4">
      <c r="B37" t="s">
        <v>374</v>
      </c>
      <c r="D37" t="s">
        <v>506</v>
      </c>
    </row>
    <row r="38" spans="2:4">
      <c r="B38" t="s">
        <v>375</v>
      </c>
      <c r="D38" t="s">
        <v>506</v>
      </c>
    </row>
    <row r="39" spans="2:4">
      <c r="B39" t="s">
        <v>376</v>
      </c>
      <c r="D39" t="s">
        <v>506</v>
      </c>
    </row>
    <row r="40" spans="2:4">
      <c r="B40" t="s">
        <v>377</v>
      </c>
      <c r="D40" t="s">
        <v>506</v>
      </c>
    </row>
    <row r="41" spans="2:4">
      <c r="B41" t="s">
        <v>378</v>
      </c>
      <c r="D41" t="s">
        <v>506</v>
      </c>
    </row>
    <row r="42" spans="2:4">
      <c r="B42" t="s">
        <v>379</v>
      </c>
      <c r="D42" t="s">
        <v>506</v>
      </c>
    </row>
    <row r="43" spans="2:4">
      <c r="B43" t="s">
        <v>380</v>
      </c>
      <c r="D43" t="s">
        <v>506</v>
      </c>
    </row>
    <row r="44" spans="2:4">
      <c r="B44" t="s">
        <v>381</v>
      </c>
      <c r="D44" t="s">
        <v>506</v>
      </c>
    </row>
    <row r="45" spans="2:4">
      <c r="B45" t="s">
        <v>382</v>
      </c>
      <c r="D45" t="s">
        <v>506</v>
      </c>
    </row>
    <row r="46" spans="2:4">
      <c r="B46" t="s">
        <v>383</v>
      </c>
      <c r="D46" t="s">
        <v>506</v>
      </c>
    </row>
    <row r="47" spans="2:4">
      <c r="B47" t="s">
        <v>384</v>
      </c>
      <c r="D47" t="s">
        <v>506</v>
      </c>
    </row>
    <row r="48" spans="2:4">
      <c r="B48" t="s">
        <v>385</v>
      </c>
      <c r="D48" t="s">
        <v>506</v>
      </c>
    </row>
    <row r="49" spans="2:4">
      <c r="B49" t="s">
        <v>386</v>
      </c>
      <c r="D49" t="s">
        <v>506</v>
      </c>
    </row>
    <row r="50" spans="2:4">
      <c r="B50" t="s">
        <v>387</v>
      </c>
      <c r="D50" t="s">
        <v>506</v>
      </c>
    </row>
    <row r="51" spans="2:4">
      <c r="B51" t="s">
        <v>388</v>
      </c>
      <c r="D51" t="s">
        <v>506</v>
      </c>
    </row>
    <row r="52" spans="2:4">
      <c r="B52" t="s">
        <v>389</v>
      </c>
      <c r="D52" t="s">
        <v>506</v>
      </c>
    </row>
    <row r="53" spans="2:4">
      <c r="B53" t="s">
        <v>390</v>
      </c>
      <c r="D53" t="s">
        <v>506</v>
      </c>
    </row>
    <row r="54" spans="2:4">
      <c r="B54" t="s">
        <v>391</v>
      </c>
      <c r="D54" t="s">
        <v>506</v>
      </c>
    </row>
    <row r="55" spans="2:4">
      <c r="B55" t="s">
        <v>392</v>
      </c>
      <c r="D55" t="s">
        <v>506</v>
      </c>
    </row>
    <row r="56" spans="2:4">
      <c r="B56" t="s">
        <v>393</v>
      </c>
      <c r="D56" t="s">
        <v>506</v>
      </c>
    </row>
    <row r="57" spans="2:4">
      <c r="B57" t="s">
        <v>394</v>
      </c>
      <c r="D57" t="s">
        <v>506</v>
      </c>
    </row>
    <row r="58" spans="2:4">
      <c r="B58" t="s">
        <v>395</v>
      </c>
      <c r="D58" t="s">
        <v>506</v>
      </c>
    </row>
    <row r="59" spans="2:4">
      <c r="B59" t="s">
        <v>396</v>
      </c>
      <c r="D59" t="s">
        <v>506</v>
      </c>
    </row>
    <row r="60" spans="2:4">
      <c r="B60" t="s">
        <v>397</v>
      </c>
      <c r="D60" t="s">
        <v>506</v>
      </c>
    </row>
    <row r="61" spans="2:4">
      <c r="B61" t="s">
        <v>398</v>
      </c>
      <c r="D61" t="s">
        <v>506</v>
      </c>
    </row>
    <row r="62" spans="2:4">
      <c r="B62" t="s">
        <v>399</v>
      </c>
      <c r="D62" t="s">
        <v>506</v>
      </c>
    </row>
    <row r="63" spans="2:4">
      <c r="B63" t="s">
        <v>400</v>
      </c>
      <c r="D63" t="s">
        <v>506</v>
      </c>
    </row>
    <row r="64" spans="2:4">
      <c r="B64" t="s">
        <v>401</v>
      </c>
      <c r="D64" t="s">
        <v>506</v>
      </c>
    </row>
    <row r="65" spans="2:4">
      <c r="B65" t="s">
        <v>402</v>
      </c>
      <c r="D65" t="s">
        <v>506</v>
      </c>
    </row>
    <row r="66" spans="2:4">
      <c r="B66" t="s">
        <v>403</v>
      </c>
      <c r="D66" t="s">
        <v>506</v>
      </c>
    </row>
    <row r="67" spans="2:4">
      <c r="B67" t="s">
        <v>404</v>
      </c>
      <c r="D67" t="s">
        <v>506</v>
      </c>
    </row>
    <row r="68" spans="2:4">
      <c r="B68" t="s">
        <v>405</v>
      </c>
      <c r="D68" t="s">
        <v>506</v>
      </c>
    </row>
    <row r="69" spans="2:4">
      <c r="B69" t="s">
        <v>406</v>
      </c>
      <c r="D69" t="s">
        <v>506</v>
      </c>
    </row>
    <row r="70" spans="2:4">
      <c r="B70" t="s">
        <v>407</v>
      </c>
      <c r="D70" t="s">
        <v>506</v>
      </c>
    </row>
    <row r="71" spans="2:4">
      <c r="B71" t="s">
        <v>408</v>
      </c>
      <c r="D7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Statistics Questions</vt:lpstr>
      <vt:lpstr>Logical Questions</vt:lpstr>
      <vt:lpstr>Questions Nested 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hi</cp:lastModifiedBy>
  <dcterms:created xsi:type="dcterms:W3CDTF">2024-07-01T14:25:44Z</dcterms:created>
  <dcterms:modified xsi:type="dcterms:W3CDTF">2024-07-17T02:47:59Z</dcterms:modified>
</cp:coreProperties>
</file>